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mc:AlternateContent xmlns:mc="http://schemas.openxmlformats.org/markup-compatibility/2006">
    <mc:Choice Requires="x15">
      <x15ac:absPath xmlns:x15ac="http://schemas.microsoft.com/office/spreadsheetml/2010/11/ac" url="https://d.docs.live.net/8996deec39cffb66/Desktop/ANI 2025/EVALUACION VJ-VEJ-CM-002-2026 INTERVENTORIA ESTANQUILLO - POPAYAN/"/>
    </mc:Choice>
  </mc:AlternateContent>
  <xr:revisionPtr revIDLastSave="0" documentId="8_{007A40A9-9018-44DC-9AB6-31EA8B65ADC9}" xr6:coauthVersionLast="47" xr6:coauthVersionMax="47" xr10:uidLastSave="{00000000-0000-0000-0000-000000000000}"/>
  <bookViews>
    <workbookView xWindow="-110" yWindow="-110" windowWidth="25820" windowHeight="15500" tabRatio="746" activeTab="5" xr2:uid="{12762D14-6B74-4CF3-A547-8055C2C45C36}"/>
  </bookViews>
  <sheets>
    <sheet name="PARÁMETROS" sheetId="1" r:id="rId1"/>
    <sheet name="EXPERIENCIA " sheetId="4" r:id="rId2"/>
    <sheet name="PONDERACIÓN " sheetId="6" r:id="rId3"/>
    <sheet name="CONSOLIDADO" sheetId="5" r:id="rId4"/>
    <sheet name="DESEMPATE Y DISCAPACIDAD" sheetId="3" r:id="rId5"/>
    <sheet name="O.E" sheetId="13" r:id="rId6"/>
    <sheet name="SMMLV" sheetId="2" state="veryHidden" r:id="rId7"/>
  </sheets>
  <externalReferences>
    <externalReference r:id="rId8"/>
  </externalReferences>
  <definedNames>
    <definedName name="_xlnm._FilterDatabase" localSheetId="3" hidden="1">CONSOLIDADO!$C$1:$I$72</definedName>
    <definedName name="_xlnm._FilterDatabase" localSheetId="4" hidden="1">'DESEMPATE Y DISCAPACIDAD'!$A$1:$M$404</definedName>
    <definedName name="_xlnm._FilterDatabase" localSheetId="1" hidden="1">'EXPERIENCIA '!$F$1:$F$666</definedName>
    <definedName name="CALIFICACIONPROP">SMMLV!$F$2:$F$5</definedName>
    <definedName name="CMEM1">PARÁMETROS!$G$5</definedName>
    <definedName name="CMEM2">PARÁMETROS!$G$6</definedName>
    <definedName name="CMEMM1">PARÁMETROS!$K$5</definedName>
    <definedName name="CMEMM2">PARÁMETROS!$K$6</definedName>
    <definedName name="CMLM1">PARÁMETROS!$I$5</definedName>
    <definedName name="CMLM2">PARÁMETROS!$I$6</definedName>
    <definedName name="METPONDERACION">SMMLV!$H$2:$H$6</definedName>
    <definedName name="NOMPROC">PARÁMETROS!$B$5</definedName>
    <definedName name="PDMI">PARÁMETROS!$M$5</definedName>
    <definedName name="PDMII">PARÁMETROS!$M$6</definedName>
    <definedName name="VALIDACION">SMMLV!$D$2:$D$3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3" l="1"/>
  <c r="AE302" i="4" l="1"/>
  <c r="AC183" i="4" l="1"/>
  <c r="AC184" i="4"/>
  <c r="AC185" i="4"/>
  <c r="AC186" i="4"/>
  <c r="AC187" i="4"/>
  <c r="AC188" i="4"/>
  <c r="AC189" i="4"/>
  <c r="AC190" i="4"/>
  <c r="AC191" i="4"/>
  <c r="AC192" i="4"/>
  <c r="AC193" i="4"/>
  <c r="AC194" i="4"/>
  <c r="AC195" i="4"/>
  <c r="AC196" i="4"/>
  <c r="AC197" i="4"/>
  <c r="AC198" i="4"/>
  <c r="AC199" i="4"/>
  <c r="AC200" i="4"/>
  <c r="AC201" i="4"/>
  <c r="AC202" i="4"/>
  <c r="AC203" i="4"/>
  <c r="AC204" i="4"/>
  <c r="AC205" i="4"/>
  <c r="AC206" i="4"/>
  <c r="AC207" i="4"/>
  <c r="AC208" i="4"/>
  <c r="AC209" i="4"/>
  <c r="AC210" i="4"/>
  <c r="AC211" i="4"/>
  <c r="AC212" i="4"/>
  <c r="AC213" i="4"/>
  <c r="AC214" i="4"/>
  <c r="AC215" i="4"/>
  <c r="AC216" i="4"/>
  <c r="AC217" i="4"/>
  <c r="AC218" i="4"/>
  <c r="AC219" i="4"/>
  <c r="AC220" i="4"/>
  <c r="AC221" i="4"/>
  <c r="AC222" i="4"/>
  <c r="AC223" i="4"/>
  <c r="AC224" i="4"/>
  <c r="AC225" i="4"/>
  <c r="AC226" i="4"/>
  <c r="AC227" i="4"/>
  <c r="AC228" i="4"/>
  <c r="AC229" i="4"/>
  <c r="AC230" i="4"/>
  <c r="AC231" i="4"/>
  <c r="AC232" i="4"/>
  <c r="AC233" i="4"/>
  <c r="AC234" i="4"/>
  <c r="AC235" i="4"/>
  <c r="AC236" i="4"/>
  <c r="AC237" i="4"/>
  <c r="AC238" i="4"/>
  <c r="AC239" i="4"/>
  <c r="AC240" i="4"/>
  <c r="AC241" i="4"/>
  <c r="AC242" i="4"/>
  <c r="AC243" i="4"/>
  <c r="AC244" i="4"/>
  <c r="AC245" i="4"/>
  <c r="AC246" i="4"/>
  <c r="AC247" i="4"/>
  <c r="AC248" i="4"/>
  <c r="AC249" i="4"/>
  <c r="AC250" i="4"/>
  <c r="AC251" i="4"/>
  <c r="AC252" i="4"/>
  <c r="AC253" i="4"/>
  <c r="AC254" i="4"/>
  <c r="AC255" i="4"/>
  <c r="AC256" i="4"/>
  <c r="AC257" i="4"/>
  <c r="AC258" i="4"/>
  <c r="AC259" i="4"/>
  <c r="AC260" i="4"/>
  <c r="AC261" i="4"/>
  <c r="AC262" i="4"/>
  <c r="AC263" i="4"/>
  <c r="AC264" i="4"/>
  <c r="AC265" i="4"/>
  <c r="AC266" i="4"/>
  <c r="AC267" i="4"/>
  <c r="AC268" i="4"/>
  <c r="AC269" i="4"/>
  <c r="AC270" i="4"/>
  <c r="AC271" i="4"/>
  <c r="AC272" i="4"/>
  <c r="N93" i="4" l="1"/>
  <c r="O93" i="4"/>
  <c r="P93" i="4"/>
  <c r="Q93" i="4"/>
  <c r="N94" i="4"/>
  <c r="O94" i="4"/>
  <c r="P94" i="4"/>
  <c r="Q94" i="4"/>
  <c r="N95" i="4"/>
  <c r="O95" i="4"/>
  <c r="P95" i="4"/>
  <c r="Q95" i="4"/>
  <c r="N96" i="4"/>
  <c r="O96" i="4"/>
  <c r="P96" i="4"/>
  <c r="Q96" i="4"/>
  <c r="N97" i="4"/>
  <c r="O97" i="4"/>
  <c r="P97" i="4"/>
  <c r="Q97" i="4"/>
  <c r="N98" i="4"/>
  <c r="O98" i="4"/>
  <c r="P98" i="4"/>
  <c r="Q98" i="4"/>
  <c r="N99" i="4"/>
  <c r="O99" i="4"/>
  <c r="P99" i="4"/>
  <c r="Q99" i="4"/>
  <c r="N100" i="4"/>
  <c r="O100" i="4"/>
  <c r="P100" i="4"/>
  <c r="Q100" i="4"/>
  <c r="N101" i="4"/>
  <c r="O101" i="4"/>
  <c r="P101" i="4"/>
  <c r="Q101" i="4"/>
  <c r="N102" i="4"/>
  <c r="O102" i="4"/>
  <c r="P102" i="4"/>
  <c r="Q102" i="4"/>
  <c r="N103" i="4"/>
  <c r="O103" i="4"/>
  <c r="P103" i="4"/>
  <c r="Q103" i="4"/>
  <c r="N104" i="4"/>
  <c r="O104" i="4"/>
  <c r="P104" i="4"/>
  <c r="Q104" i="4"/>
  <c r="N105" i="4"/>
  <c r="O105" i="4"/>
  <c r="P105" i="4"/>
  <c r="Q105" i="4"/>
  <c r="N106" i="4"/>
  <c r="O106" i="4"/>
  <c r="P106" i="4"/>
  <c r="Q106" i="4"/>
  <c r="N107" i="4"/>
  <c r="O107" i="4"/>
  <c r="P107" i="4"/>
  <c r="Q107" i="4"/>
  <c r="N108" i="4"/>
  <c r="O108" i="4"/>
  <c r="P108" i="4"/>
  <c r="Q108" i="4"/>
  <c r="N109" i="4"/>
  <c r="O109" i="4"/>
  <c r="P109" i="4"/>
  <c r="Q109" i="4"/>
  <c r="N110" i="4"/>
  <c r="O110" i="4"/>
  <c r="P110" i="4"/>
  <c r="Q110" i="4"/>
  <c r="N111" i="4"/>
  <c r="O111" i="4"/>
  <c r="P111" i="4"/>
  <c r="Q111" i="4"/>
  <c r="N112" i="4"/>
  <c r="O112" i="4"/>
  <c r="P112" i="4"/>
  <c r="Q112" i="4"/>
  <c r="N113" i="4"/>
  <c r="O113" i="4"/>
  <c r="P113" i="4"/>
  <c r="Q113" i="4"/>
  <c r="N114" i="4"/>
  <c r="O114" i="4"/>
  <c r="P114" i="4"/>
  <c r="Q114" i="4"/>
  <c r="N115" i="4"/>
  <c r="O115" i="4"/>
  <c r="P115" i="4"/>
  <c r="Q115" i="4"/>
  <c r="N116" i="4"/>
  <c r="O116" i="4"/>
  <c r="P116" i="4"/>
  <c r="Q116" i="4"/>
  <c r="N117" i="4"/>
  <c r="O117" i="4"/>
  <c r="P117" i="4"/>
  <c r="Q117" i="4"/>
  <c r="N118" i="4"/>
  <c r="O118" i="4"/>
  <c r="P118" i="4"/>
  <c r="Q118" i="4"/>
  <c r="N119" i="4"/>
  <c r="O119" i="4"/>
  <c r="P119" i="4"/>
  <c r="Q119" i="4"/>
  <c r="N120" i="4"/>
  <c r="O120" i="4"/>
  <c r="P120" i="4"/>
  <c r="Q120" i="4"/>
  <c r="N121" i="4"/>
  <c r="O121" i="4"/>
  <c r="P121" i="4"/>
  <c r="Q121" i="4"/>
  <c r="N122" i="4"/>
  <c r="O122" i="4"/>
  <c r="P122" i="4"/>
  <c r="Q122" i="4"/>
  <c r="N123" i="4"/>
  <c r="O123" i="4"/>
  <c r="P123" i="4"/>
  <c r="Q123" i="4"/>
  <c r="N124" i="4"/>
  <c r="O124" i="4"/>
  <c r="P124" i="4"/>
  <c r="Q124" i="4"/>
  <c r="N125" i="4"/>
  <c r="O125" i="4"/>
  <c r="P125" i="4"/>
  <c r="Q125" i="4"/>
  <c r="N126" i="4"/>
  <c r="O126" i="4"/>
  <c r="P126" i="4"/>
  <c r="Q126" i="4"/>
  <c r="N127" i="4"/>
  <c r="O127" i="4"/>
  <c r="P127" i="4"/>
  <c r="Q127" i="4"/>
  <c r="N128" i="4"/>
  <c r="O128" i="4"/>
  <c r="P128" i="4"/>
  <c r="Q128" i="4"/>
  <c r="N129" i="4"/>
  <c r="O129" i="4"/>
  <c r="P129" i="4"/>
  <c r="Q129" i="4"/>
  <c r="N130" i="4"/>
  <c r="O130" i="4"/>
  <c r="P130" i="4"/>
  <c r="Q130" i="4"/>
  <c r="N131" i="4"/>
  <c r="O131" i="4"/>
  <c r="P131" i="4"/>
  <c r="Q131" i="4"/>
  <c r="N132" i="4"/>
  <c r="O132" i="4"/>
  <c r="P132" i="4"/>
  <c r="Q132" i="4"/>
  <c r="N133" i="4"/>
  <c r="O133" i="4"/>
  <c r="P133" i="4"/>
  <c r="Q133" i="4"/>
  <c r="N134" i="4"/>
  <c r="O134" i="4"/>
  <c r="P134" i="4"/>
  <c r="Q134" i="4"/>
  <c r="N135" i="4"/>
  <c r="O135" i="4"/>
  <c r="P135" i="4"/>
  <c r="Q135" i="4"/>
  <c r="N136" i="4"/>
  <c r="O136" i="4"/>
  <c r="P136" i="4"/>
  <c r="Q136" i="4"/>
  <c r="N137" i="4"/>
  <c r="O137" i="4"/>
  <c r="P137" i="4"/>
  <c r="Q137" i="4"/>
  <c r="N138" i="4"/>
  <c r="O138" i="4"/>
  <c r="P138" i="4"/>
  <c r="Q138" i="4"/>
  <c r="N139" i="4"/>
  <c r="O139" i="4"/>
  <c r="P139" i="4"/>
  <c r="Q139" i="4"/>
  <c r="N140" i="4"/>
  <c r="O140" i="4"/>
  <c r="P140" i="4"/>
  <c r="Q140" i="4"/>
  <c r="N141" i="4"/>
  <c r="O141" i="4"/>
  <c r="P141" i="4"/>
  <c r="Q141" i="4"/>
  <c r="N142" i="4"/>
  <c r="O142" i="4"/>
  <c r="P142" i="4"/>
  <c r="Q142" i="4"/>
  <c r="N143" i="4"/>
  <c r="O143" i="4"/>
  <c r="P143" i="4"/>
  <c r="Q143" i="4"/>
  <c r="N144" i="4"/>
  <c r="O144" i="4"/>
  <c r="P144" i="4"/>
  <c r="Q144" i="4"/>
  <c r="N145" i="4"/>
  <c r="O145" i="4"/>
  <c r="P145" i="4"/>
  <c r="Q145" i="4"/>
  <c r="N146" i="4"/>
  <c r="O146" i="4"/>
  <c r="P146" i="4"/>
  <c r="Q146" i="4"/>
  <c r="N147" i="4"/>
  <c r="O147" i="4"/>
  <c r="P147" i="4"/>
  <c r="Q147" i="4"/>
  <c r="N148" i="4"/>
  <c r="O148" i="4"/>
  <c r="P148" i="4"/>
  <c r="Q148" i="4"/>
  <c r="N149" i="4"/>
  <c r="O149" i="4"/>
  <c r="P149" i="4"/>
  <c r="Q149" i="4"/>
  <c r="N150" i="4"/>
  <c r="O150" i="4"/>
  <c r="P150" i="4"/>
  <c r="Q150" i="4"/>
  <c r="N151" i="4"/>
  <c r="O151" i="4"/>
  <c r="P151" i="4"/>
  <c r="Q151" i="4"/>
  <c r="N152" i="4"/>
  <c r="O152" i="4"/>
  <c r="P152" i="4"/>
  <c r="Q152" i="4"/>
  <c r="N153" i="4"/>
  <c r="O153" i="4"/>
  <c r="P153" i="4"/>
  <c r="Q153" i="4"/>
  <c r="N154" i="4"/>
  <c r="O154" i="4"/>
  <c r="P154" i="4"/>
  <c r="Q154" i="4"/>
  <c r="N155" i="4"/>
  <c r="O155" i="4"/>
  <c r="P155" i="4"/>
  <c r="Q155" i="4"/>
  <c r="N156" i="4"/>
  <c r="O156" i="4"/>
  <c r="P156" i="4"/>
  <c r="Q156" i="4"/>
  <c r="N157" i="4"/>
  <c r="O157" i="4"/>
  <c r="P157" i="4"/>
  <c r="Q157" i="4"/>
  <c r="N158" i="4"/>
  <c r="O158" i="4"/>
  <c r="P158" i="4"/>
  <c r="Q158" i="4"/>
  <c r="N159" i="4"/>
  <c r="O159" i="4"/>
  <c r="P159" i="4"/>
  <c r="Q159" i="4"/>
  <c r="N160" i="4"/>
  <c r="O160" i="4"/>
  <c r="P160" i="4"/>
  <c r="Q160" i="4"/>
  <c r="N161" i="4"/>
  <c r="O161" i="4"/>
  <c r="P161" i="4"/>
  <c r="Q161" i="4"/>
  <c r="N162" i="4"/>
  <c r="O162" i="4"/>
  <c r="P162" i="4"/>
  <c r="Q162" i="4"/>
  <c r="N163" i="4"/>
  <c r="O163" i="4"/>
  <c r="P163" i="4"/>
  <c r="Q163" i="4"/>
  <c r="N164" i="4"/>
  <c r="O164" i="4"/>
  <c r="P164" i="4"/>
  <c r="Q164" i="4"/>
  <c r="N165" i="4"/>
  <c r="O165" i="4"/>
  <c r="P165" i="4"/>
  <c r="Q165" i="4"/>
  <c r="N166" i="4"/>
  <c r="O166" i="4"/>
  <c r="P166" i="4"/>
  <c r="Q166" i="4"/>
  <c r="N167" i="4"/>
  <c r="O167" i="4"/>
  <c r="P167" i="4"/>
  <c r="Q167" i="4"/>
  <c r="N168" i="4"/>
  <c r="O168" i="4"/>
  <c r="P168" i="4"/>
  <c r="Q168" i="4"/>
  <c r="N169" i="4"/>
  <c r="O169" i="4"/>
  <c r="P169" i="4"/>
  <c r="Q169" i="4"/>
  <c r="N170" i="4"/>
  <c r="O170" i="4"/>
  <c r="P170" i="4"/>
  <c r="Q170" i="4"/>
  <c r="N171" i="4"/>
  <c r="O171" i="4"/>
  <c r="P171" i="4"/>
  <c r="Q171" i="4"/>
  <c r="N172" i="4"/>
  <c r="O172" i="4"/>
  <c r="P172" i="4"/>
  <c r="Q172" i="4"/>
  <c r="N173" i="4"/>
  <c r="O173" i="4"/>
  <c r="P173" i="4"/>
  <c r="Q173" i="4"/>
  <c r="N174" i="4"/>
  <c r="O174" i="4"/>
  <c r="P174" i="4"/>
  <c r="Q174" i="4"/>
  <c r="N175" i="4"/>
  <c r="O175" i="4"/>
  <c r="P175" i="4"/>
  <c r="Q175" i="4"/>
  <c r="N176" i="4"/>
  <c r="O176" i="4"/>
  <c r="P176" i="4"/>
  <c r="Q176" i="4"/>
  <c r="N177" i="4"/>
  <c r="O177" i="4"/>
  <c r="P177" i="4"/>
  <c r="Q177" i="4"/>
  <c r="N178" i="4"/>
  <c r="O178" i="4"/>
  <c r="P178" i="4"/>
  <c r="Q178" i="4"/>
  <c r="N179" i="4"/>
  <c r="O179" i="4"/>
  <c r="P179" i="4"/>
  <c r="Q179" i="4"/>
  <c r="N180" i="4"/>
  <c r="O180" i="4"/>
  <c r="P180" i="4"/>
  <c r="Q180" i="4"/>
  <c r="N181" i="4"/>
  <c r="O181" i="4"/>
  <c r="P181" i="4"/>
  <c r="Q181" i="4"/>
  <c r="N182" i="4"/>
  <c r="O182" i="4"/>
  <c r="P182" i="4"/>
  <c r="Q182" i="4"/>
  <c r="E5" i="1" l="1"/>
  <c r="C66" i="6"/>
  <c r="C67" i="6"/>
  <c r="C68" i="6"/>
  <c r="C69" i="6"/>
  <c r="C70" i="6"/>
  <c r="C71" i="6"/>
  <c r="C72" i="6"/>
  <c r="C73" i="6"/>
  <c r="C74" i="6"/>
  <c r="C75" i="6"/>
  <c r="C76" i="6"/>
  <c r="C77" i="6"/>
  <c r="C78" i="6"/>
  <c r="C79" i="6"/>
  <c r="C80" i="6"/>
  <c r="C81" i="6"/>
  <c r="C82" i="6"/>
  <c r="C83" i="6"/>
  <c r="C84" i="6"/>
  <c r="C85" i="6"/>
  <c r="C86" i="6"/>
  <c r="C87" i="6"/>
  <c r="C88" i="6"/>
  <c r="C89" i="6"/>
  <c r="C90" i="6"/>
  <c r="C91" i="6"/>
  <c r="C92" i="6"/>
  <c r="C93" i="6"/>
  <c r="C94" i="6"/>
  <c r="C95" i="6"/>
  <c r="C96" i="6"/>
  <c r="C97" i="6"/>
  <c r="C98" i="6"/>
  <c r="C99"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33" i="6"/>
  <c r="B7" i="5"/>
  <c r="M7" i="5" s="1"/>
  <c r="B8" i="5"/>
  <c r="B9" i="5"/>
  <c r="M9" i="5" s="1"/>
  <c r="B10" i="5"/>
  <c r="B11" i="5"/>
  <c r="B12" i="5"/>
  <c r="M12" i="5" s="1"/>
  <c r="B13" i="5"/>
  <c r="B14" i="5"/>
  <c r="M14" i="5" s="1"/>
  <c r="B15" i="5"/>
  <c r="M15" i="5" s="1"/>
  <c r="B16" i="5"/>
  <c r="B17" i="5"/>
  <c r="M17" i="5" s="1"/>
  <c r="B18" i="5"/>
  <c r="M18" i="5" s="1"/>
  <c r="B19" i="5"/>
  <c r="M19" i="5" s="1"/>
  <c r="B20" i="5"/>
  <c r="M20" i="5" s="1"/>
  <c r="B21" i="5"/>
  <c r="M21" i="5" s="1"/>
  <c r="B22" i="5"/>
  <c r="B23" i="5"/>
  <c r="M23" i="5" s="1"/>
  <c r="B24" i="5"/>
  <c r="M24" i="5" s="1"/>
  <c r="B25" i="5"/>
  <c r="M25" i="5" s="1"/>
  <c r="B26" i="5"/>
  <c r="B27" i="5"/>
  <c r="M27" i="5" s="1"/>
  <c r="B28" i="5"/>
  <c r="B29" i="5"/>
  <c r="M29" i="5" s="1"/>
  <c r="B30" i="5"/>
  <c r="B31" i="5"/>
  <c r="M31" i="5" s="1"/>
  <c r="B32" i="5"/>
  <c r="M32" i="5" s="1"/>
  <c r="B33" i="5"/>
  <c r="B34" i="5"/>
  <c r="B35" i="5"/>
  <c r="M35" i="5" s="1"/>
  <c r="B36" i="5"/>
  <c r="B37" i="5"/>
  <c r="M37" i="5" s="1"/>
  <c r="B38" i="5"/>
  <c r="M38" i="5" s="1"/>
  <c r="B39" i="5"/>
  <c r="M39" i="5" s="1"/>
  <c r="B40" i="5"/>
  <c r="B41" i="5"/>
  <c r="M41" i="5" s="1"/>
  <c r="B42" i="5"/>
  <c r="B43" i="5"/>
  <c r="M43" i="5" s="1"/>
  <c r="B44" i="5"/>
  <c r="M44" i="5" s="1"/>
  <c r="B45" i="5"/>
  <c r="B46" i="5"/>
  <c r="B47" i="5"/>
  <c r="M47" i="5" s="1"/>
  <c r="B48" i="5"/>
  <c r="M48" i="5" s="1"/>
  <c r="B49" i="5"/>
  <c r="B50" i="5"/>
  <c r="B51" i="5"/>
  <c r="B52" i="5"/>
  <c r="M52" i="5" s="1"/>
  <c r="B53" i="5"/>
  <c r="M53" i="5" s="1"/>
  <c r="B54" i="5"/>
  <c r="B55" i="5"/>
  <c r="M55" i="5" s="1"/>
  <c r="B56" i="5"/>
  <c r="M56" i="5" s="1"/>
  <c r="B57" i="5"/>
  <c r="M57" i="5" s="1"/>
  <c r="B58" i="5"/>
  <c r="M58" i="5" s="1"/>
  <c r="B59" i="5"/>
  <c r="M59" i="5" s="1"/>
  <c r="B60" i="5"/>
  <c r="M60" i="5" s="1"/>
  <c r="B61" i="5"/>
  <c r="M61" i="5" s="1"/>
  <c r="B62" i="5"/>
  <c r="M62" i="5" s="1"/>
  <c r="B63" i="5"/>
  <c r="X63" i="5" s="1"/>
  <c r="B64" i="5"/>
  <c r="M64" i="5" s="1"/>
  <c r="B65" i="5"/>
  <c r="M65" i="5" s="1"/>
  <c r="B66" i="5"/>
  <c r="X66" i="5" s="1"/>
  <c r="B67" i="5"/>
  <c r="M67" i="5" s="1"/>
  <c r="B68" i="5"/>
  <c r="M68" i="5" s="1"/>
  <c r="B69" i="5"/>
  <c r="M69" i="5" s="1"/>
  <c r="B70" i="5"/>
  <c r="X70" i="5" s="1"/>
  <c r="B71" i="5"/>
  <c r="X71" i="5" s="1"/>
  <c r="B72" i="5"/>
  <c r="M72" i="5" s="1"/>
  <c r="B6" i="5"/>
  <c r="K6" i="3"/>
  <c r="K7" i="3"/>
  <c r="K8" i="3"/>
  <c r="K12" i="3"/>
  <c r="K13" i="3"/>
  <c r="K14" i="3"/>
  <c r="K17" i="3"/>
  <c r="K18" i="3"/>
  <c r="K19" i="3"/>
  <c r="K20" i="3"/>
  <c r="K24" i="3"/>
  <c r="K25" i="3"/>
  <c r="K26" i="3"/>
  <c r="K29" i="3"/>
  <c r="K30" i="3"/>
  <c r="K31" i="3"/>
  <c r="K32" i="3"/>
  <c r="K38" i="3"/>
  <c r="K41" i="3"/>
  <c r="K42" i="3"/>
  <c r="K43" i="3"/>
  <c r="K44" i="3"/>
  <c r="K48" i="3"/>
  <c r="K49" i="3"/>
  <c r="K50" i="3"/>
  <c r="K54" i="3"/>
  <c r="K55" i="3"/>
  <c r="K56" i="3"/>
  <c r="K59" i="3"/>
  <c r="K60" i="3"/>
  <c r="K61" i="3"/>
  <c r="K62" i="3"/>
  <c r="K65" i="3"/>
  <c r="K66" i="3"/>
  <c r="K67" i="3"/>
  <c r="K68" i="3"/>
  <c r="K72" i="3"/>
  <c r="K73" i="3"/>
  <c r="K74" i="3"/>
  <c r="K77" i="3"/>
  <c r="K78" i="3"/>
  <c r="K79" i="3"/>
  <c r="K80" i="3"/>
  <c r="K84" i="3"/>
  <c r="K85" i="3"/>
  <c r="K86" i="3"/>
  <c r="K89" i="3"/>
  <c r="K90" i="3"/>
  <c r="K91" i="3"/>
  <c r="K92" i="3"/>
  <c r="K95" i="3"/>
  <c r="K96" i="3"/>
  <c r="K97" i="3"/>
  <c r="K98" i="3"/>
  <c r="K101" i="3"/>
  <c r="K102" i="3"/>
  <c r="K103" i="3"/>
  <c r="K104" i="3"/>
  <c r="K108" i="3"/>
  <c r="K109" i="3"/>
  <c r="K110" i="3"/>
  <c r="K113" i="3"/>
  <c r="K114" i="3"/>
  <c r="K115" i="3"/>
  <c r="K116" i="3"/>
  <c r="K120" i="3"/>
  <c r="K121" i="3"/>
  <c r="K122" i="3"/>
  <c r="K126" i="3"/>
  <c r="K127" i="3"/>
  <c r="K128" i="3"/>
  <c r="K132" i="3"/>
  <c r="K133" i="3"/>
  <c r="K134" i="3"/>
  <c r="K137" i="3"/>
  <c r="K138" i="3"/>
  <c r="K139" i="3"/>
  <c r="K140" i="3"/>
  <c r="K144" i="3"/>
  <c r="K145" i="3"/>
  <c r="K146" i="3"/>
  <c r="K149" i="3"/>
  <c r="K150" i="3"/>
  <c r="K151" i="3"/>
  <c r="K152" i="3"/>
  <c r="K155" i="3"/>
  <c r="K156" i="3"/>
  <c r="K157" i="3"/>
  <c r="K158" i="3"/>
  <c r="K161" i="3"/>
  <c r="K162" i="3"/>
  <c r="K163" i="3"/>
  <c r="K164" i="3"/>
  <c r="K168" i="3"/>
  <c r="K169" i="3"/>
  <c r="K170" i="3"/>
  <c r="K174" i="3"/>
  <c r="K175" i="3"/>
  <c r="K176" i="3"/>
  <c r="K180" i="3"/>
  <c r="K181" i="3"/>
  <c r="K182" i="3"/>
  <c r="K186" i="3"/>
  <c r="K187" i="3"/>
  <c r="K188" i="3"/>
  <c r="K192" i="3"/>
  <c r="K193" i="3"/>
  <c r="K194" i="3"/>
  <c r="K197" i="3"/>
  <c r="K198" i="3"/>
  <c r="K199" i="3"/>
  <c r="K200" i="3"/>
  <c r="K204" i="3"/>
  <c r="K205" i="3"/>
  <c r="K206" i="3"/>
  <c r="K210" i="3"/>
  <c r="K211" i="3"/>
  <c r="K212" i="3"/>
  <c r="K216" i="3"/>
  <c r="K217" i="3"/>
  <c r="K218" i="3"/>
  <c r="K223" i="3"/>
  <c r="K224" i="3"/>
  <c r="K227" i="3"/>
  <c r="K228" i="3"/>
  <c r="K229" i="3"/>
  <c r="K230" i="3"/>
  <c r="K233" i="3"/>
  <c r="K234" i="3"/>
  <c r="K235" i="3"/>
  <c r="K236" i="3"/>
  <c r="K239" i="3"/>
  <c r="K240" i="3"/>
  <c r="K241" i="3"/>
  <c r="K242" i="3"/>
  <c r="K246" i="3"/>
  <c r="K247" i="3"/>
  <c r="K248" i="3"/>
  <c r="K249" i="3"/>
  <c r="K250" i="3"/>
  <c r="K251" i="3"/>
  <c r="K252" i="3"/>
  <c r="K253" i="3"/>
  <c r="K254" i="3"/>
  <c r="K255" i="3"/>
  <c r="K256" i="3"/>
  <c r="K257" i="3"/>
  <c r="K258" i="3"/>
  <c r="K259" i="3"/>
  <c r="K260" i="3"/>
  <c r="K263" i="3"/>
  <c r="K264" i="3"/>
  <c r="K265" i="3"/>
  <c r="K266" i="3"/>
  <c r="K267" i="3"/>
  <c r="K268" i="3"/>
  <c r="K269" i="3"/>
  <c r="K270" i="3"/>
  <c r="K271" i="3"/>
  <c r="K272" i="3"/>
  <c r="K276" i="3"/>
  <c r="K277" i="3"/>
  <c r="K278" i="3"/>
  <c r="K279" i="3"/>
  <c r="K280" i="3"/>
  <c r="K281" i="3"/>
  <c r="K282" i="3"/>
  <c r="K283" i="3"/>
  <c r="K284" i="3"/>
  <c r="K285" i="3"/>
  <c r="K286" i="3"/>
  <c r="K287" i="3"/>
  <c r="K288" i="3"/>
  <c r="K289" i="3"/>
  <c r="K290" i="3"/>
  <c r="K291" i="3"/>
  <c r="K292" i="3"/>
  <c r="K293" i="3"/>
  <c r="K294" i="3"/>
  <c r="K295" i="3"/>
  <c r="K296" i="3"/>
  <c r="K297" i="3"/>
  <c r="K298" i="3"/>
  <c r="K299" i="3"/>
  <c r="K300" i="3"/>
  <c r="K301" i="3"/>
  <c r="K302" i="3"/>
  <c r="K303" i="3"/>
  <c r="K304" i="3"/>
  <c r="K305" i="3"/>
  <c r="K306" i="3"/>
  <c r="K307" i="3"/>
  <c r="K308" i="3"/>
  <c r="K309" i="3"/>
  <c r="K310" i="3"/>
  <c r="K311" i="3"/>
  <c r="K312" i="3"/>
  <c r="K313" i="3"/>
  <c r="K314" i="3"/>
  <c r="K315" i="3"/>
  <c r="K316" i="3"/>
  <c r="K317" i="3"/>
  <c r="K318" i="3"/>
  <c r="K319" i="3"/>
  <c r="K320" i="3"/>
  <c r="K321" i="3"/>
  <c r="K322" i="3"/>
  <c r="K323" i="3"/>
  <c r="K324" i="3"/>
  <c r="K325" i="3"/>
  <c r="K326" i="3"/>
  <c r="K327" i="3"/>
  <c r="K328" i="3"/>
  <c r="K329" i="3"/>
  <c r="K330" i="3"/>
  <c r="K331" i="3"/>
  <c r="K332" i="3"/>
  <c r="K333" i="3"/>
  <c r="K334" i="3"/>
  <c r="K335" i="3"/>
  <c r="K336" i="3"/>
  <c r="K337" i="3"/>
  <c r="K338" i="3"/>
  <c r="K339" i="3"/>
  <c r="K340" i="3"/>
  <c r="K341" i="3"/>
  <c r="K342" i="3"/>
  <c r="K343" i="3"/>
  <c r="K344" i="3"/>
  <c r="K345" i="3"/>
  <c r="K346" i="3"/>
  <c r="K347" i="3"/>
  <c r="K348" i="3"/>
  <c r="K349" i="3"/>
  <c r="K350" i="3"/>
  <c r="K351" i="3"/>
  <c r="L351" i="3" s="1"/>
  <c r="K352" i="3"/>
  <c r="L352" i="3" s="1"/>
  <c r="K353" i="3"/>
  <c r="L353" i="3" s="1"/>
  <c r="K354" i="3"/>
  <c r="L354" i="3" s="1"/>
  <c r="K355" i="3"/>
  <c r="L355" i="3" s="1"/>
  <c r="K356" i="3"/>
  <c r="L356" i="3" s="1"/>
  <c r="K357" i="3"/>
  <c r="L357" i="3" s="1"/>
  <c r="K358" i="3"/>
  <c r="L358" i="3" s="1"/>
  <c r="K359" i="3"/>
  <c r="L359" i="3" s="1"/>
  <c r="K360" i="3"/>
  <c r="L360" i="3" s="1"/>
  <c r="K361" i="3"/>
  <c r="L361" i="3" s="1"/>
  <c r="K362" i="3"/>
  <c r="L362" i="3" s="1"/>
  <c r="K363" i="3"/>
  <c r="L363" i="3" s="1"/>
  <c r="K364" i="3"/>
  <c r="L364" i="3" s="1"/>
  <c r="K365" i="3"/>
  <c r="L365" i="3" s="1"/>
  <c r="K366" i="3"/>
  <c r="L366" i="3" s="1"/>
  <c r="K367" i="3"/>
  <c r="L367" i="3" s="1"/>
  <c r="K368" i="3"/>
  <c r="L368" i="3" s="1"/>
  <c r="K369" i="3"/>
  <c r="L369" i="3" s="1"/>
  <c r="K370" i="3"/>
  <c r="L370" i="3" s="1"/>
  <c r="K371" i="3"/>
  <c r="L371" i="3" s="1"/>
  <c r="K372" i="3"/>
  <c r="L372" i="3" s="1"/>
  <c r="K373" i="3"/>
  <c r="L373" i="3" s="1"/>
  <c r="K374" i="3"/>
  <c r="L374" i="3" s="1"/>
  <c r="K375" i="3"/>
  <c r="L375" i="3" s="1"/>
  <c r="K376" i="3"/>
  <c r="L376" i="3" s="1"/>
  <c r="K377" i="3"/>
  <c r="L377" i="3" s="1"/>
  <c r="K378" i="3"/>
  <c r="L378" i="3" s="1"/>
  <c r="K379" i="3"/>
  <c r="L379" i="3" s="1"/>
  <c r="K380" i="3"/>
  <c r="L380" i="3" s="1"/>
  <c r="K381" i="3"/>
  <c r="L381" i="3" s="1"/>
  <c r="K382" i="3"/>
  <c r="L382" i="3" s="1"/>
  <c r="K383" i="3"/>
  <c r="L383" i="3" s="1"/>
  <c r="K384" i="3"/>
  <c r="L384" i="3" s="1"/>
  <c r="K385" i="3"/>
  <c r="L385" i="3" s="1"/>
  <c r="K386" i="3"/>
  <c r="L386" i="3" s="1"/>
  <c r="K387" i="3"/>
  <c r="L387" i="3" s="1"/>
  <c r="K388" i="3"/>
  <c r="L388" i="3" s="1"/>
  <c r="K389" i="3"/>
  <c r="L389" i="3" s="1"/>
  <c r="K390" i="3"/>
  <c r="L390" i="3" s="1"/>
  <c r="K391" i="3"/>
  <c r="L391" i="3" s="1"/>
  <c r="K392" i="3"/>
  <c r="L392" i="3" s="1"/>
  <c r="K393" i="3"/>
  <c r="L393" i="3" s="1"/>
  <c r="K394" i="3"/>
  <c r="L394" i="3" s="1"/>
  <c r="K395" i="3"/>
  <c r="L395" i="3" s="1"/>
  <c r="K396" i="3"/>
  <c r="L396" i="3" s="1"/>
  <c r="K397" i="3"/>
  <c r="L397" i="3" s="1"/>
  <c r="K398" i="3"/>
  <c r="L398" i="3" s="1"/>
  <c r="K399" i="3"/>
  <c r="L399" i="3" s="1"/>
  <c r="K400" i="3"/>
  <c r="L400" i="3" s="1"/>
  <c r="K401" i="3"/>
  <c r="L401" i="3" s="1"/>
  <c r="K402" i="3"/>
  <c r="L402" i="3" s="1"/>
  <c r="K403" i="3"/>
  <c r="L403" i="3" s="1"/>
  <c r="K404" i="3"/>
  <c r="L404" i="3" s="1"/>
  <c r="V154" i="4"/>
  <c r="D4" i="4"/>
  <c r="E4" i="4" s="1"/>
  <c r="D5" i="4"/>
  <c r="E5" i="4" s="1"/>
  <c r="D6" i="4"/>
  <c r="E6" i="4" s="1"/>
  <c r="D7" i="4"/>
  <c r="E7" i="4" s="1"/>
  <c r="D8" i="4"/>
  <c r="E8" i="4" s="1"/>
  <c r="D9" i="4"/>
  <c r="E9" i="4" s="1"/>
  <c r="D10" i="4"/>
  <c r="E10" i="4" s="1"/>
  <c r="D11" i="4"/>
  <c r="E11" i="4" s="1"/>
  <c r="D12" i="4"/>
  <c r="E12" i="4" s="1"/>
  <c r="D13" i="4"/>
  <c r="E13" i="4" s="1"/>
  <c r="D14" i="4"/>
  <c r="E14" i="4" s="1"/>
  <c r="D15" i="4"/>
  <c r="E15" i="4" s="1"/>
  <c r="D16" i="4"/>
  <c r="E16" i="4" s="1"/>
  <c r="D17" i="4"/>
  <c r="E17" i="4" s="1"/>
  <c r="D18" i="4"/>
  <c r="E18" i="4" s="1"/>
  <c r="D19" i="4"/>
  <c r="E19" i="4" s="1"/>
  <c r="D20" i="4"/>
  <c r="E20" i="4" s="1"/>
  <c r="D21" i="4"/>
  <c r="E21" i="4" s="1"/>
  <c r="D22" i="4"/>
  <c r="E22" i="4" s="1"/>
  <c r="D23" i="4"/>
  <c r="E23" i="4" s="1"/>
  <c r="D24" i="4"/>
  <c r="E24" i="4" s="1"/>
  <c r="D25" i="4"/>
  <c r="E25" i="4" s="1"/>
  <c r="D26" i="4"/>
  <c r="E26" i="4" s="1"/>
  <c r="D27" i="4"/>
  <c r="E27" i="4" s="1"/>
  <c r="D28" i="4"/>
  <c r="E28" i="4" s="1"/>
  <c r="D29" i="4"/>
  <c r="E29" i="4" s="1"/>
  <c r="D30" i="4"/>
  <c r="E30" i="4" s="1"/>
  <c r="D31" i="4"/>
  <c r="E31" i="4" s="1"/>
  <c r="D32" i="4"/>
  <c r="E32" i="4" s="1"/>
  <c r="D33" i="4"/>
  <c r="E33" i="4" s="1"/>
  <c r="D34" i="4"/>
  <c r="E34" i="4" s="1"/>
  <c r="D35" i="4"/>
  <c r="E35" i="4" s="1"/>
  <c r="D36" i="4"/>
  <c r="E36" i="4" s="1"/>
  <c r="D37" i="4"/>
  <c r="E37" i="4" s="1"/>
  <c r="D38" i="4"/>
  <c r="E38" i="4" s="1"/>
  <c r="D39" i="4"/>
  <c r="E39" i="4" s="1"/>
  <c r="D40" i="4"/>
  <c r="E40" i="4" s="1"/>
  <c r="D41" i="4"/>
  <c r="E41" i="4" s="1"/>
  <c r="D42" i="4"/>
  <c r="E42" i="4" s="1"/>
  <c r="D43" i="4"/>
  <c r="E43" i="4" s="1"/>
  <c r="D44" i="4"/>
  <c r="E44" i="4" s="1"/>
  <c r="D45" i="4"/>
  <c r="E45" i="4" s="1"/>
  <c r="D46" i="4"/>
  <c r="E46" i="4" s="1"/>
  <c r="D47" i="4"/>
  <c r="E47" i="4" s="1"/>
  <c r="D48" i="4"/>
  <c r="E48" i="4" s="1"/>
  <c r="D49" i="4"/>
  <c r="E49" i="4" s="1"/>
  <c r="D50" i="4"/>
  <c r="E50" i="4" s="1"/>
  <c r="D51" i="4"/>
  <c r="E51" i="4" s="1"/>
  <c r="D52" i="4"/>
  <c r="E52" i="4" s="1"/>
  <c r="D53" i="4"/>
  <c r="E53" i="4" s="1"/>
  <c r="D54" i="4"/>
  <c r="E54" i="4" s="1"/>
  <c r="D55" i="4"/>
  <c r="E55" i="4" s="1"/>
  <c r="D56" i="4"/>
  <c r="E56" i="4" s="1"/>
  <c r="D57" i="4"/>
  <c r="E57" i="4" s="1"/>
  <c r="D58" i="4"/>
  <c r="E58" i="4" s="1"/>
  <c r="D59" i="4"/>
  <c r="E59" i="4" s="1"/>
  <c r="D60" i="4"/>
  <c r="E60" i="4" s="1"/>
  <c r="D61" i="4"/>
  <c r="E61" i="4" s="1"/>
  <c r="D62" i="4"/>
  <c r="E62" i="4" s="1"/>
  <c r="D63" i="4"/>
  <c r="E63" i="4" s="1"/>
  <c r="D64" i="4"/>
  <c r="E64" i="4" s="1"/>
  <c r="D65" i="4"/>
  <c r="E65" i="4" s="1"/>
  <c r="D66" i="4"/>
  <c r="E66" i="4" s="1"/>
  <c r="D67" i="4"/>
  <c r="E67" i="4" s="1"/>
  <c r="D68" i="4"/>
  <c r="E68" i="4" s="1"/>
  <c r="D69" i="4"/>
  <c r="E69" i="4" s="1"/>
  <c r="D70" i="4"/>
  <c r="E70" i="4" s="1"/>
  <c r="D71" i="4"/>
  <c r="E71" i="4" s="1"/>
  <c r="D72" i="4"/>
  <c r="E72" i="4" s="1"/>
  <c r="D73" i="4"/>
  <c r="E73" i="4" s="1"/>
  <c r="D74" i="4"/>
  <c r="E74" i="4" s="1"/>
  <c r="D75" i="4"/>
  <c r="E75" i="4" s="1"/>
  <c r="D76" i="4"/>
  <c r="E76" i="4" s="1"/>
  <c r="D77" i="4"/>
  <c r="E77" i="4" s="1"/>
  <c r="D78" i="4"/>
  <c r="E78" i="4" s="1"/>
  <c r="D79" i="4"/>
  <c r="E79" i="4" s="1"/>
  <c r="D80" i="4"/>
  <c r="E80" i="4" s="1"/>
  <c r="D81" i="4"/>
  <c r="E81" i="4" s="1"/>
  <c r="D82" i="4"/>
  <c r="E82" i="4" s="1"/>
  <c r="D83" i="4"/>
  <c r="E83" i="4" s="1"/>
  <c r="D84" i="4"/>
  <c r="E84" i="4" s="1"/>
  <c r="D85" i="4"/>
  <c r="E85" i="4" s="1"/>
  <c r="D86" i="4"/>
  <c r="E86" i="4" s="1"/>
  <c r="D87" i="4"/>
  <c r="E87" i="4" s="1"/>
  <c r="D88" i="4"/>
  <c r="E88" i="4" s="1"/>
  <c r="D89" i="4"/>
  <c r="E89" i="4" s="1"/>
  <c r="D90" i="4"/>
  <c r="E90" i="4" s="1"/>
  <c r="D91" i="4"/>
  <c r="E91" i="4" s="1"/>
  <c r="D92" i="4"/>
  <c r="E92" i="4" s="1"/>
  <c r="D93" i="4"/>
  <c r="E93" i="4" s="1"/>
  <c r="D94" i="4"/>
  <c r="E94" i="4" s="1"/>
  <c r="D95" i="4"/>
  <c r="E95" i="4" s="1"/>
  <c r="D96" i="4"/>
  <c r="E96" i="4" s="1"/>
  <c r="D97" i="4"/>
  <c r="E97" i="4" s="1"/>
  <c r="D98" i="4"/>
  <c r="E98" i="4" s="1"/>
  <c r="D99" i="4"/>
  <c r="E99" i="4" s="1"/>
  <c r="D100" i="4"/>
  <c r="E100" i="4" s="1"/>
  <c r="D101" i="4"/>
  <c r="E101" i="4" s="1"/>
  <c r="D102" i="4"/>
  <c r="E102" i="4" s="1"/>
  <c r="D103" i="4"/>
  <c r="E103" i="4" s="1"/>
  <c r="D104" i="4"/>
  <c r="E104" i="4" s="1"/>
  <c r="D105" i="4"/>
  <c r="E105" i="4" s="1"/>
  <c r="D106" i="4"/>
  <c r="E106" i="4" s="1"/>
  <c r="D107" i="4"/>
  <c r="E107" i="4" s="1"/>
  <c r="D108" i="4"/>
  <c r="E108" i="4" s="1"/>
  <c r="D109" i="4"/>
  <c r="E109" i="4" s="1"/>
  <c r="D110" i="4"/>
  <c r="E110" i="4" s="1"/>
  <c r="D111" i="4"/>
  <c r="E111" i="4" s="1"/>
  <c r="D112" i="4"/>
  <c r="E112" i="4" s="1"/>
  <c r="D113" i="4"/>
  <c r="E113" i="4" s="1"/>
  <c r="D114" i="4"/>
  <c r="E114" i="4" s="1"/>
  <c r="D115" i="4"/>
  <c r="E115" i="4" s="1"/>
  <c r="D116" i="4"/>
  <c r="E116" i="4" s="1"/>
  <c r="D117" i="4"/>
  <c r="E117" i="4" s="1"/>
  <c r="D118" i="4"/>
  <c r="E118" i="4" s="1"/>
  <c r="D119" i="4"/>
  <c r="E119" i="4" s="1"/>
  <c r="D120" i="4"/>
  <c r="E120" i="4" s="1"/>
  <c r="D121" i="4"/>
  <c r="E121" i="4" s="1"/>
  <c r="D122" i="4"/>
  <c r="E122" i="4" s="1"/>
  <c r="D123" i="4"/>
  <c r="E123" i="4" s="1"/>
  <c r="D124" i="4"/>
  <c r="E124" i="4" s="1"/>
  <c r="D125" i="4"/>
  <c r="E125" i="4" s="1"/>
  <c r="D126" i="4"/>
  <c r="E126" i="4" s="1"/>
  <c r="D127" i="4"/>
  <c r="E127" i="4" s="1"/>
  <c r="D128" i="4"/>
  <c r="E128" i="4" s="1"/>
  <c r="D129" i="4"/>
  <c r="E129" i="4" s="1"/>
  <c r="D130" i="4"/>
  <c r="E130" i="4" s="1"/>
  <c r="D131" i="4"/>
  <c r="E131" i="4" s="1"/>
  <c r="D132" i="4"/>
  <c r="E132" i="4" s="1"/>
  <c r="D133" i="4"/>
  <c r="E133" i="4" s="1"/>
  <c r="D134" i="4"/>
  <c r="E134" i="4" s="1"/>
  <c r="D135" i="4"/>
  <c r="E135" i="4" s="1"/>
  <c r="D136" i="4"/>
  <c r="E136" i="4" s="1"/>
  <c r="D137" i="4"/>
  <c r="E137" i="4" s="1"/>
  <c r="D138" i="4"/>
  <c r="E138" i="4" s="1"/>
  <c r="D139" i="4"/>
  <c r="E139" i="4" s="1"/>
  <c r="D140" i="4"/>
  <c r="E140" i="4" s="1"/>
  <c r="D141" i="4"/>
  <c r="E141" i="4" s="1"/>
  <c r="D142" i="4"/>
  <c r="E142" i="4" s="1"/>
  <c r="D143" i="4"/>
  <c r="E143" i="4" s="1"/>
  <c r="D144" i="4"/>
  <c r="E144" i="4" s="1"/>
  <c r="D145" i="4"/>
  <c r="E145" i="4" s="1"/>
  <c r="D146" i="4"/>
  <c r="E146" i="4" s="1"/>
  <c r="D147" i="4"/>
  <c r="E147" i="4" s="1"/>
  <c r="D148" i="4"/>
  <c r="E148" i="4" s="1"/>
  <c r="D149" i="4"/>
  <c r="E149" i="4" s="1"/>
  <c r="D150" i="4"/>
  <c r="E150" i="4" s="1"/>
  <c r="D151" i="4"/>
  <c r="E151" i="4" s="1"/>
  <c r="D152" i="4"/>
  <c r="E152" i="4" s="1"/>
  <c r="D153" i="4"/>
  <c r="E153" i="4" s="1"/>
  <c r="D154" i="4"/>
  <c r="E154" i="4" s="1"/>
  <c r="D155" i="4"/>
  <c r="E155" i="4" s="1"/>
  <c r="D156" i="4"/>
  <c r="E156" i="4" s="1"/>
  <c r="D157" i="4"/>
  <c r="E157" i="4" s="1"/>
  <c r="D158" i="4"/>
  <c r="E158" i="4" s="1"/>
  <c r="D159" i="4"/>
  <c r="E159" i="4" s="1"/>
  <c r="D160" i="4"/>
  <c r="E160" i="4" s="1"/>
  <c r="D161" i="4"/>
  <c r="E161" i="4" s="1"/>
  <c r="D162" i="4"/>
  <c r="E162" i="4" s="1"/>
  <c r="D163" i="4"/>
  <c r="E163" i="4" s="1"/>
  <c r="D164" i="4"/>
  <c r="E164" i="4" s="1"/>
  <c r="D165" i="4"/>
  <c r="E165" i="4" s="1"/>
  <c r="D166" i="4"/>
  <c r="E166" i="4" s="1"/>
  <c r="D167" i="4"/>
  <c r="E167" i="4" s="1"/>
  <c r="D168" i="4"/>
  <c r="E168" i="4" s="1"/>
  <c r="D169" i="4"/>
  <c r="E169" i="4" s="1"/>
  <c r="D170" i="4"/>
  <c r="E170" i="4" s="1"/>
  <c r="D171" i="4"/>
  <c r="E171" i="4" s="1"/>
  <c r="D172" i="4"/>
  <c r="E172" i="4" s="1"/>
  <c r="D173" i="4"/>
  <c r="E173" i="4" s="1"/>
  <c r="D174" i="4"/>
  <c r="E174" i="4" s="1"/>
  <c r="D175" i="4"/>
  <c r="E175" i="4" s="1"/>
  <c r="D176" i="4"/>
  <c r="E176" i="4" s="1"/>
  <c r="D177" i="4"/>
  <c r="E177" i="4" s="1"/>
  <c r="D178" i="4"/>
  <c r="E178" i="4" s="1"/>
  <c r="D179" i="4"/>
  <c r="E179" i="4" s="1"/>
  <c r="D180" i="4"/>
  <c r="E180" i="4" s="1"/>
  <c r="D181" i="4"/>
  <c r="E181" i="4" s="1"/>
  <c r="D182" i="4"/>
  <c r="E182" i="4" s="1"/>
  <c r="D183" i="4"/>
  <c r="E183" i="4" s="1"/>
  <c r="D184" i="4"/>
  <c r="E184" i="4" s="1"/>
  <c r="D185" i="4"/>
  <c r="E185" i="4" s="1"/>
  <c r="D186" i="4"/>
  <c r="E186" i="4" s="1"/>
  <c r="D187" i="4"/>
  <c r="E187" i="4" s="1"/>
  <c r="D188" i="4"/>
  <c r="E188" i="4" s="1"/>
  <c r="D189" i="4"/>
  <c r="E189" i="4" s="1"/>
  <c r="D190" i="4"/>
  <c r="E190" i="4" s="1"/>
  <c r="D191" i="4"/>
  <c r="E191" i="4" s="1"/>
  <c r="D192" i="4"/>
  <c r="E192" i="4" s="1"/>
  <c r="D193" i="4"/>
  <c r="E193" i="4" s="1"/>
  <c r="D194" i="4"/>
  <c r="E194" i="4" s="1"/>
  <c r="D195" i="4"/>
  <c r="E195" i="4" s="1"/>
  <c r="D196" i="4"/>
  <c r="E196" i="4" s="1"/>
  <c r="D197" i="4"/>
  <c r="E197" i="4" s="1"/>
  <c r="D198" i="4"/>
  <c r="E198" i="4" s="1"/>
  <c r="D199" i="4"/>
  <c r="E199" i="4" s="1"/>
  <c r="D200" i="4"/>
  <c r="E200" i="4" s="1"/>
  <c r="D201" i="4"/>
  <c r="E201" i="4" s="1"/>
  <c r="D202" i="4"/>
  <c r="E202" i="4" s="1"/>
  <c r="D203" i="4"/>
  <c r="E203" i="4" s="1"/>
  <c r="D204" i="4"/>
  <c r="E204" i="4" s="1"/>
  <c r="D205" i="4"/>
  <c r="E205" i="4" s="1"/>
  <c r="D206" i="4"/>
  <c r="E206" i="4" s="1"/>
  <c r="D207" i="4"/>
  <c r="E207" i="4" s="1"/>
  <c r="D208" i="4"/>
  <c r="E208" i="4" s="1"/>
  <c r="D209" i="4"/>
  <c r="E209" i="4" s="1"/>
  <c r="D210" i="4"/>
  <c r="E210" i="4" s="1"/>
  <c r="D211" i="4"/>
  <c r="E211" i="4" s="1"/>
  <c r="D212" i="4"/>
  <c r="E212" i="4" s="1"/>
  <c r="D213" i="4"/>
  <c r="E213" i="4" s="1"/>
  <c r="D214" i="4"/>
  <c r="E214" i="4" s="1"/>
  <c r="D215" i="4"/>
  <c r="E215" i="4" s="1"/>
  <c r="D216" i="4"/>
  <c r="E216" i="4" s="1"/>
  <c r="D217" i="4"/>
  <c r="E217" i="4" s="1"/>
  <c r="D218" i="4"/>
  <c r="E218" i="4" s="1"/>
  <c r="D219" i="4"/>
  <c r="E219" i="4" s="1"/>
  <c r="D220" i="4"/>
  <c r="E220" i="4" s="1"/>
  <c r="D221" i="4"/>
  <c r="E221" i="4" s="1"/>
  <c r="D222" i="4"/>
  <c r="E222" i="4" s="1"/>
  <c r="D223" i="4"/>
  <c r="E223" i="4" s="1"/>
  <c r="D224" i="4"/>
  <c r="E224" i="4" s="1"/>
  <c r="D225" i="4"/>
  <c r="E225" i="4" s="1"/>
  <c r="D226" i="4"/>
  <c r="E226" i="4" s="1"/>
  <c r="D227" i="4"/>
  <c r="E227" i="4" s="1"/>
  <c r="D228" i="4"/>
  <c r="E228" i="4" s="1"/>
  <c r="D229" i="4"/>
  <c r="E229" i="4" s="1"/>
  <c r="D230" i="4"/>
  <c r="E230" i="4" s="1"/>
  <c r="D231" i="4"/>
  <c r="E231" i="4" s="1"/>
  <c r="D232" i="4"/>
  <c r="E232" i="4" s="1"/>
  <c r="D233" i="4"/>
  <c r="E233" i="4" s="1"/>
  <c r="D234" i="4"/>
  <c r="E234" i="4" s="1"/>
  <c r="D235" i="4"/>
  <c r="E235" i="4" s="1"/>
  <c r="D236" i="4"/>
  <c r="E236" i="4" s="1"/>
  <c r="D237" i="4"/>
  <c r="E237" i="4" s="1"/>
  <c r="D238" i="4"/>
  <c r="E238" i="4" s="1"/>
  <c r="D239" i="4"/>
  <c r="E239" i="4" s="1"/>
  <c r="D240" i="4"/>
  <c r="E240" i="4" s="1"/>
  <c r="D241" i="4"/>
  <c r="E241" i="4" s="1"/>
  <c r="D242" i="4"/>
  <c r="E242" i="4" s="1"/>
  <c r="D243" i="4"/>
  <c r="E243" i="4" s="1"/>
  <c r="D244" i="4"/>
  <c r="E244" i="4" s="1"/>
  <c r="D245" i="4"/>
  <c r="E245" i="4" s="1"/>
  <c r="D246" i="4"/>
  <c r="E246" i="4" s="1"/>
  <c r="D247" i="4"/>
  <c r="E247" i="4" s="1"/>
  <c r="D248" i="4"/>
  <c r="E248" i="4" s="1"/>
  <c r="D249" i="4"/>
  <c r="E249" i="4" s="1"/>
  <c r="D250" i="4"/>
  <c r="E250" i="4" s="1"/>
  <c r="D251" i="4"/>
  <c r="E251" i="4" s="1"/>
  <c r="D252" i="4"/>
  <c r="E252" i="4" s="1"/>
  <c r="D253" i="4"/>
  <c r="E253" i="4" s="1"/>
  <c r="D254" i="4"/>
  <c r="E254" i="4" s="1"/>
  <c r="D255" i="4"/>
  <c r="E255" i="4" s="1"/>
  <c r="D256" i="4"/>
  <c r="E256" i="4" s="1"/>
  <c r="D257" i="4"/>
  <c r="E257" i="4" s="1"/>
  <c r="D258" i="4"/>
  <c r="E258" i="4" s="1"/>
  <c r="D259" i="4"/>
  <c r="E259" i="4" s="1"/>
  <c r="D260" i="4"/>
  <c r="E260" i="4" s="1"/>
  <c r="D261" i="4"/>
  <c r="E261" i="4" s="1"/>
  <c r="D262" i="4"/>
  <c r="E262" i="4" s="1"/>
  <c r="D263" i="4"/>
  <c r="E263" i="4" s="1"/>
  <c r="D264" i="4"/>
  <c r="E264" i="4" s="1"/>
  <c r="D265" i="4"/>
  <c r="E265" i="4" s="1"/>
  <c r="D266" i="4"/>
  <c r="E266" i="4" s="1"/>
  <c r="D267" i="4"/>
  <c r="E267" i="4" s="1"/>
  <c r="D268" i="4"/>
  <c r="E268" i="4" s="1"/>
  <c r="D269" i="4"/>
  <c r="E269" i="4" s="1"/>
  <c r="D270" i="4"/>
  <c r="E270" i="4" s="1"/>
  <c r="D271" i="4"/>
  <c r="E271" i="4" s="1"/>
  <c r="D272" i="4"/>
  <c r="E272" i="4" s="1"/>
  <c r="D273" i="4"/>
  <c r="E273" i="4" s="1"/>
  <c r="D274" i="4"/>
  <c r="E274" i="4" s="1"/>
  <c r="D275" i="4"/>
  <c r="E275" i="4" s="1"/>
  <c r="D276" i="4"/>
  <c r="E276" i="4" s="1"/>
  <c r="D277" i="4"/>
  <c r="E277" i="4" s="1"/>
  <c r="D278" i="4"/>
  <c r="E278" i="4" s="1"/>
  <c r="D279" i="4"/>
  <c r="E279" i="4" s="1"/>
  <c r="D280" i="4"/>
  <c r="E280" i="4" s="1"/>
  <c r="D281" i="4"/>
  <c r="E281" i="4" s="1"/>
  <c r="D282" i="4"/>
  <c r="E282" i="4" s="1"/>
  <c r="D283" i="4"/>
  <c r="E283" i="4" s="1"/>
  <c r="D284" i="4"/>
  <c r="E284" i="4" s="1"/>
  <c r="D285" i="4"/>
  <c r="E285" i="4" s="1"/>
  <c r="D286" i="4"/>
  <c r="E286" i="4" s="1"/>
  <c r="D287" i="4"/>
  <c r="E287" i="4" s="1"/>
  <c r="D288" i="4"/>
  <c r="E288" i="4" s="1"/>
  <c r="D289" i="4"/>
  <c r="E289" i="4" s="1"/>
  <c r="D290" i="4"/>
  <c r="E290" i="4" s="1"/>
  <c r="D291" i="4"/>
  <c r="E291" i="4" s="1"/>
  <c r="D292" i="4"/>
  <c r="E292" i="4" s="1"/>
  <c r="D293" i="4"/>
  <c r="E293" i="4" s="1"/>
  <c r="D294" i="4"/>
  <c r="E294" i="4" s="1"/>
  <c r="D295" i="4"/>
  <c r="E295" i="4" s="1"/>
  <c r="D296" i="4"/>
  <c r="E296" i="4" s="1"/>
  <c r="D297" i="4"/>
  <c r="E297" i="4" s="1"/>
  <c r="D298" i="4"/>
  <c r="E298" i="4" s="1"/>
  <c r="D299" i="4"/>
  <c r="E299" i="4" s="1"/>
  <c r="D300" i="4"/>
  <c r="E300" i="4" s="1"/>
  <c r="D301" i="4"/>
  <c r="E301" i="4" s="1"/>
  <c r="D302" i="4"/>
  <c r="E302" i="4" s="1"/>
  <c r="D303" i="4"/>
  <c r="E303" i="4" s="1"/>
  <c r="D304" i="4"/>
  <c r="E304" i="4" s="1"/>
  <c r="D305" i="4"/>
  <c r="E305" i="4" s="1"/>
  <c r="D306" i="4"/>
  <c r="E306" i="4" s="1"/>
  <c r="D307" i="4"/>
  <c r="E307" i="4" s="1"/>
  <c r="D308" i="4"/>
  <c r="E308" i="4" s="1"/>
  <c r="D309" i="4"/>
  <c r="E309" i="4" s="1"/>
  <c r="D310" i="4"/>
  <c r="E310" i="4" s="1"/>
  <c r="D311" i="4"/>
  <c r="E311" i="4" s="1"/>
  <c r="D312" i="4"/>
  <c r="E312" i="4" s="1"/>
  <c r="D313" i="4"/>
  <c r="E313" i="4" s="1"/>
  <c r="D314" i="4"/>
  <c r="E314" i="4" s="1"/>
  <c r="D315" i="4"/>
  <c r="E315" i="4" s="1"/>
  <c r="D316" i="4"/>
  <c r="E316" i="4" s="1"/>
  <c r="D317" i="4"/>
  <c r="E317" i="4" s="1"/>
  <c r="D318" i="4"/>
  <c r="E318" i="4" s="1"/>
  <c r="D319" i="4"/>
  <c r="E319" i="4" s="1"/>
  <c r="D320" i="4"/>
  <c r="E320" i="4" s="1"/>
  <c r="D321" i="4"/>
  <c r="E321" i="4" s="1"/>
  <c r="D322" i="4"/>
  <c r="E322" i="4" s="1"/>
  <c r="D323" i="4"/>
  <c r="E323" i="4" s="1"/>
  <c r="D324" i="4"/>
  <c r="E324" i="4" s="1"/>
  <c r="D325" i="4"/>
  <c r="E325" i="4" s="1"/>
  <c r="D326" i="4"/>
  <c r="E326" i="4" s="1"/>
  <c r="D327" i="4"/>
  <c r="E327" i="4" s="1"/>
  <c r="D328" i="4"/>
  <c r="E328" i="4" s="1"/>
  <c r="D329" i="4"/>
  <c r="E329" i="4" s="1"/>
  <c r="D330" i="4"/>
  <c r="E330" i="4" s="1"/>
  <c r="D331" i="4"/>
  <c r="E331" i="4" s="1"/>
  <c r="D332" i="4"/>
  <c r="E332" i="4" s="1"/>
  <c r="D333" i="4"/>
  <c r="E333" i="4" s="1"/>
  <c r="D334" i="4"/>
  <c r="E334" i="4" s="1"/>
  <c r="D335" i="4"/>
  <c r="E335" i="4" s="1"/>
  <c r="D336" i="4"/>
  <c r="E336" i="4" s="1"/>
  <c r="D337" i="4"/>
  <c r="E337" i="4" s="1"/>
  <c r="D338" i="4"/>
  <c r="E338" i="4" s="1"/>
  <c r="D339" i="4"/>
  <c r="E339" i="4" s="1"/>
  <c r="D340" i="4"/>
  <c r="E340" i="4" s="1"/>
  <c r="D341" i="4"/>
  <c r="E341" i="4" s="1"/>
  <c r="D342" i="4"/>
  <c r="E342" i="4" s="1"/>
  <c r="D343" i="4"/>
  <c r="E343" i="4" s="1"/>
  <c r="D344" i="4"/>
  <c r="E344" i="4" s="1"/>
  <c r="D345" i="4"/>
  <c r="E345" i="4" s="1"/>
  <c r="D346" i="4"/>
  <c r="E346" i="4" s="1"/>
  <c r="D347" i="4"/>
  <c r="E347" i="4" s="1"/>
  <c r="D348" i="4"/>
  <c r="E348" i="4" s="1"/>
  <c r="D349" i="4"/>
  <c r="E349" i="4" s="1"/>
  <c r="D350" i="4"/>
  <c r="E350" i="4" s="1"/>
  <c r="D351" i="4"/>
  <c r="E351" i="4" s="1"/>
  <c r="D352" i="4"/>
  <c r="E352" i="4" s="1"/>
  <c r="D353" i="4"/>
  <c r="E353" i="4" s="1"/>
  <c r="D354" i="4"/>
  <c r="E354" i="4" s="1"/>
  <c r="D355" i="4"/>
  <c r="E355" i="4" s="1"/>
  <c r="D356" i="4"/>
  <c r="E356" i="4" s="1"/>
  <c r="D357" i="4"/>
  <c r="E357" i="4" s="1"/>
  <c r="D358" i="4"/>
  <c r="E358" i="4" s="1"/>
  <c r="D359" i="4"/>
  <c r="E359" i="4" s="1"/>
  <c r="D360" i="4"/>
  <c r="E360" i="4" s="1"/>
  <c r="D361" i="4"/>
  <c r="E361" i="4" s="1"/>
  <c r="D362" i="4"/>
  <c r="E362" i="4" s="1"/>
  <c r="D363" i="4"/>
  <c r="E363" i="4" s="1"/>
  <c r="D364" i="4"/>
  <c r="E364" i="4" s="1"/>
  <c r="D365" i="4"/>
  <c r="E365" i="4" s="1"/>
  <c r="D366" i="4"/>
  <c r="E366" i="4" s="1"/>
  <c r="D367" i="4"/>
  <c r="E367" i="4" s="1"/>
  <c r="D368" i="4"/>
  <c r="E368" i="4" s="1"/>
  <c r="D369" i="4"/>
  <c r="E369" i="4" s="1"/>
  <c r="D370" i="4"/>
  <c r="E370" i="4" s="1"/>
  <c r="D371" i="4"/>
  <c r="E371" i="4" s="1"/>
  <c r="D372" i="4"/>
  <c r="E372" i="4" s="1"/>
  <c r="D373" i="4"/>
  <c r="E373" i="4" s="1"/>
  <c r="D374" i="4"/>
  <c r="E374" i="4" s="1"/>
  <c r="D375" i="4"/>
  <c r="E375" i="4" s="1"/>
  <c r="D376" i="4"/>
  <c r="E376" i="4" s="1"/>
  <c r="D377" i="4"/>
  <c r="E377" i="4" s="1"/>
  <c r="D378" i="4"/>
  <c r="E378" i="4" s="1"/>
  <c r="D379" i="4"/>
  <c r="E379" i="4" s="1"/>
  <c r="D380" i="4"/>
  <c r="E380" i="4" s="1"/>
  <c r="D381" i="4"/>
  <c r="E381" i="4" s="1"/>
  <c r="D382" i="4"/>
  <c r="E382" i="4" s="1"/>
  <c r="D383" i="4"/>
  <c r="E383" i="4" s="1"/>
  <c r="D384" i="4"/>
  <c r="E384" i="4" s="1"/>
  <c r="D385" i="4"/>
  <c r="E385" i="4" s="1"/>
  <c r="D386" i="4"/>
  <c r="E386" i="4" s="1"/>
  <c r="D387" i="4"/>
  <c r="E387" i="4" s="1"/>
  <c r="D388" i="4"/>
  <c r="E388" i="4" s="1"/>
  <c r="D389" i="4"/>
  <c r="E389" i="4" s="1"/>
  <c r="D390" i="4"/>
  <c r="E390" i="4" s="1"/>
  <c r="D391" i="4"/>
  <c r="E391" i="4" s="1"/>
  <c r="D392" i="4"/>
  <c r="E392" i="4" s="1"/>
  <c r="D393" i="4"/>
  <c r="E393" i="4" s="1"/>
  <c r="D394" i="4"/>
  <c r="E394" i="4" s="1"/>
  <c r="D395" i="4"/>
  <c r="E395" i="4" s="1"/>
  <c r="D396" i="4"/>
  <c r="E396" i="4" s="1"/>
  <c r="D397" i="4"/>
  <c r="E397" i="4" s="1"/>
  <c r="D398" i="4"/>
  <c r="E398" i="4" s="1"/>
  <c r="D399" i="4"/>
  <c r="E399" i="4" s="1"/>
  <c r="D400" i="4"/>
  <c r="E400" i="4" s="1"/>
  <c r="D401" i="4"/>
  <c r="E401" i="4" s="1"/>
  <c r="D402" i="4"/>
  <c r="E402" i="4" s="1"/>
  <c r="D403" i="4"/>
  <c r="E403" i="4" s="1"/>
  <c r="D404" i="4"/>
  <c r="E404" i="4" s="1"/>
  <c r="D405" i="4"/>
  <c r="E405" i="4" s="1"/>
  <c r="D406" i="4"/>
  <c r="E406" i="4" s="1"/>
  <c r="D407" i="4"/>
  <c r="E407" i="4" s="1"/>
  <c r="D408" i="4"/>
  <c r="E408" i="4" s="1"/>
  <c r="D409" i="4"/>
  <c r="E409" i="4" s="1"/>
  <c r="D410" i="4"/>
  <c r="E410" i="4" s="1"/>
  <c r="D411" i="4"/>
  <c r="E411" i="4" s="1"/>
  <c r="D412" i="4"/>
  <c r="E412" i="4" s="1"/>
  <c r="D413" i="4"/>
  <c r="E413" i="4" s="1"/>
  <c r="D414" i="4"/>
  <c r="E414" i="4" s="1"/>
  <c r="D415" i="4"/>
  <c r="E415" i="4" s="1"/>
  <c r="D416" i="4"/>
  <c r="E416" i="4" s="1"/>
  <c r="D417" i="4"/>
  <c r="E417" i="4" s="1"/>
  <c r="D418" i="4"/>
  <c r="E418" i="4" s="1"/>
  <c r="D419" i="4"/>
  <c r="E419" i="4" s="1"/>
  <c r="D420" i="4"/>
  <c r="E420" i="4" s="1"/>
  <c r="D421" i="4"/>
  <c r="E421" i="4" s="1"/>
  <c r="D422" i="4"/>
  <c r="E422" i="4" s="1"/>
  <c r="D423" i="4"/>
  <c r="E423" i="4" s="1"/>
  <c r="D424" i="4"/>
  <c r="E424" i="4" s="1"/>
  <c r="D425" i="4"/>
  <c r="E425" i="4" s="1"/>
  <c r="D426" i="4"/>
  <c r="E426" i="4" s="1"/>
  <c r="D427" i="4"/>
  <c r="E427" i="4" s="1"/>
  <c r="D428" i="4"/>
  <c r="E428" i="4" s="1"/>
  <c r="D429" i="4"/>
  <c r="E429" i="4" s="1"/>
  <c r="D430" i="4"/>
  <c r="E430" i="4" s="1"/>
  <c r="D431" i="4"/>
  <c r="E431" i="4" s="1"/>
  <c r="D432" i="4"/>
  <c r="E432" i="4" s="1"/>
  <c r="D433" i="4"/>
  <c r="E433" i="4" s="1"/>
  <c r="D434" i="4"/>
  <c r="E434" i="4" s="1"/>
  <c r="D435" i="4"/>
  <c r="E435" i="4" s="1"/>
  <c r="D436" i="4"/>
  <c r="E436" i="4" s="1"/>
  <c r="D437" i="4"/>
  <c r="E437" i="4" s="1"/>
  <c r="D438" i="4"/>
  <c r="E438" i="4" s="1"/>
  <c r="D439" i="4"/>
  <c r="E439" i="4" s="1"/>
  <c r="D440" i="4"/>
  <c r="E440" i="4" s="1"/>
  <c r="D441" i="4"/>
  <c r="E441" i="4" s="1"/>
  <c r="D442" i="4"/>
  <c r="E442" i="4" s="1"/>
  <c r="D443" i="4"/>
  <c r="E443" i="4" s="1"/>
  <c r="D444" i="4"/>
  <c r="E444" i="4" s="1"/>
  <c r="D445" i="4"/>
  <c r="E445" i="4" s="1"/>
  <c r="D446" i="4"/>
  <c r="E446" i="4" s="1"/>
  <c r="D447" i="4"/>
  <c r="E447" i="4" s="1"/>
  <c r="D448" i="4"/>
  <c r="E448" i="4" s="1"/>
  <c r="D449" i="4"/>
  <c r="E449" i="4" s="1"/>
  <c r="D450" i="4"/>
  <c r="E450" i="4" s="1"/>
  <c r="D451" i="4"/>
  <c r="E451" i="4" s="1"/>
  <c r="D452" i="4"/>
  <c r="E452" i="4" s="1"/>
  <c r="D453" i="4"/>
  <c r="E453" i="4" s="1"/>
  <c r="D454" i="4"/>
  <c r="E454" i="4" s="1"/>
  <c r="D455" i="4"/>
  <c r="E455" i="4" s="1"/>
  <c r="D456" i="4"/>
  <c r="E456" i="4" s="1"/>
  <c r="D457" i="4"/>
  <c r="E457" i="4" s="1"/>
  <c r="D458" i="4"/>
  <c r="E458" i="4" s="1"/>
  <c r="D459" i="4"/>
  <c r="E459" i="4" s="1"/>
  <c r="D460" i="4"/>
  <c r="E460" i="4" s="1"/>
  <c r="D461" i="4"/>
  <c r="E461" i="4" s="1"/>
  <c r="D462" i="4"/>
  <c r="E462" i="4" s="1"/>
  <c r="D463" i="4"/>
  <c r="E463" i="4" s="1"/>
  <c r="D464" i="4"/>
  <c r="E464" i="4" s="1"/>
  <c r="D465" i="4"/>
  <c r="E465" i="4" s="1"/>
  <c r="D466" i="4"/>
  <c r="E466" i="4" s="1"/>
  <c r="D467" i="4"/>
  <c r="E467" i="4" s="1"/>
  <c r="D468" i="4"/>
  <c r="E468" i="4" s="1"/>
  <c r="D469" i="4"/>
  <c r="E469" i="4" s="1"/>
  <c r="D470" i="4"/>
  <c r="E470" i="4" s="1"/>
  <c r="D471" i="4"/>
  <c r="E471" i="4" s="1"/>
  <c r="D472" i="4"/>
  <c r="E472" i="4" s="1"/>
  <c r="D473" i="4"/>
  <c r="E473" i="4" s="1"/>
  <c r="D474" i="4"/>
  <c r="E474" i="4" s="1"/>
  <c r="D475" i="4"/>
  <c r="E475" i="4" s="1"/>
  <c r="D476" i="4"/>
  <c r="E476" i="4" s="1"/>
  <c r="D477" i="4"/>
  <c r="E477" i="4" s="1"/>
  <c r="D478" i="4"/>
  <c r="E478" i="4" s="1"/>
  <c r="D479" i="4"/>
  <c r="E479" i="4" s="1"/>
  <c r="D480" i="4"/>
  <c r="E480" i="4" s="1"/>
  <c r="D481" i="4"/>
  <c r="E481" i="4" s="1"/>
  <c r="D482" i="4"/>
  <c r="E482" i="4" s="1"/>
  <c r="D483" i="4"/>
  <c r="E483" i="4" s="1"/>
  <c r="D484" i="4"/>
  <c r="E484" i="4" s="1"/>
  <c r="D485" i="4"/>
  <c r="E485" i="4" s="1"/>
  <c r="D486" i="4"/>
  <c r="E486" i="4" s="1"/>
  <c r="D487" i="4"/>
  <c r="E487" i="4" s="1"/>
  <c r="D488" i="4"/>
  <c r="E488" i="4" s="1"/>
  <c r="D489" i="4"/>
  <c r="E489" i="4" s="1"/>
  <c r="D490" i="4"/>
  <c r="E490" i="4" s="1"/>
  <c r="D491" i="4"/>
  <c r="E491" i="4" s="1"/>
  <c r="D492" i="4"/>
  <c r="E492" i="4" s="1"/>
  <c r="D493" i="4"/>
  <c r="E493" i="4" s="1"/>
  <c r="D494" i="4"/>
  <c r="E494" i="4" s="1"/>
  <c r="D495" i="4"/>
  <c r="E495" i="4" s="1"/>
  <c r="D496" i="4"/>
  <c r="E496" i="4" s="1"/>
  <c r="D497" i="4"/>
  <c r="E497" i="4" s="1"/>
  <c r="D498" i="4"/>
  <c r="E498" i="4" s="1"/>
  <c r="D499" i="4"/>
  <c r="E499" i="4" s="1"/>
  <c r="D500" i="4"/>
  <c r="E500" i="4" s="1"/>
  <c r="D501" i="4"/>
  <c r="E501" i="4" s="1"/>
  <c r="D502" i="4"/>
  <c r="E502" i="4" s="1"/>
  <c r="D503" i="4"/>
  <c r="E503" i="4" s="1"/>
  <c r="D504" i="4"/>
  <c r="E504" i="4" s="1"/>
  <c r="D505" i="4"/>
  <c r="E505" i="4" s="1"/>
  <c r="D506" i="4"/>
  <c r="E506" i="4" s="1"/>
  <c r="D507" i="4"/>
  <c r="E507" i="4" s="1"/>
  <c r="D508" i="4"/>
  <c r="E508" i="4" s="1"/>
  <c r="D509" i="4"/>
  <c r="E509" i="4" s="1"/>
  <c r="D510" i="4"/>
  <c r="E510" i="4" s="1"/>
  <c r="D511" i="4"/>
  <c r="E511" i="4" s="1"/>
  <c r="D512" i="4"/>
  <c r="E512" i="4" s="1"/>
  <c r="D513" i="4"/>
  <c r="E513" i="4" s="1"/>
  <c r="D514" i="4"/>
  <c r="E514" i="4" s="1"/>
  <c r="D515" i="4"/>
  <c r="E515" i="4" s="1"/>
  <c r="D516" i="4"/>
  <c r="E516" i="4" s="1"/>
  <c r="D517" i="4"/>
  <c r="E517" i="4" s="1"/>
  <c r="D518" i="4"/>
  <c r="E518" i="4" s="1"/>
  <c r="D519" i="4"/>
  <c r="E519" i="4" s="1"/>
  <c r="D520" i="4"/>
  <c r="E520" i="4" s="1"/>
  <c r="D521" i="4"/>
  <c r="E521" i="4" s="1"/>
  <c r="D522" i="4"/>
  <c r="E522" i="4" s="1"/>
  <c r="D523" i="4"/>
  <c r="E523" i="4" s="1"/>
  <c r="D524" i="4"/>
  <c r="E524" i="4" s="1"/>
  <c r="D525" i="4"/>
  <c r="E525" i="4" s="1"/>
  <c r="D526" i="4"/>
  <c r="E526" i="4" s="1"/>
  <c r="D527" i="4"/>
  <c r="E527" i="4" s="1"/>
  <c r="D528" i="4"/>
  <c r="E528" i="4" s="1"/>
  <c r="D529" i="4"/>
  <c r="E529" i="4" s="1"/>
  <c r="D530" i="4"/>
  <c r="E530" i="4" s="1"/>
  <c r="D531" i="4"/>
  <c r="E531" i="4" s="1"/>
  <c r="D532" i="4"/>
  <c r="E532" i="4" s="1"/>
  <c r="D533" i="4"/>
  <c r="E533" i="4" s="1"/>
  <c r="D534" i="4"/>
  <c r="E534" i="4" s="1"/>
  <c r="D535" i="4"/>
  <c r="E535" i="4" s="1"/>
  <c r="D536" i="4"/>
  <c r="E536" i="4" s="1"/>
  <c r="D537" i="4"/>
  <c r="E537" i="4" s="1"/>
  <c r="D538" i="4"/>
  <c r="E538" i="4" s="1"/>
  <c r="D539" i="4"/>
  <c r="E539" i="4" s="1"/>
  <c r="D540" i="4"/>
  <c r="E540" i="4" s="1"/>
  <c r="D541" i="4"/>
  <c r="E541" i="4" s="1"/>
  <c r="D542" i="4"/>
  <c r="E542" i="4" s="1"/>
  <c r="D543" i="4"/>
  <c r="E543" i="4" s="1"/>
  <c r="D544" i="4"/>
  <c r="E544" i="4" s="1"/>
  <c r="D545" i="4"/>
  <c r="E545" i="4" s="1"/>
  <c r="D546" i="4"/>
  <c r="E546" i="4" s="1"/>
  <c r="D547" i="4"/>
  <c r="E547" i="4" s="1"/>
  <c r="D548" i="4"/>
  <c r="E548" i="4" s="1"/>
  <c r="D549" i="4"/>
  <c r="E549" i="4" s="1"/>
  <c r="D550" i="4"/>
  <c r="E550" i="4" s="1"/>
  <c r="D551" i="4"/>
  <c r="E551" i="4" s="1"/>
  <c r="D552" i="4"/>
  <c r="E552" i="4" s="1"/>
  <c r="D553" i="4"/>
  <c r="E553" i="4" s="1"/>
  <c r="D554" i="4"/>
  <c r="E554" i="4" s="1"/>
  <c r="D555" i="4"/>
  <c r="E555" i="4" s="1"/>
  <c r="D556" i="4"/>
  <c r="E556" i="4" s="1"/>
  <c r="D557" i="4"/>
  <c r="E557" i="4" s="1"/>
  <c r="D558" i="4"/>
  <c r="E558" i="4" s="1"/>
  <c r="D559" i="4"/>
  <c r="E559" i="4" s="1"/>
  <c r="D560" i="4"/>
  <c r="E560" i="4" s="1"/>
  <c r="D561" i="4"/>
  <c r="E561" i="4" s="1"/>
  <c r="D562" i="4"/>
  <c r="E562" i="4" s="1"/>
  <c r="D563" i="4"/>
  <c r="E563" i="4" s="1"/>
  <c r="D564" i="4"/>
  <c r="E564" i="4" s="1"/>
  <c r="D565" i="4"/>
  <c r="E565" i="4" s="1"/>
  <c r="D566" i="4"/>
  <c r="E566" i="4" s="1"/>
  <c r="D567" i="4"/>
  <c r="E567" i="4" s="1"/>
  <c r="D568" i="4"/>
  <c r="E568" i="4" s="1"/>
  <c r="D569" i="4"/>
  <c r="E569" i="4" s="1"/>
  <c r="D570" i="4"/>
  <c r="E570" i="4" s="1"/>
  <c r="D571" i="4"/>
  <c r="E571" i="4" s="1"/>
  <c r="D572" i="4"/>
  <c r="E572" i="4" s="1"/>
  <c r="D573" i="4"/>
  <c r="E573" i="4" s="1"/>
  <c r="D574" i="4"/>
  <c r="E574" i="4" s="1"/>
  <c r="D575" i="4"/>
  <c r="E575" i="4" s="1"/>
  <c r="D576" i="4"/>
  <c r="E576" i="4" s="1"/>
  <c r="D577" i="4"/>
  <c r="E577" i="4" s="1"/>
  <c r="D578" i="4"/>
  <c r="E578" i="4" s="1"/>
  <c r="D579" i="4"/>
  <c r="E579" i="4" s="1"/>
  <c r="D580" i="4"/>
  <c r="E580" i="4" s="1"/>
  <c r="D581" i="4"/>
  <c r="E581" i="4" s="1"/>
  <c r="D582" i="4"/>
  <c r="E582" i="4" s="1"/>
  <c r="D583" i="4"/>
  <c r="E583" i="4" s="1"/>
  <c r="D584" i="4"/>
  <c r="E584" i="4" s="1"/>
  <c r="D585" i="4"/>
  <c r="E585" i="4" s="1"/>
  <c r="D586" i="4"/>
  <c r="E586" i="4" s="1"/>
  <c r="D587" i="4"/>
  <c r="E587" i="4" s="1"/>
  <c r="D588" i="4"/>
  <c r="E588" i="4" s="1"/>
  <c r="D589" i="4"/>
  <c r="E589" i="4" s="1"/>
  <c r="D590" i="4"/>
  <c r="E590" i="4" s="1"/>
  <c r="D591" i="4"/>
  <c r="E591" i="4" s="1"/>
  <c r="D592" i="4"/>
  <c r="E592" i="4" s="1"/>
  <c r="D593" i="4"/>
  <c r="E593" i="4" s="1"/>
  <c r="D594" i="4"/>
  <c r="E594" i="4" s="1"/>
  <c r="D595" i="4"/>
  <c r="E595" i="4" s="1"/>
  <c r="D596" i="4"/>
  <c r="E596" i="4" s="1"/>
  <c r="D597" i="4"/>
  <c r="E597" i="4" s="1"/>
  <c r="D598" i="4"/>
  <c r="E598" i="4" s="1"/>
  <c r="D599" i="4"/>
  <c r="E599" i="4" s="1"/>
  <c r="D600" i="4"/>
  <c r="E600" i="4" s="1"/>
  <c r="D601" i="4"/>
  <c r="E601" i="4" s="1"/>
  <c r="D602" i="4"/>
  <c r="E602" i="4" s="1"/>
  <c r="D603" i="4"/>
  <c r="E603" i="4" s="1"/>
  <c r="D604" i="4"/>
  <c r="E604" i="4" s="1"/>
  <c r="D605" i="4"/>
  <c r="E605" i="4" s="1"/>
  <c r="D606" i="4"/>
  <c r="E606" i="4" s="1"/>
  <c r="D607" i="4"/>
  <c r="E607" i="4" s="1"/>
  <c r="D608" i="4"/>
  <c r="E608" i="4" s="1"/>
  <c r="D609" i="4"/>
  <c r="E609" i="4" s="1"/>
  <c r="D610" i="4"/>
  <c r="E610" i="4" s="1"/>
  <c r="D611" i="4"/>
  <c r="E611" i="4" s="1"/>
  <c r="D612" i="4"/>
  <c r="E612" i="4" s="1"/>
  <c r="D613" i="4"/>
  <c r="E613" i="4" s="1"/>
  <c r="D614" i="4"/>
  <c r="E614" i="4" s="1"/>
  <c r="D615" i="4"/>
  <c r="E615" i="4" s="1"/>
  <c r="D616" i="4"/>
  <c r="E616" i="4" s="1"/>
  <c r="D617" i="4"/>
  <c r="E617" i="4" s="1"/>
  <c r="D618" i="4"/>
  <c r="E618" i="4" s="1"/>
  <c r="D619" i="4"/>
  <c r="E619" i="4" s="1"/>
  <c r="D620" i="4"/>
  <c r="E620" i="4" s="1"/>
  <c r="D621" i="4"/>
  <c r="E621" i="4" s="1"/>
  <c r="D622" i="4"/>
  <c r="E622" i="4" s="1"/>
  <c r="D623" i="4"/>
  <c r="E623" i="4" s="1"/>
  <c r="D624" i="4"/>
  <c r="E624" i="4" s="1"/>
  <c r="D625" i="4"/>
  <c r="E625" i="4" s="1"/>
  <c r="D626" i="4"/>
  <c r="E626" i="4" s="1"/>
  <c r="D627" i="4"/>
  <c r="E627" i="4" s="1"/>
  <c r="D628" i="4"/>
  <c r="E628" i="4" s="1"/>
  <c r="D629" i="4"/>
  <c r="E629" i="4" s="1"/>
  <c r="D630" i="4"/>
  <c r="E630" i="4" s="1"/>
  <c r="D631" i="4"/>
  <c r="E631" i="4" s="1"/>
  <c r="D632" i="4"/>
  <c r="E632" i="4" s="1"/>
  <c r="D633" i="4"/>
  <c r="E633" i="4" s="1"/>
  <c r="D634" i="4"/>
  <c r="E634" i="4" s="1"/>
  <c r="D635" i="4"/>
  <c r="E635" i="4" s="1"/>
  <c r="D636" i="4"/>
  <c r="E636" i="4" s="1"/>
  <c r="D637" i="4"/>
  <c r="E637" i="4" s="1"/>
  <c r="D638" i="4"/>
  <c r="E638" i="4" s="1"/>
  <c r="D639" i="4"/>
  <c r="E639" i="4" s="1"/>
  <c r="D640" i="4"/>
  <c r="E640" i="4" s="1"/>
  <c r="D641" i="4"/>
  <c r="E641" i="4" s="1"/>
  <c r="D642" i="4"/>
  <c r="E642" i="4" s="1"/>
  <c r="D643" i="4"/>
  <c r="E643" i="4" s="1"/>
  <c r="D644" i="4"/>
  <c r="E644" i="4" s="1"/>
  <c r="D645" i="4"/>
  <c r="E645" i="4" s="1"/>
  <c r="D646" i="4"/>
  <c r="E646" i="4" s="1"/>
  <c r="D647" i="4"/>
  <c r="E647" i="4" s="1"/>
  <c r="D648" i="4"/>
  <c r="E648" i="4" s="1"/>
  <c r="D649" i="4"/>
  <c r="E649" i="4" s="1"/>
  <c r="D650" i="4"/>
  <c r="E650" i="4" s="1"/>
  <c r="D651" i="4"/>
  <c r="E651" i="4" s="1"/>
  <c r="D652" i="4"/>
  <c r="E652" i="4" s="1"/>
  <c r="D653" i="4"/>
  <c r="E653" i="4" s="1"/>
  <c r="D654" i="4"/>
  <c r="E654" i="4" s="1"/>
  <c r="D655" i="4"/>
  <c r="E655" i="4" s="1"/>
  <c r="D656" i="4"/>
  <c r="E656" i="4" s="1"/>
  <c r="D657" i="4"/>
  <c r="E657" i="4" s="1"/>
  <c r="D658" i="4"/>
  <c r="E658" i="4" s="1"/>
  <c r="D659" i="4"/>
  <c r="E659" i="4" s="1"/>
  <c r="D660" i="4"/>
  <c r="E660" i="4" s="1"/>
  <c r="D661" i="4"/>
  <c r="E661" i="4" s="1"/>
  <c r="D662" i="4"/>
  <c r="E662" i="4" s="1"/>
  <c r="D663" i="4"/>
  <c r="E663" i="4" s="1"/>
  <c r="D664" i="4"/>
  <c r="E664" i="4" s="1"/>
  <c r="D665" i="4"/>
  <c r="E665" i="4" s="1"/>
  <c r="D666" i="4"/>
  <c r="E666" i="4" s="1"/>
  <c r="D667" i="4"/>
  <c r="E667" i="4" s="1"/>
  <c r="D668" i="4"/>
  <c r="E668" i="4" s="1"/>
  <c r="D669" i="4"/>
  <c r="E669" i="4" s="1"/>
  <c r="D670" i="4"/>
  <c r="E670" i="4" s="1"/>
  <c r="D671" i="4"/>
  <c r="E671" i="4" s="1"/>
  <c r="D672" i="4"/>
  <c r="E672" i="4" s="1"/>
  <c r="D3" i="4"/>
  <c r="CE672" i="4"/>
  <c r="CF672" i="4" s="1"/>
  <c r="AF672" i="4"/>
  <c r="CR672" i="4" s="1"/>
  <c r="AD672" i="4"/>
  <c r="AC672" i="4"/>
  <c r="U672" i="4"/>
  <c r="V672" i="4" s="1"/>
  <c r="Q672" i="4"/>
  <c r="P672" i="4"/>
  <c r="O672" i="4"/>
  <c r="CM672" i="4" s="1"/>
  <c r="N672" i="4"/>
  <c r="CL672" i="4" s="1"/>
  <c r="CE671" i="4"/>
  <c r="CF671" i="4" s="1"/>
  <c r="AF671" i="4"/>
  <c r="CR671" i="4" s="1"/>
  <c r="AD671" i="4"/>
  <c r="AC671" i="4"/>
  <c r="U671" i="4"/>
  <c r="V671" i="4" s="1"/>
  <c r="AE671" i="4" s="1"/>
  <c r="Q671" i="4"/>
  <c r="P671" i="4"/>
  <c r="O671" i="4"/>
  <c r="CM671" i="4" s="1"/>
  <c r="N671" i="4"/>
  <c r="CL671" i="4" s="1"/>
  <c r="CE670" i="4"/>
  <c r="CF670" i="4" s="1"/>
  <c r="AF670" i="4"/>
  <c r="AD670" i="4"/>
  <c r="AC670" i="4"/>
  <c r="U670" i="4"/>
  <c r="V670" i="4" s="1"/>
  <c r="Q670" i="4"/>
  <c r="P670" i="4"/>
  <c r="O670" i="4"/>
  <c r="CM670" i="4" s="1"/>
  <c r="N670" i="4"/>
  <c r="CL670" i="4" s="1"/>
  <c r="CE669" i="4"/>
  <c r="CF669" i="4" s="1"/>
  <c r="AF669" i="4"/>
  <c r="CR669" i="4" s="1"/>
  <c r="AD669" i="4"/>
  <c r="AC669" i="4"/>
  <c r="U669" i="4"/>
  <c r="V669" i="4" s="1"/>
  <c r="Q669" i="4"/>
  <c r="P669" i="4"/>
  <c r="O669" i="4"/>
  <c r="CM669" i="4" s="1"/>
  <c r="N669" i="4"/>
  <c r="CL669" i="4" s="1"/>
  <c r="CE668" i="4"/>
  <c r="CF668" i="4" s="1"/>
  <c r="AF668" i="4"/>
  <c r="CR668" i="4" s="1"/>
  <c r="AD668" i="4"/>
  <c r="AC668" i="4"/>
  <c r="U668" i="4"/>
  <c r="V668" i="4" s="1"/>
  <c r="Q668" i="4"/>
  <c r="P668" i="4"/>
  <c r="O668" i="4"/>
  <c r="CM668" i="4" s="1"/>
  <c r="N668" i="4"/>
  <c r="CL668" i="4" s="1"/>
  <c r="CE667" i="4"/>
  <c r="CF667" i="4" s="1"/>
  <c r="AF667" i="4"/>
  <c r="CR667" i="4" s="1"/>
  <c r="AD667" i="4"/>
  <c r="AC667" i="4"/>
  <c r="U667" i="4"/>
  <c r="V667" i="4" s="1"/>
  <c r="Q667" i="4"/>
  <c r="P667" i="4"/>
  <c r="O667" i="4"/>
  <c r="CM667" i="4" s="1"/>
  <c r="N667" i="4"/>
  <c r="CL667" i="4" s="1"/>
  <c r="CN667" i="4" s="1"/>
  <c r="CE666" i="4"/>
  <c r="CF666" i="4" s="1"/>
  <c r="AF666" i="4"/>
  <c r="AD666" i="4"/>
  <c r="AC666" i="4"/>
  <c r="U666" i="4"/>
  <c r="V666" i="4" s="1"/>
  <c r="Q666" i="4"/>
  <c r="P666" i="4"/>
  <c r="O666" i="4"/>
  <c r="CM666" i="4" s="1"/>
  <c r="N666" i="4"/>
  <c r="CL666" i="4" s="1"/>
  <c r="CN666" i="4" s="1"/>
  <c r="CE665" i="4"/>
  <c r="CF665" i="4" s="1"/>
  <c r="AF665" i="4"/>
  <c r="AI665" i="4" s="1"/>
  <c r="AD665" i="4"/>
  <c r="AC665" i="4"/>
  <c r="U665" i="4"/>
  <c r="V665" i="4" s="1"/>
  <c r="Q665" i="4"/>
  <c r="P665" i="4"/>
  <c r="O665" i="4"/>
  <c r="CM665" i="4" s="1"/>
  <c r="N665" i="4"/>
  <c r="CL665" i="4" s="1"/>
  <c r="CE664" i="4"/>
  <c r="CF664" i="4" s="1"/>
  <c r="AF664" i="4"/>
  <c r="AD664" i="4"/>
  <c r="AC664" i="4"/>
  <c r="U664" i="4"/>
  <c r="V664" i="4" s="1"/>
  <c r="Q664" i="4"/>
  <c r="P664" i="4"/>
  <c r="O664" i="4"/>
  <c r="CM664" i="4" s="1"/>
  <c r="N664" i="4"/>
  <c r="CL664" i="4" s="1"/>
  <c r="CE663" i="4"/>
  <c r="CF663" i="4" s="1"/>
  <c r="AQ663" i="4"/>
  <c r="AF663" i="4"/>
  <c r="AD663" i="4"/>
  <c r="AC663" i="4"/>
  <c r="U663" i="4"/>
  <c r="V663" i="4" s="1"/>
  <c r="Q663" i="4"/>
  <c r="P663" i="4"/>
  <c r="O663" i="4"/>
  <c r="CM663" i="4" s="1"/>
  <c r="N663" i="4"/>
  <c r="CL663" i="4" s="1"/>
  <c r="A663" i="4"/>
  <c r="CE662" i="4"/>
  <c r="CF662" i="4" s="1"/>
  <c r="AF662" i="4"/>
  <c r="CR662" i="4" s="1"/>
  <c r="AD662" i="4"/>
  <c r="AC662" i="4"/>
  <c r="U662" i="4"/>
  <c r="V662" i="4" s="1"/>
  <c r="Q662" i="4"/>
  <c r="P662" i="4"/>
  <c r="O662" i="4"/>
  <c r="CM662" i="4" s="1"/>
  <c r="N662" i="4"/>
  <c r="CL662" i="4" s="1"/>
  <c r="CE661" i="4"/>
  <c r="CF661" i="4" s="1"/>
  <c r="AF661" i="4"/>
  <c r="CR661" i="4" s="1"/>
  <c r="AD661" i="4"/>
  <c r="AC661" i="4"/>
  <c r="U661" i="4"/>
  <c r="Q661" i="4"/>
  <c r="P661" i="4"/>
  <c r="O661" i="4"/>
  <c r="CM661" i="4" s="1"/>
  <c r="N661" i="4"/>
  <c r="CL661" i="4" s="1"/>
  <c r="CE660" i="4"/>
  <c r="CF660" i="4" s="1"/>
  <c r="AF660" i="4"/>
  <c r="CR660" i="4" s="1"/>
  <c r="AD660" i="4"/>
  <c r="AC660" i="4"/>
  <c r="U660" i="4"/>
  <c r="V660" i="4" s="1"/>
  <c r="Q660" i="4"/>
  <c r="P660" i="4"/>
  <c r="O660" i="4"/>
  <c r="CM660" i="4" s="1"/>
  <c r="N660" i="4"/>
  <c r="CL660" i="4" s="1"/>
  <c r="CE659" i="4"/>
  <c r="CF659" i="4" s="1"/>
  <c r="AF659" i="4"/>
  <c r="CR659" i="4" s="1"/>
  <c r="AD659" i="4"/>
  <c r="AC659" i="4"/>
  <c r="U659" i="4"/>
  <c r="V659" i="4" s="1"/>
  <c r="Q659" i="4"/>
  <c r="P659" i="4"/>
  <c r="O659" i="4"/>
  <c r="CM659" i="4" s="1"/>
  <c r="N659" i="4"/>
  <c r="CL659" i="4" s="1"/>
  <c r="CE658" i="4"/>
  <c r="CF658" i="4" s="1"/>
  <c r="AF658" i="4"/>
  <c r="CR658" i="4" s="1"/>
  <c r="AD658" i="4"/>
  <c r="AC658" i="4"/>
  <c r="U658" i="4"/>
  <c r="V658" i="4" s="1"/>
  <c r="Q658" i="4"/>
  <c r="P658" i="4"/>
  <c r="O658" i="4"/>
  <c r="CM658" i="4" s="1"/>
  <c r="N658" i="4"/>
  <c r="CL658" i="4" s="1"/>
  <c r="CE657" i="4"/>
  <c r="CF657" i="4" s="1"/>
  <c r="AF657" i="4"/>
  <c r="AI657" i="4" s="1"/>
  <c r="AD657" i="4"/>
  <c r="AC657" i="4"/>
  <c r="U657" i="4"/>
  <c r="Q657" i="4"/>
  <c r="P657" i="4"/>
  <c r="O657" i="4"/>
  <c r="CM657" i="4" s="1"/>
  <c r="N657" i="4"/>
  <c r="CL657" i="4" s="1"/>
  <c r="CE656" i="4"/>
  <c r="CF656" i="4" s="1"/>
  <c r="AF656" i="4"/>
  <c r="AD656" i="4"/>
  <c r="AC656" i="4"/>
  <c r="U656" i="4"/>
  <c r="V656" i="4" s="1"/>
  <c r="Q656" i="4"/>
  <c r="P656" i="4"/>
  <c r="O656" i="4"/>
  <c r="CM656" i="4" s="1"/>
  <c r="N656" i="4"/>
  <c r="CL656" i="4" s="1"/>
  <c r="CE655" i="4"/>
  <c r="CF655" i="4" s="1"/>
  <c r="CI655" i="4" s="1"/>
  <c r="AF655" i="4"/>
  <c r="AD655" i="4"/>
  <c r="AC655" i="4"/>
  <c r="U655" i="4"/>
  <c r="V655" i="4" s="1"/>
  <c r="AE655" i="4" s="1"/>
  <c r="Q655" i="4"/>
  <c r="P655" i="4"/>
  <c r="O655" i="4"/>
  <c r="CM655" i="4" s="1"/>
  <c r="N655" i="4"/>
  <c r="CL655" i="4" s="1"/>
  <c r="CE654" i="4"/>
  <c r="CF654" i="4" s="1"/>
  <c r="CI654" i="4" s="1"/>
  <c r="AF654" i="4"/>
  <c r="CR654" i="4" s="1"/>
  <c r="AD654" i="4"/>
  <c r="AC654" i="4"/>
  <c r="U654" i="4"/>
  <c r="V654" i="4" s="1"/>
  <c r="AE654" i="4" s="1"/>
  <c r="Q654" i="4"/>
  <c r="P654" i="4"/>
  <c r="O654" i="4"/>
  <c r="CM654" i="4" s="1"/>
  <c r="N654" i="4"/>
  <c r="CL654" i="4" s="1"/>
  <c r="CE653" i="4"/>
  <c r="CF653" i="4" s="1"/>
  <c r="CI653" i="4" s="1"/>
  <c r="AQ653" i="4"/>
  <c r="AF653" i="4"/>
  <c r="AD653" i="4"/>
  <c r="AC653" i="4"/>
  <c r="U653" i="4"/>
  <c r="V653" i="4" s="1"/>
  <c r="Q653" i="4"/>
  <c r="P653" i="4"/>
  <c r="O653" i="4"/>
  <c r="CM653" i="4" s="1"/>
  <c r="N653" i="4"/>
  <c r="CL653" i="4" s="1"/>
  <c r="A653" i="4"/>
  <c r="CE652" i="4"/>
  <c r="CF652" i="4" s="1"/>
  <c r="AF652" i="4"/>
  <c r="CR652" i="4" s="1"/>
  <c r="AD652" i="4"/>
  <c r="AC652" i="4"/>
  <c r="U652" i="4"/>
  <c r="V652" i="4" s="1"/>
  <c r="Q652" i="4"/>
  <c r="P652" i="4"/>
  <c r="O652" i="4"/>
  <c r="CM652" i="4" s="1"/>
  <c r="N652" i="4"/>
  <c r="CL652" i="4" s="1"/>
  <c r="CE651" i="4"/>
  <c r="CF651" i="4" s="1"/>
  <c r="AF651" i="4"/>
  <c r="CR651" i="4" s="1"/>
  <c r="AD651" i="4"/>
  <c r="AC651" i="4"/>
  <c r="U651" i="4"/>
  <c r="V651" i="4" s="1"/>
  <c r="Q651" i="4"/>
  <c r="P651" i="4"/>
  <c r="O651" i="4"/>
  <c r="CM651" i="4" s="1"/>
  <c r="N651" i="4"/>
  <c r="CL651" i="4" s="1"/>
  <c r="CE650" i="4"/>
  <c r="CF650" i="4" s="1"/>
  <c r="AF650" i="4"/>
  <c r="CR650" i="4" s="1"/>
  <c r="AD650" i="4"/>
  <c r="AC650" i="4"/>
  <c r="U650" i="4"/>
  <c r="V650" i="4" s="1"/>
  <c r="Q650" i="4"/>
  <c r="P650" i="4"/>
  <c r="O650" i="4"/>
  <c r="CM650" i="4" s="1"/>
  <c r="N650" i="4"/>
  <c r="CL650" i="4" s="1"/>
  <c r="CE649" i="4"/>
  <c r="CF649" i="4" s="1"/>
  <c r="AF649" i="4"/>
  <c r="AI649" i="4" s="1"/>
  <c r="AD649" i="4"/>
  <c r="AC649" i="4"/>
  <c r="U649" i="4"/>
  <c r="V649" i="4" s="1"/>
  <c r="Q649" i="4"/>
  <c r="P649" i="4"/>
  <c r="O649" i="4"/>
  <c r="CM649" i="4" s="1"/>
  <c r="N649" i="4"/>
  <c r="CL649" i="4" s="1"/>
  <c r="CE648" i="4"/>
  <c r="CF648" i="4" s="1"/>
  <c r="CI648" i="4" s="1"/>
  <c r="AF648" i="4"/>
  <c r="AD648" i="4"/>
  <c r="AC648" i="4"/>
  <c r="U648" i="4"/>
  <c r="V648" i="4" s="1"/>
  <c r="Q648" i="4"/>
  <c r="P648" i="4"/>
  <c r="O648" i="4"/>
  <c r="CM648" i="4" s="1"/>
  <c r="N648" i="4"/>
  <c r="CL648" i="4" s="1"/>
  <c r="CE647" i="4"/>
  <c r="CF647" i="4" s="1"/>
  <c r="AF647" i="4"/>
  <c r="CR647" i="4" s="1"/>
  <c r="AD647" i="4"/>
  <c r="AC647" i="4"/>
  <c r="U647" i="4"/>
  <c r="V647" i="4" s="1"/>
  <c r="Q647" i="4"/>
  <c r="P647" i="4"/>
  <c r="O647" i="4"/>
  <c r="CM647" i="4" s="1"/>
  <c r="N647" i="4"/>
  <c r="CL647" i="4" s="1"/>
  <c r="CE646" i="4"/>
  <c r="CF646" i="4" s="1"/>
  <c r="AF646" i="4"/>
  <c r="CR646" i="4" s="1"/>
  <c r="AD646" i="4"/>
  <c r="AC646" i="4"/>
  <c r="U646" i="4"/>
  <c r="V646" i="4" s="1"/>
  <c r="Q646" i="4"/>
  <c r="P646" i="4"/>
  <c r="O646" i="4"/>
  <c r="CM646" i="4" s="1"/>
  <c r="N646" i="4"/>
  <c r="CL646" i="4" s="1"/>
  <c r="CN646" i="4" s="1"/>
  <c r="CE645" i="4"/>
  <c r="CF645" i="4" s="1"/>
  <c r="AF645" i="4"/>
  <c r="CR645" i="4" s="1"/>
  <c r="AD645" i="4"/>
  <c r="AC645" i="4"/>
  <c r="U645" i="4"/>
  <c r="V645" i="4" s="1"/>
  <c r="Q645" i="4"/>
  <c r="P645" i="4"/>
  <c r="O645" i="4"/>
  <c r="CM645" i="4" s="1"/>
  <c r="N645" i="4"/>
  <c r="CL645" i="4" s="1"/>
  <c r="CN645" i="4" s="1"/>
  <c r="CM644" i="4"/>
  <c r="CE644" i="4"/>
  <c r="AF644" i="4"/>
  <c r="CR644" i="4" s="1"/>
  <c r="AD644" i="4"/>
  <c r="AC644" i="4"/>
  <c r="U644" i="4"/>
  <c r="Q644" i="4"/>
  <c r="P644" i="4"/>
  <c r="O644" i="4"/>
  <c r="N644" i="4"/>
  <c r="CL644" i="4" s="1"/>
  <c r="CE643" i="4"/>
  <c r="CF643" i="4" s="1"/>
  <c r="AQ643" i="4"/>
  <c r="AF643" i="4"/>
  <c r="AD643" i="4"/>
  <c r="AC643" i="4"/>
  <c r="U643" i="4"/>
  <c r="V643" i="4" s="1"/>
  <c r="Q643" i="4"/>
  <c r="P643" i="4"/>
  <c r="O643" i="4"/>
  <c r="CM643" i="4" s="1"/>
  <c r="N643" i="4"/>
  <c r="CL643" i="4" s="1"/>
  <c r="A643" i="4"/>
  <c r="CE642" i="4"/>
  <c r="CF642" i="4" s="1"/>
  <c r="AF642" i="4"/>
  <c r="CR642" i="4" s="1"/>
  <c r="AD642" i="4"/>
  <c r="AC642" i="4"/>
  <c r="U642" i="4"/>
  <c r="V642" i="4" s="1"/>
  <c r="Q642" i="4"/>
  <c r="P642" i="4"/>
  <c r="O642" i="4"/>
  <c r="CM642" i="4" s="1"/>
  <c r="N642" i="4"/>
  <c r="CL642" i="4" s="1"/>
  <c r="CE641" i="4"/>
  <c r="CF641" i="4" s="1"/>
  <c r="AF641" i="4"/>
  <c r="CR641" i="4" s="1"/>
  <c r="AD641" i="4"/>
  <c r="AC641" i="4"/>
  <c r="U641" i="4"/>
  <c r="V641" i="4" s="1"/>
  <c r="Q641" i="4"/>
  <c r="P641" i="4"/>
  <c r="O641" i="4"/>
  <c r="CM641" i="4" s="1"/>
  <c r="N641" i="4"/>
  <c r="CL641" i="4" s="1"/>
  <c r="CL640" i="4"/>
  <c r="CE640" i="4"/>
  <c r="CF640" i="4" s="1"/>
  <c r="AF640" i="4"/>
  <c r="CR640" i="4" s="1"/>
  <c r="AD640" i="4"/>
  <c r="AC640" i="4"/>
  <c r="U640" i="4"/>
  <c r="V640" i="4" s="1"/>
  <c r="Q640" i="4"/>
  <c r="P640" i="4"/>
  <c r="O640" i="4"/>
  <c r="CM640" i="4" s="1"/>
  <c r="N640" i="4"/>
  <c r="CE639" i="4"/>
  <c r="AF639" i="4"/>
  <c r="AD639" i="4"/>
  <c r="AC639" i="4"/>
  <c r="U639" i="4"/>
  <c r="V639" i="4" s="1"/>
  <c r="Q639" i="4"/>
  <c r="P639" i="4"/>
  <c r="O639" i="4"/>
  <c r="CM639" i="4" s="1"/>
  <c r="N639" i="4"/>
  <c r="CL639" i="4" s="1"/>
  <c r="CE638" i="4"/>
  <c r="CF638" i="4" s="1"/>
  <c r="AF638" i="4"/>
  <c r="CR638" i="4" s="1"/>
  <c r="AD638" i="4"/>
  <c r="AC638" i="4"/>
  <c r="U638" i="4"/>
  <c r="V638" i="4" s="1"/>
  <c r="Q638" i="4"/>
  <c r="P638" i="4"/>
  <c r="O638" i="4"/>
  <c r="CM638" i="4" s="1"/>
  <c r="N638" i="4"/>
  <c r="CL638" i="4" s="1"/>
  <c r="CE637" i="4"/>
  <c r="CF637" i="4" s="1"/>
  <c r="AF637" i="4"/>
  <c r="CR637" i="4" s="1"/>
  <c r="AD637" i="4"/>
  <c r="AC637" i="4"/>
  <c r="U637" i="4"/>
  <c r="Q637" i="4"/>
  <c r="P637" i="4"/>
  <c r="O637" i="4"/>
  <c r="CM637" i="4" s="1"/>
  <c r="N637" i="4"/>
  <c r="CL637" i="4" s="1"/>
  <c r="CE636" i="4"/>
  <c r="CF636" i="4" s="1"/>
  <c r="AF636" i="4"/>
  <c r="AD636" i="4"/>
  <c r="AC636" i="4"/>
  <c r="U636" i="4"/>
  <c r="V636" i="4" s="1"/>
  <c r="Q636" i="4"/>
  <c r="P636" i="4"/>
  <c r="O636" i="4"/>
  <c r="CM636" i="4" s="1"/>
  <c r="N636" i="4"/>
  <c r="CL636" i="4" s="1"/>
  <c r="CE635" i="4"/>
  <c r="CF635" i="4" s="1"/>
  <c r="CI635" i="4" s="1"/>
  <c r="AF635" i="4"/>
  <c r="CR635" i="4" s="1"/>
  <c r="AD635" i="4"/>
  <c r="AC635" i="4"/>
  <c r="U635" i="4"/>
  <c r="V635" i="4" s="1"/>
  <c r="Q635" i="4"/>
  <c r="P635" i="4"/>
  <c r="O635" i="4"/>
  <c r="CM635" i="4" s="1"/>
  <c r="N635" i="4"/>
  <c r="CL635" i="4" s="1"/>
  <c r="CE634" i="4"/>
  <c r="CF634" i="4" s="1"/>
  <c r="CI634" i="4" s="1"/>
  <c r="AF634" i="4"/>
  <c r="AI634" i="4" s="1"/>
  <c r="AD634" i="4"/>
  <c r="AC634" i="4"/>
  <c r="U634" i="4"/>
  <c r="V634" i="4" s="1"/>
  <c r="Q634" i="4"/>
  <c r="P634" i="4"/>
  <c r="O634" i="4"/>
  <c r="CM634" i="4" s="1"/>
  <c r="N634" i="4"/>
  <c r="CL634" i="4" s="1"/>
  <c r="CE633" i="4"/>
  <c r="CF633" i="4" s="1"/>
  <c r="AQ633" i="4"/>
  <c r="AF633" i="4"/>
  <c r="AD633" i="4"/>
  <c r="AC633" i="4"/>
  <c r="U633" i="4"/>
  <c r="V633" i="4" s="1"/>
  <c r="Q633" i="4"/>
  <c r="P633" i="4"/>
  <c r="O633" i="4"/>
  <c r="CM633" i="4" s="1"/>
  <c r="N633" i="4"/>
  <c r="CL633" i="4" s="1"/>
  <c r="A633" i="4"/>
  <c r="CE632" i="4"/>
  <c r="CF632" i="4" s="1"/>
  <c r="AF632" i="4"/>
  <c r="CR632" i="4" s="1"/>
  <c r="AD632" i="4"/>
  <c r="AC632" i="4"/>
  <c r="U632" i="4"/>
  <c r="V632" i="4" s="1"/>
  <c r="Q632" i="4"/>
  <c r="P632" i="4"/>
  <c r="O632" i="4"/>
  <c r="CM632" i="4" s="1"/>
  <c r="N632" i="4"/>
  <c r="CL632" i="4" s="1"/>
  <c r="CE631" i="4"/>
  <c r="CF631" i="4" s="1"/>
  <c r="AF631" i="4"/>
  <c r="CR631" i="4" s="1"/>
  <c r="AD631" i="4"/>
  <c r="AC631" i="4"/>
  <c r="U631" i="4"/>
  <c r="Q631" i="4"/>
  <c r="P631" i="4"/>
  <c r="O631" i="4"/>
  <c r="CM631" i="4" s="1"/>
  <c r="N631" i="4"/>
  <c r="CL631" i="4" s="1"/>
  <c r="CE630" i="4"/>
  <c r="CF630" i="4" s="1"/>
  <c r="AF630" i="4"/>
  <c r="CR630" i="4" s="1"/>
  <c r="AD630" i="4"/>
  <c r="AC630" i="4"/>
  <c r="U630" i="4"/>
  <c r="V630" i="4" s="1"/>
  <c r="Q630" i="4"/>
  <c r="P630" i="4"/>
  <c r="O630" i="4"/>
  <c r="CM630" i="4" s="1"/>
  <c r="N630" i="4"/>
  <c r="CL630" i="4" s="1"/>
  <c r="CN630" i="4" s="1"/>
  <c r="CE629" i="4"/>
  <c r="CF629" i="4" s="1"/>
  <c r="CI629" i="4" s="1"/>
  <c r="AF629" i="4"/>
  <c r="AD629" i="4"/>
  <c r="AC629" i="4"/>
  <c r="U629" i="4"/>
  <c r="V629" i="4" s="1"/>
  <c r="Q629" i="4"/>
  <c r="P629" i="4"/>
  <c r="O629" i="4"/>
  <c r="CM629" i="4" s="1"/>
  <c r="N629" i="4"/>
  <c r="CL629" i="4" s="1"/>
  <c r="CE628" i="4"/>
  <c r="CF628" i="4" s="1"/>
  <c r="CI628" i="4" s="1"/>
  <c r="AF628" i="4"/>
  <c r="AI628" i="4" s="1"/>
  <c r="AD628" i="4"/>
  <c r="AC628" i="4"/>
  <c r="U628" i="4"/>
  <c r="V628" i="4" s="1"/>
  <c r="Q628" i="4"/>
  <c r="P628" i="4"/>
  <c r="O628" i="4"/>
  <c r="CM628" i="4" s="1"/>
  <c r="N628" i="4"/>
  <c r="CL628" i="4" s="1"/>
  <c r="CE627" i="4"/>
  <c r="CF627" i="4" s="1"/>
  <c r="CI627" i="4" s="1"/>
  <c r="AF627" i="4"/>
  <c r="CR627" i="4" s="1"/>
  <c r="AD627" i="4"/>
  <c r="AC627" i="4"/>
  <c r="U627" i="4"/>
  <c r="V627" i="4" s="1"/>
  <c r="Q627" i="4"/>
  <c r="P627" i="4"/>
  <c r="O627" i="4"/>
  <c r="CM627" i="4" s="1"/>
  <c r="N627" i="4"/>
  <c r="CL627" i="4" s="1"/>
  <c r="CE626" i="4"/>
  <c r="CF626" i="4" s="1"/>
  <c r="AF626" i="4"/>
  <c r="CR626" i="4" s="1"/>
  <c r="AD626" i="4"/>
  <c r="AC626" i="4"/>
  <c r="U626" i="4"/>
  <c r="V626" i="4" s="1"/>
  <c r="Q626" i="4"/>
  <c r="P626" i="4"/>
  <c r="O626" i="4"/>
  <c r="CM626" i="4" s="1"/>
  <c r="N626" i="4"/>
  <c r="CL626" i="4" s="1"/>
  <c r="CE625" i="4"/>
  <c r="CF625" i="4" s="1"/>
  <c r="AF625" i="4"/>
  <c r="CR625" i="4" s="1"/>
  <c r="AD625" i="4"/>
  <c r="AC625" i="4"/>
  <c r="U625" i="4"/>
  <c r="V625" i="4" s="1"/>
  <c r="Q625" i="4"/>
  <c r="P625" i="4"/>
  <c r="O625" i="4"/>
  <c r="CM625" i="4" s="1"/>
  <c r="N625" i="4"/>
  <c r="CL625" i="4" s="1"/>
  <c r="CN625" i="4" s="1"/>
  <c r="CE624" i="4"/>
  <c r="CF624" i="4" s="1"/>
  <c r="AF624" i="4"/>
  <c r="CR624" i="4" s="1"/>
  <c r="AD624" i="4"/>
  <c r="AC624" i="4"/>
  <c r="U624" i="4"/>
  <c r="V624" i="4" s="1"/>
  <c r="AE624" i="4" s="1"/>
  <c r="Q624" i="4"/>
  <c r="P624" i="4"/>
  <c r="O624" i="4"/>
  <c r="CM624" i="4" s="1"/>
  <c r="N624" i="4"/>
  <c r="CL624" i="4" s="1"/>
  <c r="CE623" i="4"/>
  <c r="CF623" i="4" s="1"/>
  <c r="AQ623" i="4"/>
  <c r="AF623" i="4"/>
  <c r="AD623" i="4"/>
  <c r="AC623" i="4"/>
  <c r="U623" i="4"/>
  <c r="V623" i="4" s="1"/>
  <c r="Q623" i="4"/>
  <c r="P623" i="4"/>
  <c r="O623" i="4"/>
  <c r="CM623" i="4" s="1"/>
  <c r="N623" i="4"/>
  <c r="CL623" i="4" s="1"/>
  <c r="A623" i="4"/>
  <c r="CE622" i="4"/>
  <c r="CF622" i="4" s="1"/>
  <c r="AF622" i="4"/>
  <c r="CR622" i="4" s="1"/>
  <c r="AD622" i="4"/>
  <c r="AC622" i="4"/>
  <c r="U622" i="4"/>
  <c r="V622" i="4" s="1"/>
  <c r="Q622" i="4"/>
  <c r="P622" i="4"/>
  <c r="O622" i="4"/>
  <c r="CM622" i="4" s="1"/>
  <c r="N622" i="4"/>
  <c r="CL622" i="4" s="1"/>
  <c r="CE621" i="4"/>
  <c r="CF621" i="4" s="1"/>
  <c r="AF621" i="4"/>
  <c r="CR621" i="4" s="1"/>
  <c r="AD621" i="4"/>
  <c r="AC621" i="4"/>
  <c r="U621" i="4"/>
  <c r="Q621" i="4"/>
  <c r="P621" i="4"/>
  <c r="O621" i="4"/>
  <c r="CM621" i="4" s="1"/>
  <c r="N621" i="4"/>
  <c r="CL621" i="4" s="1"/>
  <c r="CE620" i="4"/>
  <c r="CF620" i="4" s="1"/>
  <c r="AF620" i="4"/>
  <c r="CR620" i="4" s="1"/>
  <c r="AD620" i="4"/>
  <c r="AC620" i="4"/>
  <c r="U620" i="4"/>
  <c r="V620" i="4" s="1"/>
  <c r="Q620" i="4"/>
  <c r="P620" i="4"/>
  <c r="O620" i="4"/>
  <c r="CM620" i="4" s="1"/>
  <c r="N620" i="4"/>
  <c r="CL620" i="4" s="1"/>
  <c r="CL619" i="4"/>
  <c r="CE619" i="4"/>
  <c r="CF619" i="4" s="1"/>
  <c r="CI619" i="4" s="1"/>
  <c r="AF619" i="4"/>
  <c r="AD619" i="4"/>
  <c r="AC619" i="4"/>
  <c r="U619" i="4"/>
  <c r="V619" i="4" s="1"/>
  <c r="Q619" i="4"/>
  <c r="P619" i="4"/>
  <c r="O619" i="4"/>
  <c r="CM619" i="4" s="1"/>
  <c r="N619" i="4"/>
  <c r="CE618" i="4"/>
  <c r="CF618" i="4" s="1"/>
  <c r="AF618" i="4"/>
  <c r="CR618" i="4" s="1"/>
  <c r="AD618" i="4"/>
  <c r="AC618" i="4"/>
  <c r="U618" i="4"/>
  <c r="V618" i="4" s="1"/>
  <c r="Q618" i="4"/>
  <c r="P618" i="4"/>
  <c r="O618" i="4"/>
  <c r="CM618" i="4" s="1"/>
  <c r="N618" i="4"/>
  <c r="CL618" i="4" s="1"/>
  <c r="CE617" i="4"/>
  <c r="CF617" i="4" s="1"/>
  <c r="AF617" i="4"/>
  <c r="CR617" i="4" s="1"/>
  <c r="AD617" i="4"/>
  <c r="AC617" i="4"/>
  <c r="U617" i="4"/>
  <c r="V617" i="4" s="1"/>
  <c r="Q617" i="4"/>
  <c r="P617" i="4"/>
  <c r="O617" i="4"/>
  <c r="CM617" i="4" s="1"/>
  <c r="N617" i="4"/>
  <c r="CL617" i="4" s="1"/>
  <c r="CE616" i="4"/>
  <c r="CF616" i="4" s="1"/>
  <c r="AF616" i="4"/>
  <c r="AD616" i="4"/>
  <c r="AC616" i="4"/>
  <c r="U616" i="4"/>
  <c r="V616" i="4" s="1"/>
  <c r="Q616" i="4"/>
  <c r="P616" i="4"/>
  <c r="O616" i="4"/>
  <c r="CM616" i="4" s="1"/>
  <c r="N616" i="4"/>
  <c r="CL616" i="4" s="1"/>
  <c r="CE615" i="4"/>
  <c r="AF615" i="4"/>
  <c r="CR615" i="4" s="1"/>
  <c r="AD615" i="4"/>
  <c r="AC615" i="4"/>
  <c r="U615" i="4"/>
  <c r="V615" i="4" s="1"/>
  <c r="AE615" i="4" s="1"/>
  <c r="Q615" i="4"/>
  <c r="P615" i="4"/>
  <c r="O615" i="4"/>
  <c r="CM615" i="4" s="1"/>
  <c r="N615" i="4"/>
  <c r="CL615" i="4" s="1"/>
  <c r="CN615" i="4" s="1"/>
  <c r="CE614" i="4"/>
  <c r="CF614" i="4" s="1"/>
  <c r="CI614" i="4" s="1"/>
  <c r="AF614" i="4"/>
  <c r="AD614" i="4"/>
  <c r="AC614" i="4"/>
  <c r="U614" i="4"/>
  <c r="V614" i="4" s="1"/>
  <c r="Q614" i="4"/>
  <c r="P614" i="4"/>
  <c r="O614" i="4"/>
  <c r="CM614" i="4" s="1"/>
  <c r="N614" i="4"/>
  <c r="CL614" i="4" s="1"/>
  <c r="CE613" i="4"/>
  <c r="CF613" i="4" s="1"/>
  <c r="AQ613" i="4"/>
  <c r="AF613" i="4"/>
  <c r="AD613" i="4"/>
  <c r="AC613" i="4"/>
  <c r="U613" i="4"/>
  <c r="V613" i="4" s="1"/>
  <c r="AE613" i="4" s="1"/>
  <c r="Q613" i="4"/>
  <c r="P613" i="4"/>
  <c r="O613" i="4"/>
  <c r="CM613" i="4" s="1"/>
  <c r="N613" i="4"/>
  <c r="CL613" i="4" s="1"/>
  <c r="A613" i="4"/>
  <c r="CE612" i="4"/>
  <c r="CF612" i="4" s="1"/>
  <c r="AF612" i="4"/>
  <c r="CR612" i="4" s="1"/>
  <c r="AD612" i="4"/>
  <c r="AC612" i="4"/>
  <c r="U612" i="4"/>
  <c r="Q612" i="4"/>
  <c r="P612" i="4"/>
  <c r="O612" i="4"/>
  <c r="CM612" i="4" s="1"/>
  <c r="N612" i="4"/>
  <c r="CL612" i="4" s="1"/>
  <c r="CE611" i="4"/>
  <c r="CF611" i="4" s="1"/>
  <c r="AF611" i="4"/>
  <c r="CR611" i="4" s="1"/>
  <c r="AD611" i="4"/>
  <c r="AC611" i="4"/>
  <c r="U611" i="4"/>
  <c r="V611" i="4" s="1"/>
  <c r="Q611" i="4"/>
  <c r="P611" i="4"/>
  <c r="O611" i="4"/>
  <c r="CM611" i="4" s="1"/>
  <c r="N611" i="4"/>
  <c r="CL611" i="4" s="1"/>
  <c r="CE610" i="4"/>
  <c r="CF610" i="4" s="1"/>
  <c r="AF610" i="4"/>
  <c r="CR610" i="4" s="1"/>
  <c r="AD610" i="4"/>
  <c r="AC610" i="4"/>
  <c r="U610" i="4"/>
  <c r="V610" i="4" s="1"/>
  <c r="AE610" i="4" s="1"/>
  <c r="Q610" i="4"/>
  <c r="P610" i="4"/>
  <c r="O610" i="4"/>
  <c r="CM610" i="4" s="1"/>
  <c r="N610" i="4"/>
  <c r="CL610" i="4" s="1"/>
  <c r="CE609" i="4"/>
  <c r="CF609" i="4" s="1"/>
  <c r="CI609" i="4" s="1"/>
  <c r="AF609" i="4"/>
  <c r="CR609" i="4" s="1"/>
  <c r="AD609" i="4"/>
  <c r="AC609" i="4"/>
  <c r="U609" i="4"/>
  <c r="V609" i="4" s="1"/>
  <c r="AE609" i="4" s="1"/>
  <c r="Q609" i="4"/>
  <c r="P609" i="4"/>
  <c r="O609" i="4"/>
  <c r="CM609" i="4" s="1"/>
  <c r="N609" i="4"/>
  <c r="CL609" i="4" s="1"/>
  <c r="CE608" i="4"/>
  <c r="CF608" i="4" s="1"/>
  <c r="CI608" i="4" s="1"/>
  <c r="AF608" i="4"/>
  <c r="AD608" i="4"/>
  <c r="AC608" i="4"/>
  <c r="U608" i="4"/>
  <c r="V608" i="4" s="1"/>
  <c r="Q608" i="4"/>
  <c r="P608" i="4"/>
  <c r="O608" i="4"/>
  <c r="CM608" i="4" s="1"/>
  <c r="N608" i="4"/>
  <c r="CL608" i="4" s="1"/>
  <c r="CE607" i="4"/>
  <c r="CF607" i="4" s="1"/>
  <c r="AF607" i="4"/>
  <c r="CR607" i="4" s="1"/>
  <c r="AD607" i="4"/>
  <c r="AC607" i="4"/>
  <c r="U607" i="4"/>
  <c r="Q607" i="4"/>
  <c r="P607" i="4"/>
  <c r="O607" i="4"/>
  <c r="CM607" i="4" s="1"/>
  <c r="N607" i="4"/>
  <c r="CL607" i="4" s="1"/>
  <c r="CE606" i="4"/>
  <c r="CF606" i="4" s="1"/>
  <c r="AF606" i="4"/>
  <c r="AD606" i="4"/>
  <c r="AC606" i="4"/>
  <c r="U606" i="4"/>
  <c r="V606" i="4" s="1"/>
  <c r="Q606" i="4"/>
  <c r="P606" i="4"/>
  <c r="O606" i="4"/>
  <c r="CM606" i="4" s="1"/>
  <c r="N606" i="4"/>
  <c r="CL606" i="4" s="1"/>
  <c r="CE605" i="4"/>
  <c r="CF605" i="4" s="1"/>
  <c r="AF605" i="4"/>
  <c r="AI605" i="4" s="1"/>
  <c r="AD605" i="4"/>
  <c r="AC605" i="4"/>
  <c r="U605" i="4"/>
  <c r="V605" i="4" s="1"/>
  <c r="Q605" i="4"/>
  <c r="P605" i="4"/>
  <c r="O605" i="4"/>
  <c r="CM605" i="4" s="1"/>
  <c r="N605" i="4"/>
  <c r="CL605" i="4" s="1"/>
  <c r="CE604" i="4"/>
  <c r="AF604" i="4"/>
  <c r="CR604" i="4" s="1"/>
  <c r="AD604" i="4"/>
  <c r="AC604" i="4"/>
  <c r="U604" i="4"/>
  <c r="V604" i="4" s="1"/>
  <c r="Q604" i="4"/>
  <c r="P604" i="4"/>
  <c r="O604" i="4"/>
  <c r="CM604" i="4" s="1"/>
  <c r="N604" i="4"/>
  <c r="CL604" i="4" s="1"/>
  <c r="CE603" i="4"/>
  <c r="CF603" i="4" s="1"/>
  <c r="AQ603" i="4"/>
  <c r="AF603" i="4"/>
  <c r="AD603" i="4"/>
  <c r="AC603" i="4"/>
  <c r="U603" i="4"/>
  <c r="V603" i="4" s="1"/>
  <c r="AE603" i="4" s="1"/>
  <c r="Q603" i="4"/>
  <c r="P603" i="4"/>
  <c r="O603" i="4"/>
  <c r="CM603" i="4" s="1"/>
  <c r="N603" i="4"/>
  <c r="CL603" i="4" s="1"/>
  <c r="A603" i="4"/>
  <c r="CE602" i="4"/>
  <c r="AF602" i="4"/>
  <c r="AD602" i="4"/>
  <c r="AC602" i="4"/>
  <c r="U602" i="4"/>
  <c r="V602" i="4" s="1"/>
  <c r="Q602" i="4"/>
  <c r="P602" i="4"/>
  <c r="O602" i="4"/>
  <c r="CM602" i="4" s="1"/>
  <c r="N602" i="4"/>
  <c r="CL602" i="4" s="1"/>
  <c r="CE601" i="4"/>
  <c r="CF601" i="4" s="1"/>
  <c r="AF601" i="4"/>
  <c r="CR601" i="4" s="1"/>
  <c r="AD601" i="4"/>
  <c r="AC601" i="4"/>
  <c r="U601" i="4"/>
  <c r="Q601" i="4"/>
  <c r="P601" i="4"/>
  <c r="O601" i="4"/>
  <c r="CM601" i="4" s="1"/>
  <c r="N601" i="4"/>
  <c r="CL601" i="4" s="1"/>
  <c r="CE600" i="4"/>
  <c r="CF600" i="4" s="1"/>
  <c r="AF600" i="4"/>
  <c r="CR600" i="4" s="1"/>
  <c r="AD600" i="4"/>
  <c r="AC600" i="4"/>
  <c r="U600" i="4"/>
  <c r="Q600" i="4"/>
  <c r="P600" i="4"/>
  <c r="O600" i="4"/>
  <c r="CM600" i="4" s="1"/>
  <c r="N600" i="4"/>
  <c r="CL600" i="4" s="1"/>
  <c r="CE599" i="4"/>
  <c r="CF599" i="4" s="1"/>
  <c r="AF599" i="4"/>
  <c r="CR599" i="4" s="1"/>
  <c r="AD599" i="4"/>
  <c r="AC599" i="4"/>
  <c r="U599" i="4"/>
  <c r="V599" i="4" s="1"/>
  <c r="Q599" i="4"/>
  <c r="P599" i="4"/>
  <c r="O599" i="4"/>
  <c r="CM599" i="4" s="1"/>
  <c r="N599" i="4"/>
  <c r="CL599" i="4" s="1"/>
  <c r="CE598" i="4"/>
  <c r="CF598" i="4" s="1"/>
  <c r="AF598" i="4"/>
  <c r="AI598" i="4" s="1"/>
  <c r="AD598" i="4"/>
  <c r="AC598" i="4"/>
  <c r="U598" i="4"/>
  <c r="V598" i="4" s="1"/>
  <c r="AE598" i="4" s="1"/>
  <c r="Q598" i="4"/>
  <c r="P598" i="4"/>
  <c r="O598" i="4"/>
  <c r="CM598" i="4" s="1"/>
  <c r="N598" i="4"/>
  <c r="CL598" i="4" s="1"/>
  <c r="CE597" i="4"/>
  <c r="CF597" i="4" s="1"/>
  <c r="AF597" i="4"/>
  <c r="AI597" i="4" s="1"/>
  <c r="AD597" i="4"/>
  <c r="AC597" i="4"/>
  <c r="U597" i="4"/>
  <c r="Q597" i="4"/>
  <c r="P597" i="4"/>
  <c r="O597" i="4"/>
  <c r="CM597" i="4" s="1"/>
  <c r="N597" i="4"/>
  <c r="CL597" i="4" s="1"/>
  <c r="CE596" i="4"/>
  <c r="CF596" i="4" s="1"/>
  <c r="AF596" i="4"/>
  <c r="CR596" i="4" s="1"/>
  <c r="AD596" i="4"/>
  <c r="AC596" i="4"/>
  <c r="U596" i="4"/>
  <c r="Q596" i="4"/>
  <c r="P596" i="4"/>
  <c r="O596" i="4"/>
  <c r="CM596" i="4" s="1"/>
  <c r="N596" i="4"/>
  <c r="CL596" i="4" s="1"/>
  <c r="CE595" i="4"/>
  <c r="CF595" i="4" s="1"/>
  <c r="AF595" i="4"/>
  <c r="CR595" i="4" s="1"/>
  <c r="AD595" i="4"/>
  <c r="AC595" i="4"/>
  <c r="U595" i="4"/>
  <c r="V595" i="4" s="1"/>
  <c r="Q595" i="4"/>
  <c r="P595" i="4"/>
  <c r="O595" i="4"/>
  <c r="CM595" i="4" s="1"/>
  <c r="N595" i="4"/>
  <c r="CL595" i="4" s="1"/>
  <c r="CL594" i="4"/>
  <c r="CE594" i="4"/>
  <c r="CF594" i="4" s="1"/>
  <c r="CI594" i="4" s="1"/>
  <c r="AF594" i="4"/>
  <c r="CR594" i="4" s="1"/>
  <c r="AD594" i="4"/>
  <c r="AC594" i="4"/>
  <c r="U594" i="4"/>
  <c r="V594" i="4" s="1"/>
  <c r="AE594" i="4" s="1"/>
  <c r="Q594" i="4"/>
  <c r="P594" i="4"/>
  <c r="O594" i="4"/>
  <c r="CM594" i="4" s="1"/>
  <c r="N594" i="4"/>
  <c r="CE593" i="4"/>
  <c r="CF593" i="4" s="1"/>
  <c r="AQ593" i="4"/>
  <c r="AF593" i="4"/>
  <c r="AD593" i="4"/>
  <c r="AC593" i="4"/>
  <c r="U593" i="4"/>
  <c r="V593" i="4" s="1"/>
  <c r="Q593" i="4"/>
  <c r="P593" i="4"/>
  <c r="O593" i="4"/>
  <c r="CM593" i="4" s="1"/>
  <c r="N593" i="4"/>
  <c r="CL593" i="4" s="1"/>
  <c r="A593" i="4"/>
  <c r="CE592" i="4"/>
  <c r="CF592" i="4" s="1"/>
  <c r="AF592" i="4"/>
  <c r="CR592" i="4" s="1"/>
  <c r="AD592" i="4"/>
  <c r="AC592" i="4"/>
  <c r="U592" i="4"/>
  <c r="V592" i="4" s="1"/>
  <c r="Q592" i="4"/>
  <c r="P592" i="4"/>
  <c r="O592" i="4"/>
  <c r="CM592" i="4" s="1"/>
  <c r="N592" i="4"/>
  <c r="CL592" i="4" s="1"/>
  <c r="CE591" i="4"/>
  <c r="AF591" i="4"/>
  <c r="CR591" i="4" s="1"/>
  <c r="AD591" i="4"/>
  <c r="AC591" i="4"/>
  <c r="U591" i="4"/>
  <c r="V591" i="4" s="1"/>
  <c r="Q591" i="4"/>
  <c r="P591" i="4"/>
  <c r="O591" i="4"/>
  <c r="CM591" i="4" s="1"/>
  <c r="N591" i="4"/>
  <c r="CL591" i="4" s="1"/>
  <c r="CE590" i="4"/>
  <c r="CF590" i="4" s="1"/>
  <c r="AF590" i="4"/>
  <c r="CR590" i="4" s="1"/>
  <c r="AD590" i="4"/>
  <c r="AC590" i="4"/>
  <c r="U590" i="4"/>
  <c r="V590" i="4" s="1"/>
  <c r="AE590" i="4" s="1"/>
  <c r="Q590" i="4"/>
  <c r="P590" i="4"/>
  <c r="O590" i="4"/>
  <c r="CM590" i="4" s="1"/>
  <c r="N590" i="4"/>
  <c r="CL590" i="4" s="1"/>
  <c r="CE589" i="4"/>
  <c r="CF589" i="4" s="1"/>
  <c r="CI589" i="4" s="1"/>
  <c r="AF589" i="4"/>
  <c r="CR589" i="4" s="1"/>
  <c r="AD589" i="4"/>
  <c r="AC589" i="4"/>
  <c r="U589" i="4"/>
  <c r="Q589" i="4"/>
  <c r="P589" i="4"/>
  <c r="O589" i="4"/>
  <c r="CM589" i="4" s="1"/>
  <c r="N589" i="4"/>
  <c r="CL589" i="4" s="1"/>
  <c r="CE588" i="4"/>
  <c r="CF588" i="4" s="1"/>
  <c r="AF588" i="4"/>
  <c r="CR588" i="4" s="1"/>
  <c r="AD588" i="4"/>
  <c r="AC588" i="4"/>
  <c r="U588" i="4"/>
  <c r="V588" i="4" s="1"/>
  <c r="AE588" i="4" s="1"/>
  <c r="Q588" i="4"/>
  <c r="P588" i="4"/>
  <c r="O588" i="4"/>
  <c r="CM588" i="4" s="1"/>
  <c r="N588" i="4"/>
  <c r="CL588" i="4" s="1"/>
  <c r="CE587" i="4"/>
  <c r="CF587" i="4" s="1"/>
  <c r="AF587" i="4"/>
  <c r="CR587" i="4" s="1"/>
  <c r="AD587" i="4"/>
  <c r="AC587" i="4"/>
  <c r="U587" i="4"/>
  <c r="V587" i="4" s="1"/>
  <c r="Q587" i="4"/>
  <c r="P587" i="4"/>
  <c r="O587" i="4"/>
  <c r="CM587" i="4" s="1"/>
  <c r="N587" i="4"/>
  <c r="CL587" i="4" s="1"/>
  <c r="CE586" i="4"/>
  <c r="CF586" i="4" s="1"/>
  <c r="AF586" i="4"/>
  <c r="AD586" i="4"/>
  <c r="AC586" i="4"/>
  <c r="U586" i="4"/>
  <c r="V586" i="4" s="1"/>
  <c r="AE586" i="4" s="1"/>
  <c r="Q586" i="4"/>
  <c r="P586" i="4"/>
  <c r="O586" i="4"/>
  <c r="CM586" i="4" s="1"/>
  <c r="N586" i="4"/>
  <c r="CL586" i="4" s="1"/>
  <c r="CE585" i="4"/>
  <c r="CF585" i="4" s="1"/>
  <c r="AF585" i="4"/>
  <c r="AI585" i="4" s="1"/>
  <c r="AD585" i="4"/>
  <c r="AC585" i="4"/>
  <c r="U585" i="4"/>
  <c r="Q585" i="4"/>
  <c r="P585" i="4"/>
  <c r="O585" i="4"/>
  <c r="CM585" i="4" s="1"/>
  <c r="N585" i="4"/>
  <c r="CL585" i="4" s="1"/>
  <c r="CE584" i="4"/>
  <c r="CF584" i="4" s="1"/>
  <c r="AF584" i="4"/>
  <c r="CR584" i="4" s="1"/>
  <c r="AD584" i="4"/>
  <c r="AC584" i="4"/>
  <c r="U584" i="4"/>
  <c r="V584" i="4" s="1"/>
  <c r="AE584" i="4" s="1"/>
  <c r="Q584" i="4"/>
  <c r="P584" i="4"/>
  <c r="O584" i="4"/>
  <c r="CM584" i="4" s="1"/>
  <c r="N584" i="4"/>
  <c r="CL584" i="4" s="1"/>
  <c r="CE583" i="4"/>
  <c r="AQ583" i="4"/>
  <c r="AF583" i="4"/>
  <c r="CR583" i="4" s="1"/>
  <c r="AD583" i="4"/>
  <c r="AC583" i="4"/>
  <c r="U583" i="4"/>
  <c r="V583" i="4" s="1"/>
  <c r="Q583" i="4"/>
  <c r="P583" i="4"/>
  <c r="O583" i="4"/>
  <c r="CM583" i="4" s="1"/>
  <c r="N583" i="4"/>
  <c r="CL583" i="4" s="1"/>
  <c r="A583" i="4"/>
  <c r="O404" i="3"/>
  <c r="P404" i="3" s="1"/>
  <c r="M404" i="3"/>
  <c r="O403" i="3"/>
  <c r="P403" i="3" s="1"/>
  <c r="M403" i="3"/>
  <c r="O402" i="3"/>
  <c r="P402" i="3" s="1"/>
  <c r="M402" i="3"/>
  <c r="O401" i="3"/>
  <c r="P401" i="3" s="1"/>
  <c r="M401" i="3"/>
  <c r="O400" i="3"/>
  <c r="P400" i="3" s="1"/>
  <c r="M400" i="3"/>
  <c r="AO399" i="3"/>
  <c r="AN399" i="3"/>
  <c r="O399" i="3"/>
  <c r="P399" i="3" s="1"/>
  <c r="M399" i="3"/>
  <c r="O398" i="3"/>
  <c r="P398" i="3" s="1"/>
  <c r="M398" i="3"/>
  <c r="O397" i="3"/>
  <c r="P397" i="3" s="1"/>
  <c r="M397" i="3"/>
  <c r="O396" i="3"/>
  <c r="P396" i="3" s="1"/>
  <c r="M396" i="3"/>
  <c r="O395" i="3"/>
  <c r="P395" i="3" s="1"/>
  <c r="M395" i="3"/>
  <c r="O394" i="3"/>
  <c r="P394" i="3" s="1"/>
  <c r="M394" i="3"/>
  <c r="AO393" i="3"/>
  <c r="AN393" i="3"/>
  <c r="O393" i="3"/>
  <c r="P393" i="3" s="1"/>
  <c r="M393" i="3"/>
  <c r="O392" i="3"/>
  <c r="P392" i="3" s="1"/>
  <c r="M392" i="3"/>
  <c r="O391" i="3"/>
  <c r="P391" i="3" s="1"/>
  <c r="M391" i="3"/>
  <c r="O390" i="3"/>
  <c r="P390" i="3" s="1"/>
  <c r="M390" i="3"/>
  <c r="O389" i="3"/>
  <c r="P389" i="3" s="1"/>
  <c r="M389" i="3"/>
  <c r="O388" i="3"/>
  <c r="P388" i="3" s="1"/>
  <c r="M388" i="3"/>
  <c r="AO387" i="3"/>
  <c r="AN387" i="3"/>
  <c r="O387" i="3"/>
  <c r="P387" i="3" s="1"/>
  <c r="M387" i="3"/>
  <c r="O386" i="3"/>
  <c r="P386" i="3" s="1"/>
  <c r="M386" i="3"/>
  <c r="O385" i="3"/>
  <c r="P385" i="3" s="1"/>
  <c r="M385" i="3"/>
  <c r="O384" i="3"/>
  <c r="P384" i="3" s="1"/>
  <c r="M384" i="3"/>
  <c r="O383" i="3"/>
  <c r="P383" i="3" s="1"/>
  <c r="M383" i="3"/>
  <c r="O382" i="3"/>
  <c r="P382" i="3" s="1"/>
  <c r="M382" i="3"/>
  <c r="AO381" i="3"/>
  <c r="AN381" i="3"/>
  <c r="O381" i="3"/>
  <c r="P381" i="3" s="1"/>
  <c r="M381" i="3"/>
  <c r="O380" i="3"/>
  <c r="P380" i="3" s="1"/>
  <c r="M380" i="3"/>
  <c r="O379" i="3"/>
  <c r="P379" i="3" s="1"/>
  <c r="M379" i="3"/>
  <c r="O378" i="3"/>
  <c r="P378" i="3" s="1"/>
  <c r="M378" i="3"/>
  <c r="O377" i="3"/>
  <c r="P377" i="3" s="1"/>
  <c r="M377" i="3"/>
  <c r="O376" i="3"/>
  <c r="P376" i="3" s="1"/>
  <c r="M376" i="3"/>
  <c r="AO375" i="3"/>
  <c r="AN375" i="3"/>
  <c r="O375" i="3"/>
  <c r="P375" i="3" s="1"/>
  <c r="M375" i="3"/>
  <c r="O374" i="3"/>
  <c r="P374" i="3" s="1"/>
  <c r="M374" i="3"/>
  <c r="O373" i="3"/>
  <c r="P373" i="3" s="1"/>
  <c r="M373" i="3"/>
  <c r="O372" i="3"/>
  <c r="P372" i="3" s="1"/>
  <c r="M372" i="3"/>
  <c r="O371" i="3"/>
  <c r="P371" i="3" s="1"/>
  <c r="M371" i="3"/>
  <c r="O370" i="3"/>
  <c r="P370" i="3" s="1"/>
  <c r="M370" i="3"/>
  <c r="AO369" i="3"/>
  <c r="AN369" i="3"/>
  <c r="J369" i="3" s="1"/>
  <c r="AM613" i="4" s="1"/>
  <c r="O369" i="3"/>
  <c r="P369" i="3" s="1"/>
  <c r="M369" i="3"/>
  <c r="O368" i="3"/>
  <c r="P368" i="3" s="1"/>
  <c r="M368" i="3"/>
  <c r="O367" i="3"/>
  <c r="P367" i="3" s="1"/>
  <c r="M367" i="3"/>
  <c r="O366" i="3"/>
  <c r="P366" i="3" s="1"/>
  <c r="M366" i="3"/>
  <c r="O365" i="3"/>
  <c r="P365" i="3" s="1"/>
  <c r="M365" i="3"/>
  <c r="O364" i="3"/>
  <c r="P364" i="3" s="1"/>
  <c r="M364" i="3"/>
  <c r="AO363" i="3"/>
  <c r="AN363" i="3"/>
  <c r="O363" i="3"/>
  <c r="P363" i="3" s="1"/>
  <c r="M363" i="3"/>
  <c r="O362" i="3"/>
  <c r="P362" i="3" s="1"/>
  <c r="M362" i="3"/>
  <c r="O361" i="3"/>
  <c r="P361" i="3" s="1"/>
  <c r="M361" i="3"/>
  <c r="O360" i="3"/>
  <c r="P360" i="3" s="1"/>
  <c r="M360" i="3"/>
  <c r="O359" i="3"/>
  <c r="P359" i="3" s="1"/>
  <c r="M359" i="3"/>
  <c r="O358" i="3"/>
  <c r="P358" i="3" s="1"/>
  <c r="M358" i="3"/>
  <c r="AO357" i="3"/>
  <c r="AN357" i="3"/>
  <c r="O357" i="3"/>
  <c r="P357" i="3" s="1"/>
  <c r="M357" i="3"/>
  <c r="O356" i="3"/>
  <c r="P356" i="3" s="1"/>
  <c r="M356" i="3"/>
  <c r="O355" i="3"/>
  <c r="P355" i="3" s="1"/>
  <c r="M355" i="3"/>
  <c r="O354" i="3"/>
  <c r="P354" i="3" s="1"/>
  <c r="M354" i="3"/>
  <c r="O353" i="3"/>
  <c r="P353" i="3" s="1"/>
  <c r="M353" i="3"/>
  <c r="O352" i="3"/>
  <c r="P352" i="3" s="1"/>
  <c r="M352" i="3"/>
  <c r="AO351" i="3"/>
  <c r="AN351" i="3"/>
  <c r="O351" i="3"/>
  <c r="P351" i="3" s="1"/>
  <c r="M351" i="3"/>
  <c r="CN613" i="4" l="1"/>
  <c r="AE653" i="4"/>
  <c r="AE659" i="4"/>
  <c r="AE656" i="4"/>
  <c r="AE623" i="4"/>
  <c r="AI654" i="4"/>
  <c r="AI615" i="4"/>
  <c r="CR614" i="4"/>
  <c r="AI614" i="4"/>
  <c r="AI604" i="4"/>
  <c r="J351" i="3"/>
  <c r="AM583" i="4" s="1"/>
  <c r="J393" i="3"/>
  <c r="AM653" i="4" s="1"/>
  <c r="J357" i="3"/>
  <c r="AM593" i="4" s="1"/>
  <c r="X69" i="5"/>
  <c r="X72" i="5"/>
  <c r="CN654" i="4"/>
  <c r="AE629" i="4"/>
  <c r="CN669" i="4"/>
  <c r="CN664" i="4"/>
  <c r="CB634" i="4"/>
  <c r="CQ634" i="4" s="1"/>
  <c r="CN649" i="4"/>
  <c r="CN593" i="4"/>
  <c r="AE636" i="4"/>
  <c r="AE639" i="4"/>
  <c r="CN602" i="4"/>
  <c r="AE616" i="4"/>
  <c r="AE619" i="4"/>
  <c r="CN611" i="4"/>
  <c r="CN634" i="4"/>
  <c r="AE645" i="4"/>
  <c r="CN635" i="4"/>
  <c r="AE593" i="4"/>
  <c r="AE599" i="4"/>
  <c r="AE625" i="4"/>
  <c r="AE628" i="4"/>
  <c r="CN660" i="4"/>
  <c r="AE605" i="4"/>
  <c r="AE640" i="4"/>
  <c r="AE660" i="4"/>
  <c r="CN600" i="4"/>
  <c r="AE617" i="4"/>
  <c r="CN629" i="4"/>
  <c r="AE643" i="4"/>
  <c r="AE620" i="4"/>
  <c r="AE649" i="4"/>
  <c r="AE666" i="4"/>
  <c r="CD667" i="4"/>
  <c r="CN644" i="4"/>
  <c r="AE606" i="4"/>
  <c r="AE635" i="4"/>
  <c r="CN589" i="4"/>
  <c r="CN627" i="4"/>
  <c r="AE658" i="4"/>
  <c r="CR649" i="4"/>
  <c r="AE592" i="4"/>
  <c r="AE670" i="4"/>
  <c r="AE595" i="4"/>
  <c r="AE630" i="4"/>
  <c r="AE633" i="4"/>
  <c r="AE650" i="4"/>
  <c r="CN659" i="4"/>
  <c r="CN609" i="4"/>
  <c r="CN665" i="4"/>
  <c r="CN598" i="4"/>
  <c r="CN607" i="4"/>
  <c r="CN628" i="4"/>
  <c r="CN592" i="4"/>
  <c r="CN595" i="4"/>
  <c r="CN632" i="4"/>
  <c r="CN647" i="4"/>
  <c r="CN653" i="4"/>
  <c r="AG653" i="4"/>
  <c r="CN596" i="4"/>
  <c r="CN608" i="4"/>
  <c r="CN619" i="4"/>
  <c r="CN640" i="4"/>
  <c r="CN658" i="4"/>
  <c r="CN662" i="4"/>
  <c r="CN671" i="4"/>
  <c r="CN584" i="4"/>
  <c r="CN588" i="4"/>
  <c r="CR598" i="4"/>
  <c r="CN612" i="4"/>
  <c r="CN617" i="4"/>
  <c r="CR634" i="4"/>
  <c r="CN637" i="4"/>
  <c r="CN648" i="4"/>
  <c r="CN672" i="4"/>
  <c r="V657" i="4"/>
  <c r="AE657" i="4" s="1"/>
  <c r="V601" i="4"/>
  <c r="AE601" i="4" s="1"/>
  <c r="V585" i="4"/>
  <c r="AE585" i="4" s="1"/>
  <c r="CF644" i="4"/>
  <c r="CI644" i="4" s="1"/>
  <c r="CF604" i="4"/>
  <c r="CI604" i="4" s="1"/>
  <c r="CN638" i="4"/>
  <c r="CI638" i="4"/>
  <c r="CN642" i="4"/>
  <c r="CN650" i="4"/>
  <c r="AE667" i="4"/>
  <c r="AI669" i="4"/>
  <c r="V600" i="4"/>
  <c r="AE600" i="4" s="1"/>
  <c r="CN597" i="4"/>
  <c r="CN603" i="4"/>
  <c r="CI605" i="4"/>
  <c r="CN614" i="4"/>
  <c r="CN620" i="4"/>
  <c r="CN624" i="4"/>
  <c r="CN633" i="4"/>
  <c r="V631" i="4"/>
  <c r="AE631" i="4" s="1"/>
  <c r="V607" i="4"/>
  <c r="AE607" i="4" s="1"/>
  <c r="CF602" i="4"/>
  <c r="CI602" i="4" s="1"/>
  <c r="CN583" i="4"/>
  <c r="CN601" i="4"/>
  <c r="CN618" i="4"/>
  <c r="AI618" i="4"/>
  <c r="CN652" i="4"/>
  <c r="CN587" i="4"/>
  <c r="CN591" i="4"/>
  <c r="CI598" i="4"/>
  <c r="AE612" i="4"/>
  <c r="CI618" i="4"/>
  <c r="CN622" i="4"/>
  <c r="CN631" i="4"/>
  <c r="CN639" i="4"/>
  <c r="AE641" i="4"/>
  <c r="CN657" i="4"/>
  <c r="CN663" i="4"/>
  <c r="AE665" i="4"/>
  <c r="V661" i="4"/>
  <c r="AE661" i="4" s="1"/>
  <c r="V637" i="4"/>
  <c r="AE637" i="4" s="1"/>
  <c r="V621" i="4"/>
  <c r="AE621" i="4" s="1"/>
  <c r="V597" i="4"/>
  <c r="AE597" i="4" s="1"/>
  <c r="V589" i="4"/>
  <c r="AE589" i="4" s="1"/>
  <c r="CN643" i="4"/>
  <c r="CN661" i="4"/>
  <c r="AE669" i="4"/>
  <c r="V644" i="4"/>
  <c r="AE644" i="4" s="1"/>
  <c r="V612" i="4"/>
  <c r="V596" i="4"/>
  <c r="AE596" i="4" s="1"/>
  <c r="CF639" i="4"/>
  <c r="CI639" i="4" s="1"/>
  <c r="CF615" i="4"/>
  <c r="CI615" i="4" s="1"/>
  <c r="CF591" i="4"/>
  <c r="CG591" i="4" s="1"/>
  <c r="CH591" i="4" s="1"/>
  <c r="CF583" i="4"/>
  <c r="CI583" i="4" s="1"/>
  <c r="J399" i="3"/>
  <c r="AM663" i="4" s="1"/>
  <c r="J363" i="3"/>
  <c r="AM603" i="4" s="1"/>
  <c r="J375" i="3"/>
  <c r="AM623" i="4" s="1"/>
  <c r="J381" i="3"/>
  <c r="AM633" i="4" s="1"/>
  <c r="J387" i="3"/>
  <c r="AM643" i="4" s="1"/>
  <c r="CG668" i="4"/>
  <c r="CH668" i="4" s="1"/>
  <c r="CI624" i="4"/>
  <c r="M51" i="5"/>
  <c r="X65" i="5"/>
  <c r="X67" i="5"/>
  <c r="X64" i="5"/>
  <c r="E3" i="4"/>
  <c r="CG587" i="4"/>
  <c r="CH587" i="4" s="1"/>
  <c r="CI649" i="4"/>
  <c r="CG614" i="4"/>
  <c r="CH614" i="4" s="1"/>
  <c r="CI658" i="4"/>
  <c r="M16" i="5"/>
  <c r="M8" i="5"/>
  <c r="M71" i="5"/>
  <c r="M63" i="5"/>
  <c r="X68" i="5"/>
  <c r="M70" i="5"/>
  <c r="M54" i="5"/>
  <c r="M46" i="5"/>
  <c r="M22" i="5"/>
  <c r="M66" i="5"/>
  <c r="M50" i="5"/>
  <c r="M42" i="5"/>
  <c r="M34" i="5"/>
  <c r="M26" i="5"/>
  <c r="M10" i="5"/>
  <c r="M6" i="5"/>
  <c r="V72" i="5"/>
  <c r="V71" i="5"/>
  <c r="V70" i="5"/>
  <c r="V69" i="5"/>
  <c r="V68" i="5"/>
  <c r="V67" i="5"/>
  <c r="V66" i="5"/>
  <c r="V65" i="5"/>
  <c r="V64" i="5"/>
  <c r="V63" i="5"/>
  <c r="CI613" i="4"/>
  <c r="CI633" i="4"/>
  <c r="CI657" i="4"/>
  <c r="CI597" i="4"/>
  <c r="CI659" i="4"/>
  <c r="CI664" i="4"/>
  <c r="AI638" i="4"/>
  <c r="AI644" i="4"/>
  <c r="AI609" i="4"/>
  <c r="AI627" i="4"/>
  <c r="AE647" i="4"/>
  <c r="AI589" i="4"/>
  <c r="AI635" i="4"/>
  <c r="AE664" i="4"/>
  <c r="CR665" i="4"/>
  <c r="CB614" i="4"/>
  <c r="CQ614" i="4" s="1"/>
  <c r="AI659" i="4"/>
  <c r="AE591" i="4"/>
  <c r="AI591" i="4"/>
  <c r="AI624" i="4"/>
  <c r="CR628" i="4"/>
  <c r="AE651" i="4"/>
  <c r="CB661" i="4"/>
  <c r="CQ661" i="4" s="1"/>
  <c r="AI655" i="4"/>
  <c r="CR655" i="4"/>
  <c r="CD664" i="4"/>
  <c r="CB663" i="4"/>
  <c r="CQ663" i="4" s="1"/>
  <c r="CR663" i="4"/>
  <c r="AI594" i="4"/>
  <c r="AE672" i="4"/>
  <c r="AE583" i="4"/>
  <c r="AE587" i="4"/>
  <c r="AI587" i="4"/>
  <c r="AE608" i="4"/>
  <c r="AE611" i="4"/>
  <c r="AE627" i="4"/>
  <c r="AE632" i="4"/>
  <c r="AE648" i="4"/>
  <c r="AE652" i="4"/>
  <c r="AI658" i="4"/>
  <c r="AH663" i="4"/>
  <c r="CR602" i="4"/>
  <c r="AI602" i="4"/>
  <c r="CB591" i="4"/>
  <c r="CQ591" i="4" s="1"/>
  <c r="AI583" i="4"/>
  <c r="CB584" i="4"/>
  <c r="CQ584" i="4" s="1"/>
  <c r="AG583" i="4"/>
  <c r="CR585" i="4"/>
  <c r="CB601" i="4"/>
  <c r="CQ601" i="4" s="1"/>
  <c r="CR597" i="4"/>
  <c r="CR608" i="4"/>
  <c r="AI608" i="4"/>
  <c r="CR619" i="4"/>
  <c r="AI619" i="4"/>
  <c r="CR657" i="4"/>
  <c r="CR664" i="4"/>
  <c r="CB672" i="4"/>
  <c r="CQ672" i="4" s="1"/>
  <c r="AG663" i="4"/>
  <c r="CR605" i="4"/>
  <c r="CB621" i="4"/>
  <c r="CQ621" i="4" s="1"/>
  <c r="CD617" i="4"/>
  <c r="AG613" i="4"/>
  <c r="AE618" i="4"/>
  <c r="AE622" i="4"/>
  <c r="AE626" i="4"/>
  <c r="CR639" i="4"/>
  <c r="AI639" i="4"/>
  <c r="CB654" i="4"/>
  <c r="CQ654" i="4" s="1"/>
  <c r="CR629" i="4"/>
  <c r="AI629" i="4"/>
  <c r="AE634" i="4"/>
  <c r="CB638" i="4"/>
  <c r="CQ638" i="4" s="1"/>
  <c r="AG633" i="4"/>
  <c r="AE638" i="4"/>
  <c r="CR648" i="4"/>
  <c r="AI648" i="4"/>
  <c r="AE662" i="4"/>
  <c r="CD583" i="4"/>
  <c r="AE602" i="4"/>
  <c r="CB641" i="4"/>
  <c r="CQ641" i="4" s="1"/>
  <c r="CB651" i="4"/>
  <c r="CQ651" i="4" s="1"/>
  <c r="AI663" i="4"/>
  <c r="AE614" i="4"/>
  <c r="CB631" i="4"/>
  <c r="CQ631" i="4" s="1"/>
  <c r="AE642" i="4"/>
  <c r="AE646" i="4"/>
  <c r="CB671" i="4"/>
  <c r="CQ671" i="4" s="1"/>
  <c r="CB658" i="4"/>
  <c r="CQ658" i="4" s="1"/>
  <c r="CG627" i="4"/>
  <c r="CH627" i="4" s="1"/>
  <c r="CI585" i="4"/>
  <c r="CG657" i="4"/>
  <c r="CH657" i="4" s="1"/>
  <c r="CG589" i="4"/>
  <c r="CH589" i="4" s="1"/>
  <c r="CI665" i="4"/>
  <c r="CG665" i="4"/>
  <c r="CH665" i="4" s="1"/>
  <c r="CI672" i="4"/>
  <c r="CI663" i="4"/>
  <c r="CG664" i="4"/>
  <c r="CH664" i="4" s="1"/>
  <c r="CD663" i="4"/>
  <c r="CD672" i="4"/>
  <c r="CR666" i="4"/>
  <c r="CB665" i="4"/>
  <c r="CQ665" i="4" s="1"/>
  <c r="CB669" i="4"/>
  <c r="CQ669" i="4" s="1"/>
  <c r="CD668" i="4"/>
  <c r="AI666" i="4"/>
  <c r="CI669" i="4"/>
  <c r="CG669" i="4"/>
  <c r="CH669" i="4" s="1"/>
  <c r="CN670" i="4"/>
  <c r="CD671" i="4"/>
  <c r="CG672" i="4"/>
  <c r="CH672" i="4" s="1"/>
  <c r="CI668" i="4"/>
  <c r="CI670" i="4"/>
  <c r="CG663" i="4"/>
  <c r="CH663" i="4" s="1"/>
  <c r="AE663" i="4"/>
  <c r="CB664" i="4"/>
  <c r="CQ664" i="4" s="1"/>
  <c r="CI666" i="4"/>
  <c r="CN668" i="4"/>
  <c r="AE668" i="4"/>
  <c r="CB668" i="4"/>
  <c r="CQ668" i="4" s="1"/>
  <c r="CR670" i="4"/>
  <c r="AI670" i="4"/>
  <c r="CD665" i="4"/>
  <c r="CB666" i="4"/>
  <c r="CQ666" i="4" s="1"/>
  <c r="AI667" i="4"/>
  <c r="CD669" i="4"/>
  <c r="CB670" i="4"/>
  <c r="CQ670" i="4" s="1"/>
  <c r="AI671" i="4"/>
  <c r="AJ663" i="4"/>
  <c r="AR663" i="4"/>
  <c r="AS663" i="4" s="1"/>
  <c r="AI664" i="4"/>
  <c r="CD666" i="4"/>
  <c r="CB667" i="4"/>
  <c r="CQ667" i="4" s="1"/>
  <c r="AI668" i="4"/>
  <c r="CD670" i="4"/>
  <c r="AI672" i="4"/>
  <c r="CG661" i="4"/>
  <c r="CH661" i="4" s="1"/>
  <c r="CI661" i="4"/>
  <c r="CG662" i="4"/>
  <c r="CH662" i="4" s="1"/>
  <c r="CI662" i="4"/>
  <c r="CN655" i="4"/>
  <c r="CN656" i="4"/>
  <c r="CD657" i="4"/>
  <c r="CG658" i="4"/>
  <c r="CH658" i="4" s="1"/>
  <c r="CB662" i="4"/>
  <c r="CQ662" i="4" s="1"/>
  <c r="AH653" i="4"/>
  <c r="CB653" i="4"/>
  <c r="CQ653" i="4" s="1"/>
  <c r="CG653" i="4"/>
  <c r="CH653" i="4" s="1"/>
  <c r="CD654" i="4"/>
  <c r="CB655" i="4"/>
  <c r="CQ655" i="4" s="1"/>
  <c r="CG655" i="4"/>
  <c r="CH655" i="4" s="1"/>
  <c r="AI656" i="4"/>
  <c r="CI656" i="4"/>
  <c r="CR656" i="4"/>
  <c r="CD658" i="4"/>
  <c r="CB659" i="4"/>
  <c r="CQ659" i="4" s="1"/>
  <c r="CG659" i="4"/>
  <c r="CH659" i="4" s="1"/>
  <c r="AI660" i="4"/>
  <c r="CI660" i="4"/>
  <c r="CD662" i="4"/>
  <c r="CD661" i="4"/>
  <c r="AI653" i="4"/>
  <c r="CD653" i="4"/>
  <c r="CR653" i="4"/>
  <c r="CD655" i="4"/>
  <c r="CB656" i="4"/>
  <c r="CQ656" i="4" s="1"/>
  <c r="CD659" i="4"/>
  <c r="CB660" i="4"/>
  <c r="CQ660" i="4" s="1"/>
  <c r="AI661" i="4"/>
  <c r="CG654" i="4"/>
  <c r="CH654" i="4" s="1"/>
  <c r="AJ653" i="4"/>
  <c r="AR653" i="4"/>
  <c r="AS653" i="4" s="1"/>
  <c r="CD656" i="4"/>
  <c r="CB657" i="4"/>
  <c r="CQ657" i="4" s="1"/>
  <c r="CD660" i="4"/>
  <c r="AI662" i="4"/>
  <c r="CG647" i="4"/>
  <c r="CH647" i="4" s="1"/>
  <c r="CI647" i="4"/>
  <c r="CI652" i="4"/>
  <c r="CG652" i="4"/>
  <c r="CH652" i="4" s="1"/>
  <c r="CN651" i="4"/>
  <c r="AJ643" i="4"/>
  <c r="AR643" i="4"/>
  <c r="AS643" i="4" s="1"/>
  <c r="AG643" i="4"/>
  <c r="CI643" i="4"/>
  <c r="CB644" i="4"/>
  <c r="CQ644" i="4" s="1"/>
  <c r="AI645" i="4"/>
  <c r="CI645" i="4"/>
  <c r="CD647" i="4"/>
  <c r="CB648" i="4"/>
  <c r="CQ648" i="4" s="1"/>
  <c r="CG648" i="4"/>
  <c r="CH648" i="4" s="1"/>
  <c r="CB643" i="4"/>
  <c r="CQ643" i="4" s="1"/>
  <c r="CD644" i="4"/>
  <c r="CB645" i="4"/>
  <c r="CQ645" i="4" s="1"/>
  <c r="AI646" i="4"/>
  <c r="CG646" i="4"/>
  <c r="CD648" i="4"/>
  <c r="CB649" i="4"/>
  <c r="CQ649" i="4" s="1"/>
  <c r="CG649" i="4"/>
  <c r="CH649" i="4" s="1"/>
  <c r="AI650" i="4"/>
  <c r="CI650" i="4"/>
  <c r="CD652" i="4"/>
  <c r="CD651" i="4"/>
  <c r="CB652" i="4"/>
  <c r="CQ652" i="4" s="1"/>
  <c r="AH643" i="4"/>
  <c r="AI643" i="4"/>
  <c r="CD643" i="4"/>
  <c r="CR643" i="4"/>
  <c r="CD645" i="4"/>
  <c r="CB646" i="4"/>
  <c r="CQ646" i="4" s="1"/>
  <c r="AI647" i="4"/>
  <c r="CD649" i="4"/>
  <c r="CB650" i="4"/>
  <c r="CQ650" i="4" s="1"/>
  <c r="AI651" i="4"/>
  <c r="CD646" i="4"/>
  <c r="CB647" i="4"/>
  <c r="CQ647" i="4" s="1"/>
  <c r="CD650" i="4"/>
  <c r="AI652" i="4"/>
  <c r="CI642" i="4"/>
  <c r="CG642" i="4"/>
  <c r="CH642" i="4" s="1"/>
  <c r="CG638" i="4"/>
  <c r="CH638" i="4" s="1"/>
  <c r="CG634" i="4"/>
  <c r="CH634" i="4" s="1"/>
  <c r="CN636" i="4"/>
  <c r="CN641" i="4"/>
  <c r="CD641" i="4"/>
  <c r="CB642" i="4"/>
  <c r="CQ642" i="4" s="1"/>
  <c r="AH633" i="4"/>
  <c r="CB633" i="4"/>
  <c r="CQ633" i="4" s="1"/>
  <c r="CG633" i="4"/>
  <c r="CH633" i="4" s="1"/>
  <c r="CD634" i="4"/>
  <c r="CB635" i="4"/>
  <c r="CQ635" i="4" s="1"/>
  <c r="CG635" i="4"/>
  <c r="CH635" i="4" s="1"/>
  <c r="AI636" i="4"/>
  <c r="CI636" i="4"/>
  <c r="CR636" i="4"/>
  <c r="CD638" i="4"/>
  <c r="CB639" i="4"/>
  <c r="CQ639" i="4" s="1"/>
  <c r="AI640" i="4"/>
  <c r="CI640" i="4"/>
  <c r="CD642" i="4"/>
  <c r="AI633" i="4"/>
  <c r="CD633" i="4"/>
  <c r="CR633" i="4"/>
  <c r="CD635" i="4"/>
  <c r="CB636" i="4"/>
  <c r="CQ636" i="4" s="1"/>
  <c r="AI637" i="4"/>
  <c r="CG637" i="4"/>
  <c r="CD639" i="4"/>
  <c r="CB640" i="4"/>
  <c r="CQ640" i="4" s="1"/>
  <c r="AI641" i="4"/>
  <c r="CG641" i="4"/>
  <c r="CD637" i="4"/>
  <c r="AJ633" i="4"/>
  <c r="AR633" i="4"/>
  <c r="AS633" i="4" s="1"/>
  <c r="CD636" i="4"/>
  <c r="CB637" i="4"/>
  <c r="CQ637" i="4" s="1"/>
  <c r="CD640" i="4"/>
  <c r="AI642" i="4"/>
  <c r="CN626" i="4"/>
  <c r="CG631" i="4"/>
  <c r="CH631" i="4" s="1"/>
  <c r="CI631" i="4"/>
  <c r="CI632" i="4"/>
  <c r="CG632" i="4"/>
  <c r="CH632" i="4" s="1"/>
  <c r="CN623" i="4"/>
  <c r="CD631" i="4"/>
  <c r="CB632" i="4"/>
  <c r="CQ632" i="4" s="1"/>
  <c r="AH623" i="4"/>
  <c r="CB623" i="4"/>
  <c r="CQ623" i="4" s="1"/>
  <c r="CD624" i="4"/>
  <c r="CB625" i="4"/>
  <c r="CQ625" i="4" s="1"/>
  <c r="AI626" i="4"/>
  <c r="CD628" i="4"/>
  <c r="CB629" i="4"/>
  <c r="CQ629" i="4" s="1"/>
  <c r="CG629" i="4"/>
  <c r="CH629" i="4" s="1"/>
  <c r="AI630" i="4"/>
  <c r="CI630" i="4"/>
  <c r="CD632" i="4"/>
  <c r="AG623" i="4"/>
  <c r="CI623" i="4"/>
  <c r="CB624" i="4"/>
  <c r="CQ624" i="4" s="1"/>
  <c r="CG624" i="4"/>
  <c r="CH624" i="4" s="1"/>
  <c r="AI625" i="4"/>
  <c r="CI625" i="4"/>
  <c r="CD627" i="4"/>
  <c r="CB628" i="4"/>
  <c r="CQ628" i="4" s="1"/>
  <c r="CG628" i="4"/>
  <c r="CH628" i="4" s="1"/>
  <c r="AI623" i="4"/>
  <c r="CD623" i="4"/>
  <c r="CR623" i="4"/>
  <c r="CD625" i="4"/>
  <c r="CB626" i="4"/>
  <c r="CQ626" i="4" s="1"/>
  <c r="CD629" i="4"/>
  <c r="CB630" i="4"/>
  <c r="CQ630" i="4" s="1"/>
  <c r="AI631" i="4"/>
  <c r="AJ623" i="4"/>
  <c r="AR623" i="4"/>
  <c r="AS623" i="4" s="1"/>
  <c r="CD626" i="4"/>
  <c r="CB627" i="4"/>
  <c r="CQ627" i="4" s="1"/>
  <c r="CD630" i="4"/>
  <c r="AI632" i="4"/>
  <c r="CI616" i="4"/>
  <c r="CG618" i="4"/>
  <c r="CH618" i="4" s="1"/>
  <c r="CI622" i="4"/>
  <c r="CG622" i="4"/>
  <c r="CH622" i="4" s="1"/>
  <c r="CN616" i="4"/>
  <c r="CR616" i="4"/>
  <c r="AI616" i="4"/>
  <c r="CB618" i="4"/>
  <c r="CQ618" i="4" s="1"/>
  <c r="CG617" i="4"/>
  <c r="CH617" i="4" s="1"/>
  <c r="CI617" i="4"/>
  <c r="CN621" i="4"/>
  <c r="CD621" i="4"/>
  <c r="CB622" i="4"/>
  <c r="CQ622" i="4" s="1"/>
  <c r="AH613" i="4"/>
  <c r="CB613" i="4"/>
  <c r="CQ613" i="4" s="1"/>
  <c r="CG613" i="4"/>
  <c r="CD614" i="4"/>
  <c r="CB615" i="4"/>
  <c r="CQ615" i="4" s="1"/>
  <c r="CD618" i="4"/>
  <c r="CB619" i="4"/>
  <c r="CQ619" i="4" s="1"/>
  <c r="CG619" i="4"/>
  <c r="CH619" i="4" s="1"/>
  <c r="AI620" i="4"/>
  <c r="CI620" i="4"/>
  <c r="CD622" i="4"/>
  <c r="AI613" i="4"/>
  <c r="CD613" i="4"/>
  <c r="CR613" i="4"/>
  <c r="CD615" i="4"/>
  <c r="CB616" i="4"/>
  <c r="CQ616" i="4" s="1"/>
  <c r="AI617" i="4"/>
  <c r="CD619" i="4"/>
  <c r="CB620" i="4"/>
  <c r="CQ620" i="4" s="1"/>
  <c r="AI621" i="4"/>
  <c r="AJ613" i="4"/>
  <c r="AR613" i="4"/>
  <c r="AS613" i="4" s="1"/>
  <c r="CD616" i="4"/>
  <c r="CB617" i="4"/>
  <c r="CQ617" i="4" s="1"/>
  <c r="CD620" i="4"/>
  <c r="AI622" i="4"/>
  <c r="CG608" i="4"/>
  <c r="CH608" i="4" s="1"/>
  <c r="CB611" i="4"/>
  <c r="CQ611" i="4" s="1"/>
  <c r="CD610" i="4"/>
  <c r="CB607" i="4"/>
  <c r="CQ607" i="4" s="1"/>
  <c r="CD606" i="4"/>
  <c r="CB610" i="4"/>
  <c r="CQ610" i="4" s="1"/>
  <c r="CD609" i="4"/>
  <c r="CB606" i="4"/>
  <c r="CQ606" i="4" s="1"/>
  <c r="CD605" i="4"/>
  <c r="CR603" i="4"/>
  <c r="CD603" i="4"/>
  <c r="AI603" i="4"/>
  <c r="CD612" i="4"/>
  <c r="CB609" i="4"/>
  <c r="CQ609" i="4" s="1"/>
  <c r="CD608" i="4"/>
  <c r="CB605" i="4"/>
  <c r="CQ605" i="4" s="1"/>
  <c r="CD604" i="4"/>
  <c r="CB603" i="4"/>
  <c r="CQ603" i="4" s="1"/>
  <c r="AH603" i="4"/>
  <c r="CB612" i="4"/>
  <c r="CQ612" i="4" s="1"/>
  <c r="CD611" i="4"/>
  <c r="CD607" i="4"/>
  <c r="AE604" i="4"/>
  <c r="CN606" i="4"/>
  <c r="CR606" i="4"/>
  <c r="AI606" i="4"/>
  <c r="CG607" i="4"/>
  <c r="CH607" i="4" s="1"/>
  <c r="CI607" i="4"/>
  <c r="CB608" i="4"/>
  <c r="CQ608" i="4" s="1"/>
  <c r="CN610" i="4"/>
  <c r="AG603" i="4"/>
  <c r="CG603" i="4"/>
  <c r="CH603" i="4" s="1"/>
  <c r="AJ603" i="4"/>
  <c r="AR603" i="4"/>
  <c r="AS603" i="4" s="1"/>
  <c r="CB604" i="4"/>
  <c r="CQ604" i="4" s="1"/>
  <c r="CN604" i="4"/>
  <c r="CN605" i="4"/>
  <c r="CI606" i="4"/>
  <c r="CI612" i="4"/>
  <c r="CG612" i="4"/>
  <c r="CH612" i="4" s="1"/>
  <c r="CG605" i="4"/>
  <c r="CH605" i="4" s="1"/>
  <c r="CG609" i="4"/>
  <c r="CH609" i="4" s="1"/>
  <c r="AI610" i="4"/>
  <c r="CI610" i="4"/>
  <c r="AI607" i="4"/>
  <c r="CG610" i="4"/>
  <c r="CH610" i="4" s="1"/>
  <c r="AI611" i="4"/>
  <c r="AI612" i="4"/>
  <c r="CG596" i="4"/>
  <c r="CH596" i="4" s="1"/>
  <c r="CI596" i="4"/>
  <c r="CN599" i="4"/>
  <c r="CN594" i="4"/>
  <c r="CG601" i="4"/>
  <c r="CH601" i="4" s="1"/>
  <c r="CI601" i="4"/>
  <c r="CD596" i="4"/>
  <c r="CB597" i="4"/>
  <c r="CQ597" i="4" s="1"/>
  <c r="CG597" i="4"/>
  <c r="CH597" i="4" s="1"/>
  <c r="AG593" i="4"/>
  <c r="CI593" i="4"/>
  <c r="CB594" i="4"/>
  <c r="CQ594" i="4" s="1"/>
  <c r="CG594" i="4"/>
  <c r="CH594" i="4" s="1"/>
  <c r="AI595" i="4"/>
  <c r="CI595" i="4"/>
  <c r="CD597" i="4"/>
  <c r="CB598" i="4"/>
  <c r="CQ598" i="4" s="1"/>
  <c r="CG598" i="4"/>
  <c r="CH598" i="4" s="1"/>
  <c r="AI599" i="4"/>
  <c r="CI599" i="4"/>
  <c r="CD601" i="4"/>
  <c r="CB602" i="4"/>
  <c r="CQ602" i="4" s="1"/>
  <c r="AH593" i="4"/>
  <c r="CB593" i="4"/>
  <c r="CQ593" i="4" s="1"/>
  <c r="CD594" i="4"/>
  <c r="CB595" i="4"/>
  <c r="CQ595" i="4" s="1"/>
  <c r="AI596" i="4"/>
  <c r="CD598" i="4"/>
  <c r="CB599" i="4"/>
  <c r="CQ599" i="4" s="1"/>
  <c r="AI600" i="4"/>
  <c r="CD602" i="4"/>
  <c r="AJ593" i="4"/>
  <c r="AI593" i="4"/>
  <c r="CD593" i="4"/>
  <c r="CR593" i="4"/>
  <c r="CD595" i="4"/>
  <c r="CB596" i="4"/>
  <c r="CQ596" i="4" s="1"/>
  <c r="CD599" i="4"/>
  <c r="CB600" i="4"/>
  <c r="CQ600" i="4" s="1"/>
  <c r="AI601" i="4"/>
  <c r="AR593" i="4"/>
  <c r="AS593" i="4" s="1"/>
  <c r="CD600" i="4"/>
  <c r="CI588" i="4"/>
  <c r="CG588" i="4"/>
  <c r="CH588" i="4" s="1"/>
  <c r="CN585" i="4"/>
  <c r="CN586" i="4"/>
  <c r="CI584" i="4"/>
  <c r="CG584" i="4"/>
  <c r="CH584" i="4" s="1"/>
  <c r="CI592" i="4"/>
  <c r="CG592" i="4"/>
  <c r="CH592" i="4" s="1"/>
  <c r="CN590" i="4"/>
  <c r="CD591" i="4"/>
  <c r="CB592" i="4"/>
  <c r="CQ592" i="4" s="1"/>
  <c r="AH583" i="4"/>
  <c r="CB583" i="4"/>
  <c r="CQ583" i="4" s="1"/>
  <c r="CD584" i="4"/>
  <c r="CB585" i="4"/>
  <c r="CQ585" i="4" s="1"/>
  <c r="AI586" i="4"/>
  <c r="CI586" i="4"/>
  <c r="CR586" i="4"/>
  <c r="CI587" i="4"/>
  <c r="CD588" i="4"/>
  <c r="CB589" i="4"/>
  <c r="CQ589" i="4" s="1"/>
  <c r="AI590" i="4"/>
  <c r="CI590" i="4"/>
  <c r="CD592" i="4"/>
  <c r="CD587" i="4"/>
  <c r="CB588" i="4"/>
  <c r="CQ588" i="4" s="1"/>
  <c r="CD585" i="4"/>
  <c r="CB586" i="4"/>
  <c r="CQ586" i="4" s="1"/>
  <c r="CD589" i="4"/>
  <c r="CB590" i="4"/>
  <c r="CQ590" i="4" s="1"/>
  <c r="AJ583" i="4"/>
  <c r="AR583" i="4"/>
  <c r="AS583" i="4" s="1"/>
  <c r="AI584" i="4"/>
  <c r="CD586" i="4"/>
  <c r="CB587" i="4"/>
  <c r="CQ587" i="4" s="1"/>
  <c r="AI588" i="4"/>
  <c r="CD590" i="4"/>
  <c r="AI592" i="4"/>
  <c r="U475" i="4"/>
  <c r="V475" i="4" s="1"/>
  <c r="U476" i="4"/>
  <c r="V476" i="4" s="1"/>
  <c r="U477" i="4"/>
  <c r="V477" i="4" s="1"/>
  <c r="U478" i="4"/>
  <c r="V478" i="4" s="1"/>
  <c r="CG615" i="4" l="1"/>
  <c r="CH615" i="4" s="1"/>
  <c r="CG644" i="4"/>
  <c r="CH644" i="4" s="1"/>
  <c r="CG639" i="4"/>
  <c r="CH639" i="4" s="1"/>
  <c r="CO663" i="4"/>
  <c r="AK663" i="4" s="1"/>
  <c r="CI591" i="4"/>
  <c r="CG583" i="4"/>
  <c r="CH583" i="4" s="1"/>
  <c r="CG604" i="4"/>
  <c r="CH604" i="4" s="1"/>
  <c r="CO643" i="4"/>
  <c r="AK643" i="4" s="1"/>
  <c r="CO593" i="4"/>
  <c r="AK593" i="4" s="1"/>
  <c r="CO603" i="4"/>
  <c r="AK603" i="4" s="1"/>
  <c r="CO613" i="4"/>
  <c r="AK613" i="4" s="1"/>
  <c r="CO633" i="4"/>
  <c r="AK633" i="4" s="1"/>
  <c r="CO583" i="4"/>
  <c r="AK583" i="4" s="1"/>
  <c r="CO653" i="4"/>
  <c r="AK653" i="4" s="1"/>
  <c r="CG602" i="4"/>
  <c r="CH602" i="4" s="1"/>
  <c r="CG625" i="4"/>
  <c r="CH625" i="4" s="1"/>
  <c r="CG640" i="4"/>
  <c r="CH640" i="4" s="1"/>
  <c r="CG599" i="4"/>
  <c r="CH599" i="4" s="1"/>
  <c r="CG630" i="4"/>
  <c r="CH630" i="4" s="1"/>
  <c r="CG645" i="4"/>
  <c r="CH645" i="4" s="1"/>
  <c r="CG643" i="4"/>
  <c r="CH643" i="4" s="1"/>
  <c r="CG585" i="4"/>
  <c r="CH585" i="4" s="1"/>
  <c r="CG670" i="4"/>
  <c r="CH670" i="4" s="1"/>
  <c r="CG666" i="4"/>
  <c r="CH666" i="4" s="1"/>
  <c r="CI671" i="4"/>
  <c r="CI667" i="4"/>
  <c r="CG671" i="4"/>
  <c r="CH671" i="4" s="1"/>
  <c r="CG667" i="4"/>
  <c r="CH667" i="4" s="1"/>
  <c r="CG660" i="4"/>
  <c r="CH660" i="4" s="1"/>
  <c r="CG656" i="4"/>
  <c r="CH656" i="4" s="1"/>
  <c r="CI651" i="4"/>
  <c r="CG651" i="4"/>
  <c r="CH651" i="4" s="1"/>
  <c r="CH646" i="4"/>
  <c r="CI646" i="4"/>
  <c r="CG650" i="4"/>
  <c r="CH650" i="4" s="1"/>
  <c r="CG636" i="4"/>
  <c r="CH636" i="4" s="1"/>
  <c r="CH637" i="4"/>
  <c r="CI637" i="4"/>
  <c r="CI641" i="4"/>
  <c r="CH641" i="4"/>
  <c r="CI626" i="4"/>
  <c r="CG623" i="4"/>
  <c r="CO623" i="4"/>
  <c r="AK623" i="4" s="1"/>
  <c r="CG626" i="4"/>
  <c r="CH626" i="4" s="1"/>
  <c r="CG620" i="4"/>
  <c r="CH620" i="4" s="1"/>
  <c r="CI621" i="4"/>
  <c r="CG616" i="4"/>
  <c r="CH616" i="4" s="1"/>
  <c r="CG621" i="4"/>
  <c r="CH621" i="4" s="1"/>
  <c r="CH613" i="4"/>
  <c r="CG606" i="4"/>
  <c r="CH606" i="4" s="1"/>
  <c r="CI611" i="4"/>
  <c r="CI603" i="4"/>
  <c r="CG611" i="4"/>
  <c r="CH611" i="4" s="1"/>
  <c r="CI600" i="4"/>
  <c r="CG593" i="4"/>
  <c r="CH593" i="4" s="1"/>
  <c r="CG595" i="4"/>
  <c r="CH595" i="4" s="1"/>
  <c r="CG600" i="4"/>
  <c r="CH600" i="4" s="1"/>
  <c r="CG590" i="4"/>
  <c r="CH590" i="4" s="1"/>
  <c r="CG586" i="4"/>
  <c r="CH586" i="4" s="1"/>
  <c r="U25" i="4"/>
  <c r="V25" i="4" s="1"/>
  <c r="U26" i="4"/>
  <c r="V26" i="4" s="1"/>
  <c r="U27" i="4"/>
  <c r="V27" i="4" s="1"/>
  <c r="U28" i="4"/>
  <c r="V28" i="4" s="1"/>
  <c r="U29" i="4"/>
  <c r="V29" i="4" s="1"/>
  <c r="U30" i="4"/>
  <c r="V30" i="4" s="1"/>
  <c r="U31" i="4"/>
  <c r="V31" i="4" s="1"/>
  <c r="U32" i="4"/>
  <c r="V32" i="4" s="1"/>
  <c r="U33" i="4"/>
  <c r="V33" i="4" s="1"/>
  <c r="U34" i="4"/>
  <c r="V34" i="4" s="1"/>
  <c r="U35" i="4"/>
  <c r="V35" i="4" s="1"/>
  <c r="U36" i="4"/>
  <c r="V36" i="4" s="1"/>
  <c r="U37" i="4"/>
  <c r="V37" i="4" s="1"/>
  <c r="U38" i="4"/>
  <c r="V38" i="4" s="1"/>
  <c r="U39" i="4"/>
  <c r="V39" i="4" s="1"/>
  <c r="U40" i="4"/>
  <c r="V40" i="4" s="1"/>
  <c r="U41" i="4"/>
  <c r="V41" i="4" s="1"/>
  <c r="U42" i="4"/>
  <c r="V42" i="4" s="1"/>
  <c r="L341" i="3"/>
  <c r="L342" i="3"/>
  <c r="L343" i="3"/>
  <c r="L344" i="3"/>
  <c r="L347" i="3"/>
  <c r="L348" i="3"/>
  <c r="L349" i="3"/>
  <c r="L350" i="3"/>
  <c r="O350" i="3"/>
  <c r="P350" i="3" s="1"/>
  <c r="M350" i="3"/>
  <c r="O349" i="3"/>
  <c r="P349" i="3" s="1"/>
  <c r="M349" i="3"/>
  <c r="O348" i="3"/>
  <c r="P348" i="3" s="1"/>
  <c r="M348" i="3"/>
  <c r="O347" i="3"/>
  <c r="P347" i="3" s="1"/>
  <c r="M347" i="3"/>
  <c r="AO345" i="3"/>
  <c r="AN345" i="3"/>
  <c r="M345" i="3"/>
  <c r="O344" i="3"/>
  <c r="P344" i="3" s="1"/>
  <c r="M344" i="3"/>
  <c r="O343" i="3"/>
  <c r="P343" i="3" s="1"/>
  <c r="M343" i="3"/>
  <c r="O342" i="3"/>
  <c r="P342" i="3" s="1"/>
  <c r="M342" i="3"/>
  <c r="O341" i="3"/>
  <c r="P341" i="3" s="1"/>
  <c r="M341" i="3"/>
  <c r="AO339" i="3"/>
  <c r="AN339" i="3"/>
  <c r="CE582" i="4"/>
  <c r="CF582" i="4" s="1"/>
  <c r="AF582" i="4"/>
  <c r="CR582" i="4" s="1"/>
  <c r="AD582" i="4"/>
  <c r="AC582" i="4"/>
  <c r="U582" i="4"/>
  <c r="V582" i="4" s="1"/>
  <c r="AE582" i="4" s="1"/>
  <c r="Q582" i="4"/>
  <c r="P582" i="4"/>
  <c r="O582" i="4"/>
  <c r="CM582" i="4" s="1"/>
  <c r="N582" i="4"/>
  <c r="CL582" i="4" s="1"/>
  <c r="CE581" i="4"/>
  <c r="CF581" i="4" s="1"/>
  <c r="AF581" i="4"/>
  <c r="CR581" i="4" s="1"/>
  <c r="AD581" i="4"/>
  <c r="AC581" i="4"/>
  <c r="U581" i="4"/>
  <c r="V581" i="4" s="1"/>
  <c r="AE581" i="4" s="1"/>
  <c r="Q581" i="4"/>
  <c r="P581" i="4"/>
  <c r="O581" i="4"/>
  <c r="CM581" i="4" s="1"/>
  <c r="N581" i="4"/>
  <c r="CL581" i="4" s="1"/>
  <c r="CE580" i="4"/>
  <c r="CF580" i="4" s="1"/>
  <c r="AF580" i="4"/>
  <c r="CR580" i="4" s="1"/>
  <c r="AD580" i="4"/>
  <c r="AC580" i="4"/>
  <c r="U580" i="4"/>
  <c r="V580" i="4" s="1"/>
  <c r="AE580" i="4" s="1"/>
  <c r="Q580" i="4"/>
  <c r="P580" i="4"/>
  <c r="O580" i="4"/>
  <c r="CM580" i="4" s="1"/>
  <c r="N580" i="4"/>
  <c r="CL580" i="4" s="1"/>
  <c r="CE579" i="4"/>
  <c r="AF579" i="4"/>
  <c r="CR579" i="4" s="1"/>
  <c r="AD579" i="4"/>
  <c r="AC579" i="4"/>
  <c r="U579" i="4"/>
  <c r="V579" i="4" s="1"/>
  <c r="AE579" i="4" s="1"/>
  <c r="Q579" i="4"/>
  <c r="P579" i="4"/>
  <c r="O579" i="4"/>
  <c r="CM579" i="4" s="1"/>
  <c r="N579" i="4"/>
  <c r="CL579" i="4" s="1"/>
  <c r="CE578" i="4"/>
  <c r="AF578" i="4"/>
  <c r="CR578" i="4" s="1"/>
  <c r="AD578" i="4"/>
  <c r="AC578" i="4"/>
  <c r="U578" i="4"/>
  <c r="V578" i="4" s="1"/>
  <c r="AE578" i="4" s="1"/>
  <c r="Q578" i="4"/>
  <c r="P578" i="4"/>
  <c r="O578" i="4"/>
  <c r="CM578" i="4" s="1"/>
  <c r="N578" i="4"/>
  <c r="CL578" i="4" s="1"/>
  <c r="CE577" i="4"/>
  <c r="CF577" i="4" s="1"/>
  <c r="AF577" i="4"/>
  <c r="CR577" i="4" s="1"/>
  <c r="AD577" i="4"/>
  <c r="AC577" i="4"/>
  <c r="U577" i="4"/>
  <c r="V577" i="4" s="1"/>
  <c r="Q577" i="4"/>
  <c r="P577" i="4"/>
  <c r="O577" i="4"/>
  <c r="CM577" i="4" s="1"/>
  <c r="N577" i="4"/>
  <c r="CL577" i="4" s="1"/>
  <c r="CE576" i="4"/>
  <c r="CF576" i="4" s="1"/>
  <c r="AF576" i="4"/>
  <c r="AD576" i="4"/>
  <c r="AC576" i="4"/>
  <c r="U576" i="4"/>
  <c r="V576" i="4" s="1"/>
  <c r="AE576" i="4" s="1"/>
  <c r="Q576" i="4"/>
  <c r="P576" i="4"/>
  <c r="O576" i="4"/>
  <c r="CM576" i="4" s="1"/>
  <c r="N576" i="4"/>
  <c r="CL576" i="4" s="1"/>
  <c r="CE575" i="4"/>
  <c r="CF575" i="4" s="1"/>
  <c r="AD575" i="4"/>
  <c r="AC575" i="4"/>
  <c r="U575" i="4"/>
  <c r="V575" i="4" s="1"/>
  <c r="AE575" i="4" s="1"/>
  <c r="Q575" i="4"/>
  <c r="P575" i="4"/>
  <c r="O575" i="4"/>
  <c r="CM575" i="4" s="1"/>
  <c r="N575" i="4"/>
  <c r="CL575" i="4" s="1"/>
  <c r="CE574" i="4"/>
  <c r="CF574" i="4" s="1"/>
  <c r="AD574" i="4"/>
  <c r="AC574" i="4"/>
  <c r="U574" i="4"/>
  <c r="V574" i="4" s="1"/>
  <c r="Q574" i="4"/>
  <c r="P574" i="4"/>
  <c r="O574" i="4"/>
  <c r="CM574" i="4" s="1"/>
  <c r="N574" i="4"/>
  <c r="CL574" i="4" s="1"/>
  <c r="CE573" i="4"/>
  <c r="CF573" i="4" s="1"/>
  <c r="AQ573" i="4"/>
  <c r="AD573" i="4"/>
  <c r="AC573" i="4"/>
  <c r="U573" i="4"/>
  <c r="V573" i="4" s="1"/>
  <c r="Q573" i="4"/>
  <c r="P573" i="4"/>
  <c r="O573" i="4"/>
  <c r="CM573" i="4" s="1"/>
  <c r="N573" i="4"/>
  <c r="CL573" i="4" s="1"/>
  <c r="A573" i="4"/>
  <c r="CE572" i="4"/>
  <c r="CF572" i="4" s="1"/>
  <c r="AF572" i="4"/>
  <c r="CR572" i="4" s="1"/>
  <c r="AD572" i="4"/>
  <c r="AC572" i="4"/>
  <c r="U572" i="4"/>
  <c r="V572" i="4" s="1"/>
  <c r="AE572" i="4" s="1"/>
  <c r="Q572" i="4"/>
  <c r="P572" i="4"/>
  <c r="O572" i="4"/>
  <c r="CM572" i="4" s="1"/>
  <c r="N572" i="4"/>
  <c r="CL572" i="4" s="1"/>
  <c r="CE571" i="4"/>
  <c r="CF571" i="4" s="1"/>
  <c r="AF571" i="4"/>
  <c r="CR571" i="4" s="1"/>
  <c r="AD571" i="4"/>
  <c r="AC571" i="4"/>
  <c r="U571" i="4"/>
  <c r="V571" i="4" s="1"/>
  <c r="Q571" i="4"/>
  <c r="P571" i="4"/>
  <c r="O571" i="4"/>
  <c r="CM571" i="4" s="1"/>
  <c r="N571" i="4"/>
  <c r="CL571" i="4" s="1"/>
  <c r="CE570" i="4"/>
  <c r="CF570" i="4" s="1"/>
  <c r="AF570" i="4"/>
  <c r="AD570" i="4"/>
  <c r="AC570" i="4"/>
  <c r="U570" i="4"/>
  <c r="V570" i="4" s="1"/>
  <c r="Q570" i="4"/>
  <c r="P570" i="4"/>
  <c r="O570" i="4"/>
  <c r="CM570" i="4" s="1"/>
  <c r="N570" i="4"/>
  <c r="CL570" i="4" s="1"/>
  <c r="CE569" i="4"/>
  <c r="CF569" i="4" s="1"/>
  <c r="AF569" i="4"/>
  <c r="AI569" i="4" s="1"/>
  <c r="AD569" i="4"/>
  <c r="AC569" i="4"/>
  <c r="U569" i="4"/>
  <c r="V569" i="4" s="1"/>
  <c r="AE569" i="4" s="1"/>
  <c r="Q569" i="4"/>
  <c r="P569" i="4"/>
  <c r="O569" i="4"/>
  <c r="CM569" i="4" s="1"/>
  <c r="N569" i="4"/>
  <c r="CL569" i="4" s="1"/>
  <c r="CE568" i="4"/>
  <c r="CF568" i="4" s="1"/>
  <c r="AF568" i="4"/>
  <c r="AI568" i="4" s="1"/>
  <c r="AD568" i="4"/>
  <c r="AC568" i="4"/>
  <c r="U568" i="4"/>
  <c r="V568" i="4" s="1"/>
  <c r="AE568" i="4" s="1"/>
  <c r="Q568" i="4"/>
  <c r="P568" i="4"/>
  <c r="O568" i="4"/>
  <c r="CM568" i="4" s="1"/>
  <c r="N568" i="4"/>
  <c r="CL568" i="4" s="1"/>
  <c r="CE567" i="4"/>
  <c r="CF567" i="4" s="1"/>
  <c r="AD567" i="4"/>
  <c r="AC567" i="4"/>
  <c r="U567" i="4"/>
  <c r="V567" i="4" s="1"/>
  <c r="AE567" i="4" s="1"/>
  <c r="Q567" i="4"/>
  <c r="P567" i="4"/>
  <c r="O567" i="4"/>
  <c r="CM567" i="4" s="1"/>
  <c r="N567" i="4"/>
  <c r="CL567" i="4" s="1"/>
  <c r="CE566" i="4"/>
  <c r="CF566" i="4" s="1"/>
  <c r="AD566" i="4"/>
  <c r="AC566" i="4"/>
  <c r="U566" i="4"/>
  <c r="V566" i="4" s="1"/>
  <c r="Q566" i="4"/>
  <c r="P566" i="4"/>
  <c r="O566" i="4"/>
  <c r="CM566" i="4" s="1"/>
  <c r="N566" i="4"/>
  <c r="CL566" i="4" s="1"/>
  <c r="CE565" i="4"/>
  <c r="CF565" i="4" s="1"/>
  <c r="AD565" i="4"/>
  <c r="AC565" i="4"/>
  <c r="U565" i="4"/>
  <c r="V565" i="4" s="1"/>
  <c r="AE565" i="4" s="1"/>
  <c r="Q565" i="4"/>
  <c r="AF565" i="4" s="1"/>
  <c r="AI565" i="4" s="1"/>
  <c r="P565" i="4"/>
  <c r="O565" i="4"/>
  <c r="CM565" i="4" s="1"/>
  <c r="N565" i="4"/>
  <c r="CL565" i="4" s="1"/>
  <c r="CE564" i="4"/>
  <c r="CF564" i="4" s="1"/>
  <c r="AD564" i="4"/>
  <c r="AC564" i="4"/>
  <c r="U564" i="4"/>
  <c r="V564" i="4" s="1"/>
  <c r="Q564" i="4"/>
  <c r="AF564" i="4" s="1"/>
  <c r="CR564" i="4" s="1"/>
  <c r="P564" i="4"/>
  <c r="O564" i="4"/>
  <c r="CM564" i="4" s="1"/>
  <c r="N564" i="4"/>
  <c r="CL564" i="4" s="1"/>
  <c r="CE563" i="4"/>
  <c r="CF563" i="4" s="1"/>
  <c r="AQ563" i="4"/>
  <c r="AD563" i="4"/>
  <c r="AC563" i="4"/>
  <c r="U563" i="4"/>
  <c r="V563" i="4" s="1"/>
  <c r="AE563" i="4" s="1"/>
  <c r="Q563" i="4"/>
  <c r="P563" i="4"/>
  <c r="O563" i="4"/>
  <c r="CM563" i="4" s="1"/>
  <c r="N563" i="4"/>
  <c r="CL563" i="4" s="1"/>
  <c r="A563" i="4"/>
  <c r="AD506" i="4"/>
  <c r="AD507" i="4"/>
  <c r="AD508" i="4"/>
  <c r="AD509" i="4"/>
  <c r="AD510" i="4"/>
  <c r="AD511" i="4"/>
  <c r="AD512" i="4"/>
  <c r="AD513" i="4"/>
  <c r="AD514" i="4"/>
  <c r="AD515" i="4"/>
  <c r="AD516" i="4"/>
  <c r="AD517" i="4"/>
  <c r="AD518" i="4"/>
  <c r="AD519" i="4"/>
  <c r="AD520" i="4"/>
  <c r="AD521" i="4"/>
  <c r="AD522" i="4"/>
  <c r="AD523" i="4"/>
  <c r="AD524" i="4"/>
  <c r="AD525" i="4"/>
  <c r="AD526" i="4"/>
  <c r="AD527" i="4"/>
  <c r="AD528" i="4"/>
  <c r="AD529" i="4"/>
  <c r="AD530" i="4"/>
  <c r="AD531" i="4"/>
  <c r="AD532" i="4"/>
  <c r="AD533" i="4"/>
  <c r="AD534" i="4"/>
  <c r="AD535" i="4"/>
  <c r="AD536" i="4"/>
  <c r="AD537" i="4"/>
  <c r="AD538" i="4"/>
  <c r="AD539" i="4"/>
  <c r="AD540" i="4"/>
  <c r="AD541" i="4"/>
  <c r="AD542" i="4"/>
  <c r="AD543" i="4"/>
  <c r="AD544" i="4"/>
  <c r="AD545" i="4"/>
  <c r="AD546" i="4"/>
  <c r="AD547" i="4"/>
  <c r="AD548" i="4"/>
  <c r="AD549" i="4"/>
  <c r="AD550" i="4"/>
  <c r="AD551" i="4"/>
  <c r="AD552" i="4"/>
  <c r="AD553" i="4"/>
  <c r="AD554" i="4"/>
  <c r="AD555" i="4"/>
  <c r="AD556" i="4"/>
  <c r="AD557" i="4"/>
  <c r="AD558" i="4"/>
  <c r="AD4" i="4"/>
  <c r="AD5" i="4"/>
  <c r="AD6" i="4"/>
  <c r="AD7" i="4"/>
  <c r="AD8" i="4"/>
  <c r="AD9" i="4"/>
  <c r="AD10" i="4"/>
  <c r="AD11" i="4"/>
  <c r="AD12" i="4"/>
  <c r="AD13" i="4"/>
  <c r="AD14" i="4"/>
  <c r="AD15" i="4"/>
  <c r="AD16" i="4"/>
  <c r="AD17" i="4"/>
  <c r="AD18" i="4"/>
  <c r="AD19" i="4"/>
  <c r="AD20" i="4"/>
  <c r="AD21" i="4"/>
  <c r="AD22" i="4"/>
  <c r="AD23" i="4"/>
  <c r="AD24" i="4"/>
  <c r="AD25" i="4"/>
  <c r="AD26" i="4"/>
  <c r="AD27" i="4"/>
  <c r="AD28" i="4"/>
  <c r="AD29" i="4"/>
  <c r="AD30" i="4"/>
  <c r="AD31" i="4"/>
  <c r="AD32" i="4"/>
  <c r="AD33"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AD70" i="4"/>
  <c r="AD71" i="4"/>
  <c r="AD72" i="4"/>
  <c r="AD73" i="4"/>
  <c r="AD74" i="4"/>
  <c r="AD75" i="4"/>
  <c r="AD76" i="4"/>
  <c r="AD77" i="4"/>
  <c r="AD78" i="4"/>
  <c r="AD79" i="4"/>
  <c r="AD80" i="4"/>
  <c r="AD81" i="4"/>
  <c r="AD82" i="4"/>
  <c r="AD83" i="4"/>
  <c r="AD84" i="4"/>
  <c r="AD85" i="4"/>
  <c r="AD86" i="4"/>
  <c r="AD87" i="4"/>
  <c r="AD88" i="4"/>
  <c r="AD89" i="4"/>
  <c r="AD90" i="4"/>
  <c r="AD91" i="4"/>
  <c r="AD92" i="4"/>
  <c r="AD93" i="4"/>
  <c r="AD94" i="4"/>
  <c r="AD95" i="4"/>
  <c r="AD96" i="4"/>
  <c r="AD97" i="4"/>
  <c r="AD98" i="4"/>
  <c r="AD99" i="4"/>
  <c r="AD100" i="4"/>
  <c r="AD101" i="4"/>
  <c r="AD102" i="4"/>
  <c r="AD103" i="4"/>
  <c r="AD104" i="4"/>
  <c r="AD105" i="4"/>
  <c r="AD106" i="4"/>
  <c r="AD107" i="4"/>
  <c r="AD108" i="4"/>
  <c r="AD109" i="4"/>
  <c r="AD110" i="4"/>
  <c r="AD111" i="4"/>
  <c r="AD112" i="4"/>
  <c r="AD113" i="4"/>
  <c r="AD114" i="4"/>
  <c r="AD115" i="4"/>
  <c r="AD116" i="4"/>
  <c r="AD117" i="4"/>
  <c r="AD118" i="4"/>
  <c r="AD119" i="4"/>
  <c r="AD120" i="4"/>
  <c r="AD121" i="4"/>
  <c r="AD122" i="4"/>
  <c r="AD123" i="4"/>
  <c r="AD124" i="4"/>
  <c r="AD125" i="4"/>
  <c r="AD126" i="4"/>
  <c r="AD127" i="4"/>
  <c r="AD128" i="4"/>
  <c r="AD129" i="4"/>
  <c r="AD130" i="4"/>
  <c r="AD131" i="4"/>
  <c r="AD132" i="4"/>
  <c r="AD133" i="4"/>
  <c r="AD134" i="4"/>
  <c r="AD135" i="4"/>
  <c r="AD136" i="4"/>
  <c r="AD137" i="4"/>
  <c r="AD138" i="4"/>
  <c r="AD139" i="4"/>
  <c r="AD140" i="4"/>
  <c r="AD141" i="4"/>
  <c r="AD142" i="4"/>
  <c r="AD143" i="4"/>
  <c r="AD144" i="4"/>
  <c r="AD145" i="4"/>
  <c r="AD146" i="4"/>
  <c r="AD147" i="4"/>
  <c r="AD148" i="4"/>
  <c r="AD149" i="4"/>
  <c r="AD150" i="4"/>
  <c r="AD151" i="4"/>
  <c r="AD152" i="4"/>
  <c r="AD153" i="4"/>
  <c r="AD154" i="4"/>
  <c r="AD155" i="4"/>
  <c r="AD156" i="4"/>
  <c r="AD157" i="4"/>
  <c r="AD158" i="4"/>
  <c r="AD159" i="4"/>
  <c r="AD160" i="4"/>
  <c r="AD161" i="4"/>
  <c r="AD162" i="4"/>
  <c r="AD163" i="4"/>
  <c r="AD164" i="4"/>
  <c r="AD165" i="4"/>
  <c r="AD166" i="4"/>
  <c r="AD167" i="4"/>
  <c r="AD168" i="4"/>
  <c r="AD169" i="4"/>
  <c r="AD170" i="4"/>
  <c r="AD171" i="4"/>
  <c r="AD172" i="4"/>
  <c r="AD173" i="4"/>
  <c r="AD174" i="4"/>
  <c r="AD175" i="4"/>
  <c r="AD176" i="4"/>
  <c r="AD177" i="4"/>
  <c r="AD178" i="4"/>
  <c r="AD179" i="4"/>
  <c r="AD180" i="4"/>
  <c r="AD181" i="4"/>
  <c r="AD182" i="4"/>
  <c r="AD183" i="4"/>
  <c r="AE183" i="4" s="1"/>
  <c r="AD184" i="4"/>
  <c r="AE184" i="4" s="1"/>
  <c r="AD185" i="4"/>
  <c r="AD186" i="4"/>
  <c r="AD187" i="4"/>
  <c r="AD188" i="4"/>
  <c r="AD189" i="4"/>
  <c r="AD190" i="4"/>
  <c r="AD191" i="4"/>
  <c r="AD192" i="4"/>
  <c r="AD193" i="4"/>
  <c r="AD194" i="4"/>
  <c r="AD195" i="4"/>
  <c r="AD196" i="4"/>
  <c r="AD197" i="4"/>
  <c r="AD198" i="4"/>
  <c r="AD199" i="4"/>
  <c r="AD200" i="4"/>
  <c r="AD201" i="4"/>
  <c r="AD202" i="4"/>
  <c r="AD203" i="4"/>
  <c r="AD204" i="4"/>
  <c r="AD205" i="4"/>
  <c r="AD206" i="4"/>
  <c r="AD207" i="4"/>
  <c r="AD208" i="4"/>
  <c r="AD209" i="4"/>
  <c r="AD210" i="4"/>
  <c r="AD211" i="4"/>
  <c r="AD212" i="4"/>
  <c r="AD213" i="4"/>
  <c r="AD214" i="4"/>
  <c r="AD215" i="4"/>
  <c r="AD216" i="4"/>
  <c r="AD217" i="4"/>
  <c r="AD218" i="4"/>
  <c r="AD219" i="4"/>
  <c r="AD220" i="4"/>
  <c r="AD221" i="4"/>
  <c r="AD222" i="4"/>
  <c r="AD223" i="4"/>
  <c r="AD224" i="4"/>
  <c r="AD225" i="4"/>
  <c r="AD226" i="4"/>
  <c r="AD227" i="4"/>
  <c r="AD228" i="4"/>
  <c r="AD229" i="4"/>
  <c r="AD230" i="4"/>
  <c r="AD231" i="4"/>
  <c r="AD232" i="4"/>
  <c r="AD233" i="4"/>
  <c r="AD234" i="4"/>
  <c r="AE234" i="4" s="1"/>
  <c r="AD235" i="4"/>
  <c r="AE235" i="4" s="1"/>
  <c r="AD236" i="4"/>
  <c r="AE236" i="4" s="1"/>
  <c r="AD237" i="4"/>
  <c r="AD238" i="4"/>
  <c r="AD239" i="4"/>
  <c r="AD240" i="4"/>
  <c r="AD241" i="4"/>
  <c r="AD242" i="4"/>
  <c r="AD243" i="4"/>
  <c r="AD244" i="4"/>
  <c r="AD245" i="4"/>
  <c r="AD246" i="4"/>
  <c r="AD247" i="4"/>
  <c r="AD248" i="4"/>
  <c r="AD249" i="4"/>
  <c r="AD250" i="4"/>
  <c r="AD251" i="4"/>
  <c r="AD252" i="4"/>
  <c r="AD253" i="4"/>
  <c r="AD254" i="4"/>
  <c r="AE254" i="4" s="1"/>
  <c r="AD255" i="4"/>
  <c r="AD256" i="4"/>
  <c r="AD257" i="4"/>
  <c r="AD258" i="4"/>
  <c r="AD259" i="4"/>
  <c r="AD260" i="4"/>
  <c r="AD261" i="4"/>
  <c r="AD262" i="4"/>
  <c r="AD263" i="4"/>
  <c r="AD264" i="4"/>
  <c r="AE264" i="4" s="1"/>
  <c r="AD265" i="4"/>
  <c r="AD266" i="4"/>
  <c r="AD267" i="4"/>
  <c r="AD268" i="4"/>
  <c r="AD269" i="4"/>
  <c r="AD270" i="4"/>
  <c r="AD271" i="4"/>
  <c r="AD272" i="4"/>
  <c r="AD273" i="4"/>
  <c r="AD274" i="4"/>
  <c r="AD275" i="4"/>
  <c r="AD276" i="4"/>
  <c r="AD277" i="4"/>
  <c r="AD278" i="4"/>
  <c r="AD279" i="4"/>
  <c r="AD280" i="4"/>
  <c r="AD281" i="4"/>
  <c r="AD282" i="4"/>
  <c r="AD283" i="4"/>
  <c r="AD284" i="4"/>
  <c r="AD285" i="4"/>
  <c r="AD286" i="4"/>
  <c r="AD287" i="4"/>
  <c r="AD288" i="4"/>
  <c r="AD289" i="4"/>
  <c r="AD290" i="4"/>
  <c r="AD291" i="4"/>
  <c r="AD292" i="4"/>
  <c r="AD293" i="4"/>
  <c r="AD294" i="4"/>
  <c r="AD295" i="4"/>
  <c r="AD296" i="4"/>
  <c r="AD297" i="4"/>
  <c r="AD298" i="4"/>
  <c r="AD299" i="4"/>
  <c r="AD300" i="4"/>
  <c r="AD301" i="4"/>
  <c r="AD302" i="4"/>
  <c r="AD303" i="4"/>
  <c r="AD304" i="4"/>
  <c r="AD305" i="4"/>
  <c r="AD306" i="4"/>
  <c r="AD307" i="4"/>
  <c r="AD308" i="4"/>
  <c r="AD309" i="4"/>
  <c r="AD310" i="4"/>
  <c r="AD311" i="4"/>
  <c r="AD312" i="4"/>
  <c r="AD313" i="4"/>
  <c r="AD314" i="4"/>
  <c r="AD315" i="4"/>
  <c r="AD316" i="4"/>
  <c r="AD317" i="4"/>
  <c r="AD318" i="4"/>
  <c r="AD319" i="4"/>
  <c r="AD320" i="4"/>
  <c r="AD321" i="4"/>
  <c r="AD322" i="4"/>
  <c r="AD323" i="4"/>
  <c r="AE323" i="4" s="1"/>
  <c r="AD324" i="4"/>
  <c r="AD325" i="4"/>
  <c r="AD326" i="4"/>
  <c r="AD327" i="4"/>
  <c r="AD328" i="4"/>
  <c r="AD329" i="4"/>
  <c r="AD330" i="4"/>
  <c r="AD331" i="4"/>
  <c r="AD332" i="4"/>
  <c r="AD333" i="4"/>
  <c r="AD334" i="4"/>
  <c r="AD335" i="4"/>
  <c r="AD336" i="4"/>
  <c r="AD337" i="4"/>
  <c r="AD338" i="4"/>
  <c r="AD339" i="4"/>
  <c r="AD340" i="4"/>
  <c r="AD341" i="4"/>
  <c r="AD342" i="4"/>
  <c r="AD343" i="4"/>
  <c r="AD344" i="4"/>
  <c r="AD345" i="4"/>
  <c r="AD346" i="4"/>
  <c r="AD347" i="4"/>
  <c r="AD348" i="4"/>
  <c r="AD349" i="4"/>
  <c r="AD350" i="4"/>
  <c r="AD351" i="4"/>
  <c r="AD352" i="4"/>
  <c r="AD353" i="4"/>
  <c r="AD354" i="4"/>
  <c r="AD355" i="4"/>
  <c r="AD356" i="4"/>
  <c r="AD357" i="4"/>
  <c r="AD358" i="4"/>
  <c r="AD359" i="4"/>
  <c r="AD360" i="4"/>
  <c r="AD361" i="4"/>
  <c r="AD362" i="4"/>
  <c r="AD363" i="4"/>
  <c r="AD364" i="4"/>
  <c r="AD365" i="4"/>
  <c r="AD366" i="4"/>
  <c r="AD367" i="4"/>
  <c r="AD368" i="4"/>
  <c r="AD369" i="4"/>
  <c r="AD370" i="4"/>
  <c r="AD371" i="4"/>
  <c r="AD372" i="4"/>
  <c r="AD373" i="4"/>
  <c r="AD374" i="4"/>
  <c r="AD375" i="4"/>
  <c r="AD376" i="4"/>
  <c r="AD377" i="4"/>
  <c r="AD378" i="4"/>
  <c r="AD379" i="4"/>
  <c r="AD380" i="4"/>
  <c r="AD381" i="4"/>
  <c r="AD382" i="4"/>
  <c r="AD383" i="4"/>
  <c r="AD384" i="4"/>
  <c r="AD385" i="4"/>
  <c r="AD386" i="4"/>
  <c r="AD387" i="4"/>
  <c r="AD388" i="4"/>
  <c r="AD389" i="4"/>
  <c r="AD390" i="4"/>
  <c r="AD391" i="4"/>
  <c r="AD392" i="4"/>
  <c r="AD393" i="4"/>
  <c r="AD394" i="4"/>
  <c r="AD395" i="4"/>
  <c r="AD396" i="4"/>
  <c r="AD397" i="4"/>
  <c r="AD398" i="4"/>
  <c r="AD399" i="4"/>
  <c r="AD400" i="4"/>
  <c r="AD401" i="4"/>
  <c r="AD402" i="4"/>
  <c r="AD403" i="4"/>
  <c r="AD404" i="4"/>
  <c r="AD405" i="4"/>
  <c r="AD406" i="4"/>
  <c r="AD407" i="4"/>
  <c r="AD408" i="4"/>
  <c r="AD409" i="4"/>
  <c r="AD410" i="4"/>
  <c r="AD411" i="4"/>
  <c r="AD412" i="4"/>
  <c r="AD413" i="4"/>
  <c r="AD414" i="4"/>
  <c r="AD415" i="4"/>
  <c r="AD416" i="4"/>
  <c r="AD417" i="4"/>
  <c r="AD418" i="4"/>
  <c r="AD419" i="4"/>
  <c r="AD420" i="4"/>
  <c r="AD421" i="4"/>
  <c r="AD422" i="4"/>
  <c r="AD423" i="4"/>
  <c r="AD424" i="4"/>
  <c r="AD425" i="4"/>
  <c r="AD426" i="4"/>
  <c r="AD427" i="4"/>
  <c r="AD428" i="4"/>
  <c r="AD429" i="4"/>
  <c r="AD430" i="4"/>
  <c r="AD431" i="4"/>
  <c r="AD432" i="4"/>
  <c r="AD433" i="4"/>
  <c r="AE433" i="4" s="1"/>
  <c r="AD434" i="4"/>
  <c r="AD435" i="4"/>
  <c r="AD436" i="4"/>
  <c r="AD437" i="4"/>
  <c r="AD438" i="4"/>
  <c r="AD439" i="4"/>
  <c r="AD440" i="4"/>
  <c r="AD441" i="4"/>
  <c r="AD442" i="4"/>
  <c r="AD443" i="4"/>
  <c r="AD444" i="4"/>
  <c r="AD445" i="4"/>
  <c r="AD446" i="4"/>
  <c r="AD447" i="4"/>
  <c r="AD448" i="4"/>
  <c r="AD449" i="4"/>
  <c r="AD450" i="4"/>
  <c r="AD451" i="4"/>
  <c r="AD452" i="4"/>
  <c r="AD453" i="4"/>
  <c r="AD454" i="4"/>
  <c r="AD455" i="4"/>
  <c r="AD456" i="4"/>
  <c r="AD457" i="4"/>
  <c r="AD458" i="4"/>
  <c r="AD459" i="4"/>
  <c r="AD460" i="4"/>
  <c r="AD461" i="4"/>
  <c r="AD462" i="4"/>
  <c r="AD463" i="4"/>
  <c r="AD464" i="4"/>
  <c r="AD465" i="4"/>
  <c r="AD466" i="4"/>
  <c r="AD467" i="4"/>
  <c r="AD468" i="4"/>
  <c r="AD469" i="4"/>
  <c r="AD470" i="4"/>
  <c r="AD471" i="4"/>
  <c r="AD472" i="4"/>
  <c r="AD473" i="4"/>
  <c r="AD474" i="4"/>
  <c r="AD475" i="4"/>
  <c r="AE475" i="4" s="1"/>
  <c r="AD476" i="4"/>
  <c r="AE476" i="4" s="1"/>
  <c r="AD477" i="4"/>
  <c r="AE477" i="4" s="1"/>
  <c r="AD478" i="4"/>
  <c r="AE478" i="4" s="1"/>
  <c r="AD479" i="4"/>
  <c r="AD480" i="4"/>
  <c r="AD481" i="4"/>
  <c r="AD482" i="4"/>
  <c r="AD483" i="4"/>
  <c r="AD484" i="4"/>
  <c r="AD485" i="4"/>
  <c r="AD486" i="4"/>
  <c r="AD487" i="4"/>
  <c r="AD488" i="4"/>
  <c r="AD489" i="4"/>
  <c r="AD490" i="4"/>
  <c r="AD491" i="4"/>
  <c r="AD492" i="4"/>
  <c r="AD493" i="4"/>
  <c r="AD494" i="4"/>
  <c r="AD495" i="4"/>
  <c r="AD496" i="4"/>
  <c r="AD497" i="4"/>
  <c r="AD498" i="4"/>
  <c r="AD499" i="4"/>
  <c r="AD500" i="4"/>
  <c r="AD501" i="4"/>
  <c r="AD502" i="4"/>
  <c r="AD503" i="4"/>
  <c r="AD504" i="4"/>
  <c r="AD505" i="4"/>
  <c r="AC451" i="4"/>
  <c r="U451" i="4"/>
  <c r="V451" i="4" s="1"/>
  <c r="AE451" i="4" s="1"/>
  <c r="Q451" i="4"/>
  <c r="P451" i="4"/>
  <c r="O451" i="4"/>
  <c r="N451" i="4"/>
  <c r="AE564" i="4" l="1"/>
  <c r="AE577" i="4"/>
  <c r="AE571" i="4"/>
  <c r="AE574" i="4"/>
  <c r="AE566" i="4"/>
  <c r="CF578" i="4"/>
  <c r="CI578" i="4" s="1"/>
  <c r="AE570" i="4"/>
  <c r="AE573" i="4"/>
  <c r="CF579" i="4"/>
  <c r="CG579" i="4" s="1"/>
  <c r="CH579" i="4" s="1"/>
  <c r="CJ663" i="4"/>
  <c r="CJ603" i="4"/>
  <c r="CJ583" i="4"/>
  <c r="CJ633" i="4"/>
  <c r="CJ643" i="4"/>
  <c r="CJ653" i="4"/>
  <c r="CH623" i="4"/>
  <c r="CJ623" i="4" s="1"/>
  <c r="CJ613" i="4"/>
  <c r="CJ593" i="4"/>
  <c r="CN566" i="4"/>
  <c r="AI578" i="4"/>
  <c r="J339" i="3"/>
  <c r="AM563" i="4" s="1"/>
  <c r="J345" i="3"/>
  <c r="AM573" i="4" s="1"/>
  <c r="CN564" i="4"/>
  <c r="AI564" i="4"/>
  <c r="CN574" i="4"/>
  <c r="AI579" i="4"/>
  <c r="AF573" i="4"/>
  <c r="CN575" i="4"/>
  <c r="AF574" i="4"/>
  <c r="CR568" i="4"/>
  <c r="CN580" i="4"/>
  <c r="AF563" i="4"/>
  <c r="CN570" i="4"/>
  <c r="X61" i="5"/>
  <c r="V61" i="5"/>
  <c r="CR569" i="4"/>
  <c r="CN572" i="4"/>
  <c r="CN577" i="4"/>
  <c r="CN582" i="4"/>
  <c r="CR565" i="4"/>
  <c r="CN567" i="4"/>
  <c r="AF567" i="4"/>
  <c r="CN578" i="4"/>
  <c r="CN563" i="4"/>
  <c r="AF566" i="4"/>
  <c r="AF575" i="4"/>
  <c r="CN576" i="4"/>
  <c r="CN581" i="4"/>
  <c r="CN573" i="4"/>
  <c r="CI565" i="4"/>
  <c r="CI574" i="4"/>
  <c r="CI568" i="4"/>
  <c r="CI567" i="4"/>
  <c r="CI563" i="4"/>
  <c r="CI569" i="4"/>
  <c r="CI573" i="4"/>
  <c r="CI575" i="4"/>
  <c r="V62" i="5"/>
  <c r="X62" i="5"/>
  <c r="CG581" i="4"/>
  <c r="CH581" i="4" s="1"/>
  <c r="CI581" i="4"/>
  <c r="CG577" i="4"/>
  <c r="CH577" i="4" s="1"/>
  <c r="CI577" i="4"/>
  <c r="CG582" i="4"/>
  <c r="CH582" i="4" s="1"/>
  <c r="CI582" i="4"/>
  <c r="CN579" i="4"/>
  <c r="CG575" i="4"/>
  <c r="CH575" i="4" s="1"/>
  <c r="AI576" i="4"/>
  <c r="CI576" i="4"/>
  <c r="CR576" i="4"/>
  <c r="AI580" i="4"/>
  <c r="CI580" i="4"/>
  <c r="CG576" i="4"/>
  <c r="CH576" i="4" s="1"/>
  <c r="AI577" i="4"/>
  <c r="AI581" i="4"/>
  <c r="AI582" i="4"/>
  <c r="CG567" i="4"/>
  <c r="CH567" i="4" s="1"/>
  <c r="CN565" i="4"/>
  <c r="CG568" i="4"/>
  <c r="CH568" i="4" s="1"/>
  <c r="CR570" i="4"/>
  <c r="AI570" i="4"/>
  <c r="CI572" i="4"/>
  <c r="CG572" i="4"/>
  <c r="CH572" i="4" s="1"/>
  <c r="CI566" i="4"/>
  <c r="CI564" i="4"/>
  <c r="CG565" i="4"/>
  <c r="CH565" i="4" s="1"/>
  <c r="CN568" i="4"/>
  <c r="CN569" i="4"/>
  <c r="CI570" i="4"/>
  <c r="CN571" i="4"/>
  <c r="CG569" i="4"/>
  <c r="CH569" i="4" s="1"/>
  <c r="AI571" i="4"/>
  <c r="AI572" i="4"/>
  <c r="AF451" i="4"/>
  <c r="CG578" i="4" l="1"/>
  <c r="CH578" i="4" s="1"/>
  <c r="CI579" i="4"/>
  <c r="CR567" i="4"/>
  <c r="AI567" i="4"/>
  <c r="CR574" i="4"/>
  <c r="AI574" i="4"/>
  <c r="L340" i="3"/>
  <c r="M340" i="3" s="1"/>
  <c r="CR566" i="4"/>
  <c r="AI566" i="4"/>
  <c r="CD581" i="4"/>
  <c r="AH573" i="4"/>
  <c r="CD578" i="4"/>
  <c r="AI573" i="4"/>
  <c r="CB576" i="4"/>
  <c r="CQ576" i="4" s="1"/>
  <c r="CB580" i="4"/>
  <c r="CQ580" i="4" s="1"/>
  <c r="CD580" i="4"/>
  <c r="CB575" i="4"/>
  <c r="CQ575" i="4" s="1"/>
  <c r="CB582" i="4"/>
  <c r="CQ582" i="4" s="1"/>
  <c r="CD575" i="4"/>
  <c r="CD579" i="4"/>
  <c r="CB578" i="4"/>
  <c r="CQ578" i="4" s="1"/>
  <c r="CB577" i="4"/>
  <c r="CQ577" i="4" s="1"/>
  <c r="CB573" i="4"/>
  <c r="CQ573" i="4" s="1"/>
  <c r="CB579" i="4"/>
  <c r="CQ579" i="4" s="1"/>
  <c r="CD582" i="4"/>
  <c r="CD573" i="4"/>
  <c r="CB574" i="4"/>
  <c r="CQ574" i="4" s="1"/>
  <c r="AG573" i="4"/>
  <c r="CB581" i="4"/>
  <c r="CQ581" i="4" s="1"/>
  <c r="CD574" i="4"/>
  <c r="CR573" i="4"/>
  <c r="CD577" i="4"/>
  <c r="CD576" i="4"/>
  <c r="CR575" i="4"/>
  <c r="AI575" i="4"/>
  <c r="CD567" i="4"/>
  <c r="CB567" i="4"/>
  <c r="CQ567" i="4" s="1"/>
  <c r="CD569" i="4"/>
  <c r="CD563" i="4"/>
  <c r="CD568" i="4"/>
  <c r="AH563" i="4"/>
  <c r="CD566" i="4"/>
  <c r="AG563" i="4"/>
  <c r="CB570" i="4"/>
  <c r="CQ570" i="4" s="1"/>
  <c r="CR563" i="4"/>
  <c r="AR563" i="4" s="1"/>
  <c r="AS563" i="4" s="1"/>
  <c r="CB569" i="4"/>
  <c r="CQ569" i="4" s="1"/>
  <c r="CB563" i="4"/>
  <c r="CQ563" i="4" s="1"/>
  <c r="CB568" i="4"/>
  <c r="CQ568" i="4" s="1"/>
  <c r="CB564" i="4"/>
  <c r="CQ564" i="4" s="1"/>
  <c r="CB571" i="4"/>
  <c r="CQ571" i="4" s="1"/>
  <c r="CB566" i="4"/>
  <c r="CQ566" i="4" s="1"/>
  <c r="AI563" i="4"/>
  <c r="CB565" i="4"/>
  <c r="CQ565" i="4" s="1"/>
  <c r="CB572" i="4"/>
  <c r="CQ572" i="4" s="1"/>
  <c r="L339" i="3"/>
  <c r="M339" i="3" s="1"/>
  <c r="CD570" i="4"/>
  <c r="CD565" i="4"/>
  <c r="CD572" i="4"/>
  <c r="CD564" i="4"/>
  <c r="CD571" i="4"/>
  <c r="CO573" i="4"/>
  <c r="AK573" i="4" s="1"/>
  <c r="CO563" i="4"/>
  <c r="AK563" i="4" s="1"/>
  <c r="CG580" i="4"/>
  <c r="CH580" i="4" s="1"/>
  <c r="CG570" i="4"/>
  <c r="CH570" i="4" s="1"/>
  <c r="CI571" i="4"/>
  <c r="CG566" i="4"/>
  <c r="CH566" i="4" s="1"/>
  <c r="CG571" i="4"/>
  <c r="CH571" i="4" s="1"/>
  <c r="L346" i="3" l="1"/>
  <c r="M346" i="3" s="1"/>
  <c r="O346" i="3"/>
  <c r="P346" i="3" s="1"/>
  <c r="AR573" i="4"/>
  <c r="AS573" i="4" s="1"/>
  <c r="CG574" i="4"/>
  <c r="CH574" i="4" s="1"/>
  <c r="CG564" i="4"/>
  <c r="CH564" i="4" s="1"/>
  <c r="O340" i="3"/>
  <c r="P340" i="3" s="1"/>
  <c r="L345" i="3"/>
  <c r="O345" i="3"/>
  <c r="P345" i="3" s="1"/>
  <c r="O339" i="3"/>
  <c r="P339" i="3" s="1"/>
  <c r="CG563" i="4"/>
  <c r="CH563" i="4" s="1"/>
  <c r="CG573" i="4"/>
  <c r="CH573" i="4" s="1"/>
  <c r="Q4" i="4"/>
  <c r="Q5" i="4"/>
  <c r="Q6" i="4"/>
  <c r="Q7" i="4"/>
  <c r="Q8" i="4"/>
  <c r="Q9" i="4"/>
  <c r="Q10" i="4"/>
  <c r="Q11" i="4"/>
  <c r="Q12" i="4"/>
  <c r="Q13" i="4"/>
  <c r="Q14" i="4"/>
  <c r="Q15" i="4"/>
  <c r="Q16" i="4"/>
  <c r="Q17" i="4"/>
  <c r="Q18" i="4"/>
  <c r="Q19" i="4"/>
  <c r="Q20" i="4"/>
  <c r="Q21" i="4"/>
  <c r="Q22" i="4"/>
  <c r="Q23" i="4"/>
  <c r="Q24" i="4"/>
  <c r="Q25" i="4"/>
  <c r="Q26" i="4"/>
  <c r="Q27" i="4"/>
  <c r="Q28" i="4"/>
  <c r="Q29" i="4"/>
  <c r="Q30" i="4"/>
  <c r="Q31" i="4"/>
  <c r="Q32" i="4"/>
  <c r="Q33" i="4"/>
  <c r="Q34" i="4"/>
  <c r="Q35" i="4"/>
  <c r="Q36" i="4"/>
  <c r="Q37" i="4"/>
  <c r="Q38" i="4"/>
  <c r="Q39" i="4"/>
  <c r="Q40" i="4"/>
  <c r="Q41" i="4"/>
  <c r="Q42" i="4"/>
  <c r="Q43" i="4"/>
  <c r="Q44" i="4"/>
  <c r="Q45" i="4"/>
  <c r="Q46" i="4"/>
  <c r="Q47" i="4"/>
  <c r="Q48" i="4"/>
  <c r="Q49" i="4"/>
  <c r="Q50" i="4"/>
  <c r="Q51" i="4"/>
  <c r="Q52" i="4"/>
  <c r="Q53" i="4"/>
  <c r="Q54" i="4"/>
  <c r="Q55" i="4"/>
  <c r="Q56" i="4"/>
  <c r="Q57" i="4"/>
  <c r="Q58" i="4"/>
  <c r="Q59" i="4"/>
  <c r="Q60" i="4"/>
  <c r="Q61" i="4"/>
  <c r="Q62" i="4"/>
  <c r="Q63" i="4"/>
  <c r="Q64" i="4"/>
  <c r="Q65" i="4"/>
  <c r="Q66" i="4"/>
  <c r="Q67" i="4"/>
  <c r="Q68" i="4"/>
  <c r="Q69" i="4"/>
  <c r="Q70" i="4"/>
  <c r="Q71" i="4"/>
  <c r="Q72" i="4"/>
  <c r="Q73" i="4"/>
  <c r="Q74" i="4"/>
  <c r="Q75" i="4"/>
  <c r="Q76" i="4"/>
  <c r="Q77" i="4"/>
  <c r="Q78" i="4"/>
  <c r="Q79" i="4"/>
  <c r="Q80" i="4"/>
  <c r="Q81" i="4"/>
  <c r="Q82" i="4"/>
  <c r="Q83" i="4"/>
  <c r="Q84" i="4"/>
  <c r="Q85" i="4"/>
  <c r="Q86" i="4"/>
  <c r="Q87" i="4"/>
  <c r="Q88" i="4"/>
  <c r="Q89" i="4"/>
  <c r="Q90" i="4"/>
  <c r="Q91" i="4"/>
  <c r="Q92" i="4"/>
  <c r="Q183" i="4"/>
  <c r="Q184" i="4"/>
  <c r="Q185" i="4"/>
  <c r="Q186" i="4"/>
  <c r="Q187" i="4"/>
  <c r="Q188" i="4"/>
  <c r="Q189" i="4"/>
  <c r="Q190" i="4"/>
  <c r="Q191" i="4"/>
  <c r="Q192" i="4"/>
  <c r="Q193" i="4"/>
  <c r="Q194" i="4"/>
  <c r="Q195" i="4"/>
  <c r="Q196" i="4"/>
  <c r="Q197" i="4"/>
  <c r="Q198" i="4"/>
  <c r="Q199" i="4"/>
  <c r="Q200" i="4"/>
  <c r="Q201" i="4"/>
  <c r="Q202" i="4"/>
  <c r="Q203" i="4"/>
  <c r="Q204" i="4"/>
  <c r="Q205" i="4"/>
  <c r="Q206" i="4"/>
  <c r="Q207" i="4"/>
  <c r="Q208" i="4"/>
  <c r="Q209" i="4"/>
  <c r="Q210" i="4"/>
  <c r="Q211" i="4"/>
  <c r="Q212" i="4"/>
  <c r="Q213" i="4"/>
  <c r="Q214" i="4"/>
  <c r="Q215" i="4"/>
  <c r="Q216" i="4"/>
  <c r="Q217" i="4"/>
  <c r="Q218" i="4"/>
  <c r="Q219" i="4"/>
  <c r="Q220" i="4"/>
  <c r="Q221" i="4"/>
  <c r="Q222" i="4"/>
  <c r="Q223" i="4"/>
  <c r="Q224" i="4"/>
  <c r="Q225" i="4"/>
  <c r="Q226" i="4"/>
  <c r="Q227" i="4"/>
  <c r="Q228" i="4"/>
  <c r="Q229" i="4"/>
  <c r="Q230" i="4"/>
  <c r="Q231" i="4"/>
  <c r="Q232" i="4"/>
  <c r="Q233" i="4"/>
  <c r="Q234" i="4"/>
  <c r="Q235" i="4"/>
  <c r="Q236" i="4"/>
  <c r="Q237" i="4"/>
  <c r="Q238" i="4"/>
  <c r="Q239" i="4"/>
  <c r="Q240" i="4"/>
  <c r="Q241" i="4"/>
  <c r="Q242" i="4"/>
  <c r="Q243" i="4"/>
  <c r="Q244" i="4"/>
  <c r="Q245" i="4"/>
  <c r="Q246" i="4"/>
  <c r="Q247" i="4"/>
  <c r="Q248" i="4"/>
  <c r="Q249" i="4"/>
  <c r="Q250" i="4"/>
  <c r="Q251" i="4"/>
  <c r="Q252" i="4"/>
  <c r="Q253" i="4"/>
  <c r="Q254" i="4"/>
  <c r="Q255" i="4"/>
  <c r="Q256" i="4"/>
  <c r="Q257" i="4"/>
  <c r="Q258" i="4"/>
  <c r="Q259" i="4"/>
  <c r="Q260" i="4"/>
  <c r="Q261" i="4"/>
  <c r="Q262" i="4"/>
  <c r="Q263" i="4"/>
  <c r="Q264" i="4"/>
  <c r="Q265" i="4"/>
  <c r="Q266" i="4"/>
  <c r="Q267" i="4"/>
  <c r="Q268" i="4"/>
  <c r="Q269" i="4"/>
  <c r="Q270" i="4"/>
  <c r="Q271" i="4"/>
  <c r="Q272" i="4"/>
  <c r="Q273" i="4"/>
  <c r="Q274" i="4"/>
  <c r="Q275" i="4"/>
  <c r="Q276" i="4"/>
  <c r="Q277" i="4"/>
  <c r="Q278" i="4"/>
  <c r="Q279" i="4"/>
  <c r="Q280" i="4"/>
  <c r="Q281" i="4"/>
  <c r="Q282" i="4"/>
  <c r="Q283" i="4"/>
  <c r="Q284" i="4"/>
  <c r="Q285" i="4"/>
  <c r="Q286" i="4"/>
  <c r="Q287" i="4"/>
  <c r="Q288" i="4"/>
  <c r="Q289" i="4"/>
  <c r="Q290" i="4"/>
  <c r="Q291" i="4"/>
  <c r="Q292" i="4"/>
  <c r="Q293" i="4"/>
  <c r="Q294" i="4"/>
  <c r="Q295" i="4"/>
  <c r="Q296" i="4"/>
  <c r="Q297" i="4"/>
  <c r="Q298" i="4"/>
  <c r="Q299" i="4"/>
  <c r="Q300" i="4"/>
  <c r="Q301" i="4"/>
  <c r="Q302" i="4"/>
  <c r="Q303" i="4"/>
  <c r="Q304" i="4"/>
  <c r="Q305" i="4"/>
  <c r="Q306" i="4"/>
  <c r="Q307" i="4"/>
  <c r="Q308" i="4"/>
  <c r="Q309" i="4"/>
  <c r="Q310" i="4"/>
  <c r="Q311" i="4"/>
  <c r="Q312" i="4"/>
  <c r="Q313" i="4"/>
  <c r="Q314" i="4"/>
  <c r="Q315" i="4"/>
  <c r="Q316" i="4"/>
  <c r="Q317" i="4"/>
  <c r="Q318" i="4"/>
  <c r="Q319" i="4"/>
  <c r="Q320" i="4"/>
  <c r="Q321" i="4"/>
  <c r="Q322" i="4"/>
  <c r="Q323" i="4"/>
  <c r="Q324" i="4"/>
  <c r="Q325" i="4"/>
  <c r="Q326" i="4"/>
  <c r="Q327" i="4"/>
  <c r="Q328" i="4"/>
  <c r="Q329" i="4"/>
  <c r="Q330" i="4"/>
  <c r="Q331" i="4"/>
  <c r="Q332" i="4"/>
  <c r="Q333" i="4"/>
  <c r="Q334" i="4"/>
  <c r="Q335" i="4"/>
  <c r="Q336" i="4"/>
  <c r="Q337" i="4"/>
  <c r="Q338" i="4"/>
  <c r="Q339" i="4"/>
  <c r="Q340" i="4"/>
  <c r="Q341" i="4"/>
  <c r="Q342" i="4"/>
  <c r="Q343" i="4"/>
  <c r="Q344" i="4"/>
  <c r="Q345" i="4"/>
  <c r="Q346" i="4"/>
  <c r="Q347" i="4"/>
  <c r="Q348" i="4"/>
  <c r="Q349" i="4"/>
  <c r="Q350" i="4"/>
  <c r="Q351" i="4"/>
  <c r="Q352" i="4"/>
  <c r="Q353" i="4"/>
  <c r="Q354" i="4"/>
  <c r="Q355" i="4"/>
  <c r="Q356" i="4"/>
  <c r="Q357" i="4"/>
  <c r="Q358" i="4"/>
  <c r="Q359" i="4"/>
  <c r="Q360" i="4"/>
  <c r="Q361" i="4"/>
  <c r="Q362" i="4"/>
  <c r="Q363" i="4"/>
  <c r="Q364" i="4"/>
  <c r="Q365" i="4"/>
  <c r="Q366" i="4"/>
  <c r="Q367" i="4"/>
  <c r="Q368" i="4"/>
  <c r="Q369" i="4"/>
  <c r="Q370" i="4"/>
  <c r="Q371" i="4"/>
  <c r="Q372" i="4"/>
  <c r="Q373" i="4"/>
  <c r="Q374" i="4"/>
  <c r="Q375" i="4"/>
  <c r="Q376" i="4"/>
  <c r="Q377" i="4"/>
  <c r="Q378" i="4"/>
  <c r="Q379" i="4"/>
  <c r="Q380" i="4"/>
  <c r="Q381" i="4"/>
  <c r="Q382" i="4"/>
  <c r="Q383" i="4"/>
  <c r="Q384" i="4"/>
  <c r="Q385" i="4"/>
  <c r="Q386" i="4"/>
  <c r="Q387" i="4"/>
  <c r="Q388" i="4"/>
  <c r="Q389" i="4"/>
  <c r="Q390" i="4"/>
  <c r="Q391" i="4"/>
  <c r="Q392" i="4"/>
  <c r="Q393" i="4"/>
  <c r="Q394" i="4"/>
  <c r="Q395" i="4"/>
  <c r="Q396" i="4"/>
  <c r="Q397" i="4"/>
  <c r="Q398" i="4"/>
  <c r="Q399" i="4"/>
  <c r="Q400" i="4"/>
  <c r="Q401" i="4"/>
  <c r="Q402" i="4"/>
  <c r="Q403" i="4"/>
  <c r="Q404" i="4"/>
  <c r="Q405" i="4"/>
  <c r="Q406" i="4"/>
  <c r="Q407" i="4"/>
  <c r="Q408" i="4"/>
  <c r="Q409" i="4"/>
  <c r="Q410" i="4"/>
  <c r="Q411" i="4"/>
  <c r="Q412" i="4"/>
  <c r="Q413" i="4"/>
  <c r="Q414" i="4"/>
  <c r="Q415" i="4"/>
  <c r="Q416" i="4"/>
  <c r="Q417" i="4"/>
  <c r="Q418" i="4"/>
  <c r="Q419" i="4"/>
  <c r="Q420" i="4"/>
  <c r="Q421" i="4"/>
  <c r="Q422" i="4"/>
  <c r="Q423" i="4"/>
  <c r="Q424" i="4"/>
  <c r="Q425" i="4"/>
  <c r="Q426" i="4"/>
  <c r="Q427" i="4"/>
  <c r="Q428" i="4"/>
  <c r="Q429" i="4"/>
  <c r="Q430" i="4"/>
  <c r="Q431" i="4"/>
  <c r="Q432" i="4"/>
  <c r="Q433" i="4"/>
  <c r="Q434" i="4"/>
  <c r="Q435" i="4"/>
  <c r="Q436" i="4"/>
  <c r="Q437" i="4"/>
  <c r="Q438" i="4"/>
  <c r="Q439" i="4"/>
  <c r="Q440" i="4"/>
  <c r="Q441" i="4"/>
  <c r="Q442" i="4"/>
  <c r="Q443" i="4"/>
  <c r="Q444" i="4"/>
  <c r="Q445" i="4"/>
  <c r="Q446" i="4"/>
  <c r="Q447" i="4"/>
  <c r="Q448" i="4"/>
  <c r="Q449" i="4"/>
  <c r="Q450" i="4"/>
  <c r="Q452" i="4"/>
  <c r="Q453" i="4"/>
  <c r="Q454" i="4"/>
  <c r="Q455" i="4"/>
  <c r="Q456" i="4"/>
  <c r="Q457" i="4"/>
  <c r="Q458" i="4"/>
  <c r="Q459" i="4"/>
  <c r="Q460" i="4"/>
  <c r="Q461" i="4"/>
  <c r="Q462" i="4"/>
  <c r="Q463" i="4"/>
  <c r="Q464" i="4"/>
  <c r="Q465" i="4"/>
  <c r="Q466" i="4"/>
  <c r="Q467" i="4"/>
  <c r="Q468" i="4"/>
  <c r="Q469" i="4"/>
  <c r="Q470" i="4"/>
  <c r="Q471" i="4"/>
  <c r="Q472" i="4"/>
  <c r="Q473" i="4"/>
  <c r="Q474" i="4"/>
  <c r="Q475" i="4"/>
  <c r="Q476" i="4"/>
  <c r="Q477" i="4"/>
  <c r="Q478" i="4"/>
  <c r="Q479" i="4"/>
  <c r="Q480" i="4"/>
  <c r="Q481" i="4"/>
  <c r="Q482" i="4"/>
  <c r="Q483" i="4"/>
  <c r="Q484" i="4"/>
  <c r="Q485" i="4"/>
  <c r="Q486" i="4"/>
  <c r="Q487" i="4"/>
  <c r="Q488" i="4"/>
  <c r="Q489" i="4"/>
  <c r="Q490" i="4"/>
  <c r="Q491" i="4"/>
  <c r="Q492" i="4"/>
  <c r="Q493" i="4"/>
  <c r="Q494" i="4"/>
  <c r="Q495" i="4"/>
  <c r="Q496" i="4"/>
  <c r="Q497" i="4"/>
  <c r="Q498" i="4"/>
  <c r="Q499" i="4"/>
  <c r="Q500" i="4"/>
  <c r="Q501" i="4"/>
  <c r="Q502" i="4"/>
  <c r="Q503" i="4"/>
  <c r="Q504" i="4"/>
  <c r="Q505" i="4"/>
  <c r="Q506" i="4"/>
  <c r="Q507" i="4"/>
  <c r="Q508" i="4"/>
  <c r="Q509" i="4"/>
  <c r="Q510" i="4"/>
  <c r="Q511" i="4"/>
  <c r="Q512" i="4"/>
  <c r="Q513" i="4"/>
  <c r="Q514" i="4"/>
  <c r="Q515" i="4"/>
  <c r="Q516" i="4"/>
  <c r="Q517" i="4"/>
  <c r="Q518" i="4"/>
  <c r="Q519" i="4"/>
  <c r="Q520" i="4"/>
  <c r="Q521" i="4"/>
  <c r="Q522" i="4"/>
  <c r="Q523" i="4"/>
  <c r="Q524" i="4"/>
  <c r="Q525" i="4"/>
  <c r="Q526" i="4"/>
  <c r="Q527" i="4"/>
  <c r="Q528" i="4"/>
  <c r="Q529" i="4"/>
  <c r="Q530" i="4"/>
  <c r="Q531" i="4"/>
  <c r="Q532" i="4"/>
  <c r="Q533" i="4"/>
  <c r="Q534" i="4"/>
  <c r="Q535" i="4"/>
  <c r="Q536" i="4"/>
  <c r="Q537" i="4"/>
  <c r="Q538" i="4"/>
  <c r="Q539" i="4"/>
  <c r="Q540" i="4"/>
  <c r="Q541" i="4"/>
  <c r="Q542" i="4"/>
  <c r="Q543" i="4"/>
  <c r="Q544" i="4"/>
  <c r="Q545" i="4"/>
  <c r="Q546" i="4"/>
  <c r="Q547" i="4"/>
  <c r="Q548" i="4"/>
  <c r="Q549" i="4"/>
  <c r="Q550" i="4"/>
  <c r="Q551" i="4"/>
  <c r="Q552" i="4"/>
  <c r="Q553" i="4"/>
  <c r="AF553" i="4" s="1"/>
  <c r="Q554" i="4"/>
  <c r="Q555" i="4"/>
  <c r="Q556" i="4"/>
  <c r="Q557" i="4"/>
  <c r="Q558" i="4"/>
  <c r="Q559" i="4"/>
  <c r="Q560" i="4"/>
  <c r="Q561" i="4"/>
  <c r="Q562" i="4"/>
  <c r="Q3" i="4"/>
  <c r="CJ573" i="4" l="1"/>
  <c r="AJ573" i="4" s="1"/>
  <c r="CJ563" i="4"/>
  <c r="AJ563" i="4" s="1"/>
  <c r="L97" i="3"/>
  <c r="L98" i="3"/>
  <c r="L103" i="3"/>
  <c r="L104" i="3"/>
  <c r="L108" i="3"/>
  <c r="L109" i="3"/>
  <c r="L110" i="3"/>
  <c r="L113" i="3"/>
  <c r="L114" i="3"/>
  <c r="L115" i="3"/>
  <c r="L116" i="3"/>
  <c r="L120" i="3"/>
  <c r="L121" i="3"/>
  <c r="L122" i="3"/>
  <c r="L126" i="3"/>
  <c r="L127" i="3"/>
  <c r="L128" i="3"/>
  <c r="L132" i="3"/>
  <c r="L133" i="3"/>
  <c r="L134" i="3"/>
  <c r="L139" i="3"/>
  <c r="L140" i="3"/>
  <c r="L144" i="3"/>
  <c r="L145" i="3"/>
  <c r="L146" i="3"/>
  <c r="L150" i="3"/>
  <c r="L151" i="3"/>
  <c r="L152" i="3"/>
  <c r="L155" i="3"/>
  <c r="L156" i="3"/>
  <c r="L157" i="3"/>
  <c r="L158" i="3"/>
  <c r="L161" i="3"/>
  <c r="L162" i="3"/>
  <c r="L163" i="3"/>
  <c r="L164" i="3"/>
  <c r="L168" i="3"/>
  <c r="L169" i="3"/>
  <c r="L170" i="3"/>
  <c r="L175" i="3"/>
  <c r="L176" i="3"/>
  <c r="L180" i="3"/>
  <c r="L181" i="3"/>
  <c r="L182" i="3"/>
  <c r="L186" i="3"/>
  <c r="L187" i="3"/>
  <c r="L188" i="3"/>
  <c r="L192" i="3"/>
  <c r="L193" i="3"/>
  <c r="L194" i="3"/>
  <c r="L197" i="3"/>
  <c r="L198" i="3"/>
  <c r="L199" i="3"/>
  <c r="L200" i="3"/>
  <c r="L204" i="3"/>
  <c r="L205" i="3"/>
  <c r="L206" i="3"/>
  <c r="L210" i="3"/>
  <c r="L211" i="3"/>
  <c r="L212" i="3"/>
  <c r="L216" i="3"/>
  <c r="L217" i="3"/>
  <c r="L218" i="3"/>
  <c r="L223" i="3"/>
  <c r="L224" i="3"/>
  <c r="L227" i="3"/>
  <c r="L228" i="3"/>
  <c r="L229" i="3"/>
  <c r="L230" i="3"/>
  <c r="L233" i="3"/>
  <c r="L234" i="3"/>
  <c r="L235" i="3"/>
  <c r="L236" i="3"/>
  <c r="L240" i="3"/>
  <c r="L241" i="3"/>
  <c r="L242" i="3"/>
  <c r="L246" i="3"/>
  <c r="L247" i="3"/>
  <c r="L248" i="3"/>
  <c r="L251" i="3"/>
  <c r="L252" i="3"/>
  <c r="L253" i="3"/>
  <c r="L254" i="3"/>
  <c r="L257" i="3"/>
  <c r="L258" i="3"/>
  <c r="L259" i="3"/>
  <c r="L260" i="3"/>
  <c r="L263" i="3"/>
  <c r="L264" i="3"/>
  <c r="L265" i="3"/>
  <c r="L266" i="3"/>
  <c r="L270" i="3"/>
  <c r="L271" i="3"/>
  <c r="L272" i="3"/>
  <c r="L276" i="3"/>
  <c r="L277" i="3"/>
  <c r="L278" i="3"/>
  <c r="L282" i="3"/>
  <c r="L283" i="3"/>
  <c r="L284" i="3"/>
  <c r="L288" i="3"/>
  <c r="L289" i="3"/>
  <c r="L290" i="3"/>
  <c r="L294" i="3"/>
  <c r="L295" i="3"/>
  <c r="L296" i="3"/>
  <c r="L300" i="3"/>
  <c r="L301" i="3"/>
  <c r="L302" i="3"/>
  <c r="L306" i="3"/>
  <c r="L307" i="3"/>
  <c r="L308" i="3"/>
  <c r="L312" i="3"/>
  <c r="L313" i="3"/>
  <c r="L314" i="3"/>
  <c r="L317" i="3"/>
  <c r="L318" i="3"/>
  <c r="L319" i="3"/>
  <c r="L320" i="3"/>
  <c r="L324" i="3"/>
  <c r="L325" i="3"/>
  <c r="L326" i="3"/>
  <c r="L329" i="3"/>
  <c r="L330" i="3"/>
  <c r="L331" i="3"/>
  <c r="L332" i="3"/>
  <c r="L335" i="3"/>
  <c r="L336" i="3"/>
  <c r="L337" i="3"/>
  <c r="L338" i="3"/>
  <c r="O338" i="3"/>
  <c r="P338" i="3" s="1"/>
  <c r="M338" i="3"/>
  <c r="O337" i="3"/>
  <c r="P337" i="3" s="1"/>
  <c r="M337" i="3"/>
  <c r="O336" i="3"/>
  <c r="P336" i="3" s="1"/>
  <c r="M336" i="3"/>
  <c r="O335" i="3"/>
  <c r="P335" i="3" s="1"/>
  <c r="M335" i="3"/>
  <c r="AO333" i="3"/>
  <c r="AN333" i="3"/>
  <c r="O333" i="3"/>
  <c r="P333" i="3" s="1"/>
  <c r="M333" i="3"/>
  <c r="O332" i="3"/>
  <c r="P332" i="3" s="1"/>
  <c r="M332" i="3"/>
  <c r="O331" i="3"/>
  <c r="P331" i="3" s="1"/>
  <c r="M331" i="3"/>
  <c r="O330" i="3"/>
  <c r="P330" i="3" s="1"/>
  <c r="M330" i="3"/>
  <c r="O329" i="3"/>
  <c r="P329" i="3" s="1"/>
  <c r="M329" i="3"/>
  <c r="AO327" i="3"/>
  <c r="AN327" i="3"/>
  <c r="O326" i="3"/>
  <c r="P326" i="3" s="1"/>
  <c r="M326" i="3"/>
  <c r="O325" i="3"/>
  <c r="P325" i="3" s="1"/>
  <c r="M325" i="3"/>
  <c r="O324" i="3"/>
  <c r="P324" i="3" s="1"/>
  <c r="M324" i="3"/>
  <c r="O323" i="3"/>
  <c r="P323" i="3" s="1"/>
  <c r="M323" i="3"/>
  <c r="AO321" i="3"/>
  <c r="AN321" i="3"/>
  <c r="O321" i="3"/>
  <c r="P321" i="3" s="1"/>
  <c r="M321" i="3"/>
  <c r="O320" i="3"/>
  <c r="P320" i="3" s="1"/>
  <c r="M320" i="3"/>
  <c r="O319" i="3"/>
  <c r="P319" i="3" s="1"/>
  <c r="M319" i="3"/>
  <c r="O318" i="3"/>
  <c r="P318" i="3" s="1"/>
  <c r="M318" i="3"/>
  <c r="O317" i="3"/>
  <c r="P317" i="3" s="1"/>
  <c r="M317" i="3"/>
  <c r="AO315" i="3"/>
  <c r="AN315" i="3"/>
  <c r="O314" i="3"/>
  <c r="P314" i="3" s="1"/>
  <c r="M314" i="3"/>
  <c r="O313" i="3"/>
  <c r="P313" i="3" s="1"/>
  <c r="M313" i="3"/>
  <c r="O312" i="3"/>
  <c r="P312" i="3" s="1"/>
  <c r="M312" i="3"/>
  <c r="O310" i="3"/>
  <c r="P310" i="3" s="1"/>
  <c r="M310" i="3"/>
  <c r="AO309" i="3"/>
  <c r="AN309" i="3"/>
  <c r="O308" i="3"/>
  <c r="P308" i="3" s="1"/>
  <c r="M308" i="3"/>
  <c r="O307" i="3"/>
  <c r="P307" i="3" s="1"/>
  <c r="M307" i="3"/>
  <c r="O306" i="3"/>
  <c r="P306" i="3" s="1"/>
  <c r="M306" i="3"/>
  <c r="AO303" i="3"/>
  <c r="AN303" i="3"/>
  <c r="O302" i="3"/>
  <c r="P302" i="3" s="1"/>
  <c r="M302" i="3"/>
  <c r="O301" i="3"/>
  <c r="P301" i="3" s="1"/>
  <c r="M301" i="3"/>
  <c r="O300" i="3"/>
  <c r="P300" i="3" s="1"/>
  <c r="M300" i="3"/>
  <c r="AO297" i="3"/>
  <c r="AN297" i="3"/>
  <c r="O296" i="3"/>
  <c r="P296" i="3" s="1"/>
  <c r="M296" i="3"/>
  <c r="O295" i="3"/>
  <c r="P295" i="3" s="1"/>
  <c r="M295" i="3"/>
  <c r="O294" i="3"/>
  <c r="P294" i="3" s="1"/>
  <c r="M294" i="3"/>
  <c r="AO291" i="3"/>
  <c r="AN291" i="3"/>
  <c r="O290" i="3"/>
  <c r="P290" i="3" s="1"/>
  <c r="M290" i="3"/>
  <c r="O289" i="3"/>
  <c r="P289" i="3" s="1"/>
  <c r="M289" i="3"/>
  <c r="O288" i="3"/>
  <c r="P288" i="3" s="1"/>
  <c r="M288" i="3"/>
  <c r="M287" i="3"/>
  <c r="M286" i="3"/>
  <c r="AO285" i="3"/>
  <c r="AN285" i="3"/>
  <c r="O284" i="3"/>
  <c r="P284" i="3" s="1"/>
  <c r="M284" i="3"/>
  <c r="O283" i="3"/>
  <c r="P283" i="3" s="1"/>
  <c r="M283" i="3"/>
  <c r="O282" i="3"/>
  <c r="P282" i="3" s="1"/>
  <c r="M282" i="3"/>
  <c r="O281" i="3"/>
  <c r="P281" i="3" s="1"/>
  <c r="M281" i="3"/>
  <c r="AO279" i="3"/>
  <c r="AN279" i="3"/>
  <c r="O278" i="3"/>
  <c r="P278" i="3" s="1"/>
  <c r="M278" i="3"/>
  <c r="O277" i="3"/>
  <c r="P277" i="3" s="1"/>
  <c r="M277" i="3"/>
  <c r="O276" i="3"/>
  <c r="P276" i="3" s="1"/>
  <c r="M276" i="3"/>
  <c r="M275" i="3"/>
  <c r="M274" i="3"/>
  <c r="AO273" i="3"/>
  <c r="AN273" i="3"/>
  <c r="O272" i="3"/>
  <c r="P272" i="3" s="1"/>
  <c r="M272" i="3"/>
  <c r="O271" i="3"/>
  <c r="P271" i="3" s="1"/>
  <c r="M271" i="3"/>
  <c r="O270" i="3"/>
  <c r="P270" i="3" s="1"/>
  <c r="M270" i="3"/>
  <c r="AO267" i="3"/>
  <c r="AN267" i="3"/>
  <c r="O266" i="3"/>
  <c r="P266" i="3" s="1"/>
  <c r="M266" i="3"/>
  <c r="O265" i="3"/>
  <c r="P265" i="3" s="1"/>
  <c r="M265" i="3"/>
  <c r="O264" i="3"/>
  <c r="P264" i="3" s="1"/>
  <c r="M264" i="3"/>
  <c r="O263" i="3"/>
  <c r="P263" i="3" s="1"/>
  <c r="M263" i="3"/>
  <c r="M262" i="3"/>
  <c r="AO261" i="3"/>
  <c r="AN261" i="3"/>
  <c r="O260" i="3"/>
  <c r="P260" i="3" s="1"/>
  <c r="M260" i="3"/>
  <c r="O259" i="3"/>
  <c r="P259" i="3" s="1"/>
  <c r="M259" i="3"/>
  <c r="O258" i="3"/>
  <c r="P258" i="3" s="1"/>
  <c r="M258" i="3"/>
  <c r="O257" i="3"/>
  <c r="P257" i="3" s="1"/>
  <c r="M257" i="3"/>
  <c r="O256" i="3"/>
  <c r="P256" i="3" s="1"/>
  <c r="M256" i="3"/>
  <c r="AO255" i="3"/>
  <c r="AN255" i="3"/>
  <c r="O254" i="3"/>
  <c r="P254" i="3" s="1"/>
  <c r="M254" i="3"/>
  <c r="O253" i="3"/>
  <c r="P253" i="3" s="1"/>
  <c r="M253" i="3"/>
  <c r="O252" i="3"/>
  <c r="P252" i="3" s="1"/>
  <c r="M252" i="3"/>
  <c r="O251" i="3"/>
  <c r="P251" i="3" s="1"/>
  <c r="M251" i="3"/>
  <c r="M250" i="3"/>
  <c r="AO249" i="3"/>
  <c r="AN249" i="3"/>
  <c r="O248" i="3"/>
  <c r="P248" i="3" s="1"/>
  <c r="M248" i="3"/>
  <c r="O247" i="3"/>
  <c r="P247" i="3" s="1"/>
  <c r="M247" i="3"/>
  <c r="O246" i="3"/>
  <c r="P246" i="3" s="1"/>
  <c r="M246" i="3"/>
  <c r="AO243" i="3"/>
  <c r="AN243" i="3"/>
  <c r="O242" i="3"/>
  <c r="P242" i="3" s="1"/>
  <c r="M242" i="3"/>
  <c r="O241" i="3"/>
  <c r="P241" i="3" s="1"/>
  <c r="M241" i="3"/>
  <c r="O240" i="3"/>
  <c r="P240" i="3" s="1"/>
  <c r="M240" i="3"/>
  <c r="M238" i="3"/>
  <c r="AO237" i="3"/>
  <c r="AN237" i="3"/>
  <c r="O236" i="3"/>
  <c r="P236" i="3" s="1"/>
  <c r="M236" i="3"/>
  <c r="O235" i="3"/>
  <c r="P235" i="3" s="1"/>
  <c r="M235" i="3"/>
  <c r="O234" i="3"/>
  <c r="P234" i="3" s="1"/>
  <c r="M234" i="3"/>
  <c r="O233" i="3"/>
  <c r="P233" i="3" s="1"/>
  <c r="M233" i="3"/>
  <c r="O232" i="3"/>
  <c r="P232" i="3" s="1"/>
  <c r="M232" i="3"/>
  <c r="AO231" i="3"/>
  <c r="AN231" i="3"/>
  <c r="O230" i="3"/>
  <c r="P230" i="3" s="1"/>
  <c r="M230" i="3"/>
  <c r="O229" i="3"/>
  <c r="P229" i="3" s="1"/>
  <c r="M229" i="3"/>
  <c r="O228" i="3"/>
  <c r="P228" i="3" s="1"/>
  <c r="M228" i="3"/>
  <c r="O227" i="3"/>
  <c r="P227" i="3" s="1"/>
  <c r="M227" i="3"/>
  <c r="AO225" i="3"/>
  <c r="AN225" i="3"/>
  <c r="O224" i="3"/>
  <c r="P224" i="3" s="1"/>
  <c r="M224" i="3"/>
  <c r="O223" i="3"/>
  <c r="P223" i="3" s="1"/>
  <c r="M223" i="3"/>
  <c r="O221" i="3"/>
  <c r="P221" i="3" s="1"/>
  <c r="M221" i="3"/>
  <c r="AO219" i="3"/>
  <c r="AN219" i="3"/>
  <c r="M219" i="3"/>
  <c r="O218" i="3"/>
  <c r="P218" i="3" s="1"/>
  <c r="M218" i="3"/>
  <c r="O217" i="3"/>
  <c r="P217" i="3" s="1"/>
  <c r="M217" i="3"/>
  <c r="O216" i="3"/>
  <c r="P216" i="3" s="1"/>
  <c r="M216" i="3"/>
  <c r="O215" i="3"/>
  <c r="P215" i="3" s="1"/>
  <c r="M215" i="3"/>
  <c r="AO213" i="3"/>
  <c r="AN213" i="3"/>
  <c r="O212" i="3"/>
  <c r="P212" i="3" s="1"/>
  <c r="M212" i="3"/>
  <c r="O211" i="3"/>
  <c r="P211" i="3" s="1"/>
  <c r="M211" i="3"/>
  <c r="O210" i="3"/>
  <c r="P210" i="3" s="1"/>
  <c r="M210" i="3"/>
  <c r="O209" i="3"/>
  <c r="P209" i="3" s="1"/>
  <c r="M209" i="3"/>
  <c r="M208" i="3"/>
  <c r="AO207" i="3"/>
  <c r="AN207" i="3"/>
  <c r="O206" i="3"/>
  <c r="P206" i="3" s="1"/>
  <c r="M206" i="3"/>
  <c r="O205" i="3"/>
  <c r="P205" i="3" s="1"/>
  <c r="M205" i="3"/>
  <c r="O204" i="3"/>
  <c r="P204" i="3" s="1"/>
  <c r="M204" i="3"/>
  <c r="AO201" i="3"/>
  <c r="AN201" i="3"/>
  <c r="O200" i="3"/>
  <c r="P200" i="3" s="1"/>
  <c r="M200" i="3"/>
  <c r="O199" i="3"/>
  <c r="P199" i="3" s="1"/>
  <c r="M199" i="3"/>
  <c r="O198" i="3"/>
  <c r="P198" i="3" s="1"/>
  <c r="M198" i="3"/>
  <c r="O197" i="3"/>
  <c r="P197" i="3" s="1"/>
  <c r="M197" i="3"/>
  <c r="AO195" i="3"/>
  <c r="AN195" i="3"/>
  <c r="O194" i="3"/>
  <c r="P194" i="3" s="1"/>
  <c r="M194" i="3"/>
  <c r="O193" i="3"/>
  <c r="P193" i="3" s="1"/>
  <c r="M193" i="3"/>
  <c r="O192" i="3"/>
  <c r="P192" i="3" s="1"/>
  <c r="M192" i="3"/>
  <c r="AO189" i="3"/>
  <c r="AN189" i="3"/>
  <c r="O188" i="3"/>
  <c r="P188" i="3" s="1"/>
  <c r="M188" i="3"/>
  <c r="O187" i="3"/>
  <c r="P187" i="3" s="1"/>
  <c r="M187" i="3"/>
  <c r="O186" i="3"/>
  <c r="P186" i="3" s="1"/>
  <c r="M186" i="3"/>
  <c r="M185" i="3"/>
  <c r="AO183" i="3"/>
  <c r="AN183" i="3"/>
  <c r="O182" i="3"/>
  <c r="P182" i="3" s="1"/>
  <c r="M182" i="3"/>
  <c r="O181" i="3"/>
  <c r="P181" i="3" s="1"/>
  <c r="M181" i="3"/>
  <c r="O180" i="3"/>
  <c r="P180" i="3" s="1"/>
  <c r="M180" i="3"/>
  <c r="AO177" i="3"/>
  <c r="AN177" i="3"/>
  <c r="O176" i="3"/>
  <c r="P176" i="3" s="1"/>
  <c r="M176" i="3"/>
  <c r="O175" i="3"/>
  <c r="P175" i="3" s="1"/>
  <c r="M175" i="3"/>
  <c r="AO171" i="3"/>
  <c r="AN171" i="3"/>
  <c r="O170" i="3"/>
  <c r="P170" i="3" s="1"/>
  <c r="M170" i="3"/>
  <c r="O169" i="3"/>
  <c r="P169" i="3" s="1"/>
  <c r="M169" i="3"/>
  <c r="O168" i="3"/>
  <c r="P168" i="3" s="1"/>
  <c r="M168" i="3"/>
  <c r="O167" i="3"/>
  <c r="P167" i="3" s="1"/>
  <c r="M167" i="3"/>
  <c r="AO165" i="3"/>
  <c r="AN165" i="3"/>
  <c r="O164" i="3"/>
  <c r="P164" i="3" s="1"/>
  <c r="M164" i="3"/>
  <c r="O163" i="3"/>
  <c r="P163" i="3" s="1"/>
  <c r="M163" i="3"/>
  <c r="O162" i="3"/>
  <c r="P162" i="3" s="1"/>
  <c r="M162" i="3"/>
  <c r="O161" i="3"/>
  <c r="P161" i="3" s="1"/>
  <c r="M161" i="3"/>
  <c r="AO159" i="3"/>
  <c r="AN159" i="3"/>
  <c r="O158" i="3"/>
  <c r="P158" i="3" s="1"/>
  <c r="M158" i="3"/>
  <c r="O157" i="3"/>
  <c r="P157" i="3" s="1"/>
  <c r="M157" i="3"/>
  <c r="O156" i="3"/>
  <c r="P156" i="3" s="1"/>
  <c r="M156" i="3"/>
  <c r="O155" i="3"/>
  <c r="P155" i="3" s="1"/>
  <c r="M155" i="3"/>
  <c r="AO153" i="3"/>
  <c r="AN153" i="3"/>
  <c r="O152" i="3"/>
  <c r="P152" i="3" s="1"/>
  <c r="M152" i="3"/>
  <c r="O151" i="3"/>
  <c r="P151" i="3" s="1"/>
  <c r="M151" i="3"/>
  <c r="O150" i="3"/>
  <c r="P150" i="3" s="1"/>
  <c r="M150" i="3"/>
  <c r="O149" i="3"/>
  <c r="P149" i="3" s="1"/>
  <c r="M149" i="3"/>
  <c r="AO147" i="3"/>
  <c r="AN147" i="3"/>
  <c r="O147" i="3"/>
  <c r="P147" i="3" s="1"/>
  <c r="M147" i="3"/>
  <c r="O146" i="3"/>
  <c r="P146" i="3" s="1"/>
  <c r="M146" i="3"/>
  <c r="O145" i="3"/>
  <c r="P145" i="3" s="1"/>
  <c r="M145" i="3"/>
  <c r="O144" i="3"/>
  <c r="P144" i="3" s="1"/>
  <c r="M144" i="3"/>
  <c r="M143" i="3"/>
  <c r="AO141" i="3"/>
  <c r="AN141" i="3"/>
  <c r="O140" i="3"/>
  <c r="P140" i="3" s="1"/>
  <c r="M140" i="3"/>
  <c r="O139" i="3"/>
  <c r="P139" i="3" s="1"/>
  <c r="M139" i="3"/>
  <c r="AO135" i="3"/>
  <c r="AN135" i="3"/>
  <c r="O134" i="3"/>
  <c r="P134" i="3" s="1"/>
  <c r="M134" i="3"/>
  <c r="O133" i="3"/>
  <c r="P133" i="3" s="1"/>
  <c r="M133" i="3"/>
  <c r="O132" i="3"/>
  <c r="P132" i="3" s="1"/>
  <c r="M132" i="3"/>
  <c r="O131" i="3"/>
  <c r="P131" i="3" s="1"/>
  <c r="M131" i="3"/>
  <c r="O130" i="3"/>
  <c r="P130" i="3" s="1"/>
  <c r="M130" i="3"/>
  <c r="AO129" i="3"/>
  <c r="AN129" i="3"/>
  <c r="O128" i="3"/>
  <c r="P128" i="3" s="1"/>
  <c r="M128" i="3"/>
  <c r="O127" i="3"/>
  <c r="P127" i="3" s="1"/>
  <c r="M127" i="3"/>
  <c r="O126" i="3"/>
  <c r="P126" i="3" s="1"/>
  <c r="M126" i="3"/>
  <c r="AO123" i="3"/>
  <c r="AN123" i="3"/>
  <c r="O122" i="3"/>
  <c r="P122" i="3" s="1"/>
  <c r="M122" i="3"/>
  <c r="O121" i="3"/>
  <c r="P121" i="3" s="1"/>
  <c r="M121" i="3"/>
  <c r="O120" i="3"/>
  <c r="P120" i="3" s="1"/>
  <c r="M120" i="3"/>
  <c r="AO117" i="3"/>
  <c r="AN117" i="3"/>
  <c r="O116" i="3"/>
  <c r="P116" i="3" s="1"/>
  <c r="M116" i="3"/>
  <c r="O115" i="3"/>
  <c r="P115" i="3" s="1"/>
  <c r="M115" i="3"/>
  <c r="O114" i="3"/>
  <c r="P114" i="3" s="1"/>
  <c r="M114" i="3"/>
  <c r="O113" i="3"/>
  <c r="P113" i="3" s="1"/>
  <c r="M113" i="3"/>
  <c r="AO111" i="3"/>
  <c r="AN111" i="3"/>
  <c r="O110" i="3"/>
  <c r="P110" i="3" s="1"/>
  <c r="M110" i="3"/>
  <c r="O109" i="3"/>
  <c r="P109" i="3" s="1"/>
  <c r="M109" i="3"/>
  <c r="O108" i="3"/>
  <c r="P108" i="3" s="1"/>
  <c r="M108" i="3"/>
  <c r="AO105" i="3"/>
  <c r="AN105" i="3"/>
  <c r="O104" i="3"/>
  <c r="P104" i="3" s="1"/>
  <c r="M104" i="3"/>
  <c r="O103" i="3"/>
  <c r="P103" i="3" s="1"/>
  <c r="M103" i="3"/>
  <c r="AO99" i="3"/>
  <c r="AN99" i="3"/>
  <c r="O98" i="3"/>
  <c r="P98" i="3" s="1"/>
  <c r="M98" i="3"/>
  <c r="O97" i="3"/>
  <c r="P97" i="3" s="1"/>
  <c r="M97" i="3"/>
  <c r="AO93" i="3"/>
  <c r="AN93" i="3"/>
  <c r="CE562" i="4"/>
  <c r="CF562" i="4" s="1"/>
  <c r="AF562" i="4"/>
  <c r="AD562" i="4"/>
  <c r="AC562" i="4"/>
  <c r="U562" i="4"/>
  <c r="V562" i="4" s="1"/>
  <c r="AE562" i="4" s="1"/>
  <c r="P562" i="4"/>
  <c r="O562" i="4"/>
  <c r="CM562" i="4" s="1"/>
  <c r="N562" i="4"/>
  <c r="CL562" i="4" s="1"/>
  <c r="CE561" i="4"/>
  <c r="CF561" i="4" s="1"/>
  <c r="AF561" i="4"/>
  <c r="AD561" i="4"/>
  <c r="AC561" i="4"/>
  <c r="U561" i="4"/>
  <c r="V561" i="4" s="1"/>
  <c r="AE561" i="4" s="1"/>
  <c r="P561" i="4"/>
  <c r="O561" i="4"/>
  <c r="CM561" i="4" s="1"/>
  <c r="N561" i="4"/>
  <c r="CL561" i="4" s="1"/>
  <c r="CE560" i="4"/>
  <c r="CF560" i="4" s="1"/>
  <c r="AF560" i="4"/>
  <c r="CR560" i="4" s="1"/>
  <c r="AD560" i="4"/>
  <c r="AC560" i="4"/>
  <c r="U560" i="4"/>
  <c r="V560" i="4" s="1"/>
  <c r="P560" i="4"/>
  <c r="O560" i="4"/>
  <c r="CM560" i="4" s="1"/>
  <c r="N560" i="4"/>
  <c r="CL560" i="4" s="1"/>
  <c r="CE559" i="4"/>
  <c r="CF559" i="4" s="1"/>
  <c r="AF559" i="4"/>
  <c r="AD559" i="4"/>
  <c r="AC559" i="4"/>
  <c r="U559" i="4"/>
  <c r="V559" i="4" s="1"/>
  <c r="AE559" i="4" s="1"/>
  <c r="P559" i="4"/>
  <c r="O559" i="4"/>
  <c r="CM559" i="4" s="1"/>
  <c r="N559" i="4"/>
  <c r="CL559" i="4" s="1"/>
  <c r="CE558" i="4"/>
  <c r="CF558" i="4" s="1"/>
  <c r="AF558" i="4"/>
  <c r="CR558" i="4" s="1"/>
  <c r="AC558" i="4"/>
  <c r="U558" i="4"/>
  <c r="V558" i="4" s="1"/>
  <c r="AE558" i="4" s="1"/>
  <c r="P558" i="4"/>
  <c r="O558" i="4"/>
  <c r="CM558" i="4" s="1"/>
  <c r="N558" i="4"/>
  <c r="CL558" i="4" s="1"/>
  <c r="CE557" i="4"/>
  <c r="CF557" i="4" s="1"/>
  <c r="AF557" i="4"/>
  <c r="AC557" i="4"/>
  <c r="U557" i="4"/>
  <c r="V557" i="4" s="1"/>
  <c r="AE557" i="4" s="1"/>
  <c r="P557" i="4"/>
  <c r="O557" i="4"/>
  <c r="CM557" i="4" s="1"/>
  <c r="N557" i="4"/>
  <c r="CL557" i="4" s="1"/>
  <c r="CE556" i="4"/>
  <c r="CF556" i="4" s="1"/>
  <c r="AF556" i="4"/>
  <c r="AI556" i="4" s="1"/>
  <c r="AC556" i="4"/>
  <c r="U556" i="4"/>
  <c r="V556" i="4" s="1"/>
  <c r="AE556" i="4" s="1"/>
  <c r="P556" i="4"/>
  <c r="O556" i="4"/>
  <c r="CM556" i="4" s="1"/>
  <c r="N556" i="4"/>
  <c r="CL556" i="4" s="1"/>
  <c r="CE555" i="4"/>
  <c r="CF555" i="4" s="1"/>
  <c r="AF555" i="4"/>
  <c r="CR555" i="4" s="1"/>
  <c r="AC555" i="4"/>
  <c r="U555" i="4"/>
  <c r="V555" i="4" s="1"/>
  <c r="AE555" i="4" s="1"/>
  <c r="P555" i="4"/>
  <c r="O555" i="4"/>
  <c r="CM555" i="4" s="1"/>
  <c r="N555" i="4"/>
  <c r="CL555" i="4" s="1"/>
  <c r="CE554" i="4"/>
  <c r="CF554" i="4" s="1"/>
  <c r="AC554" i="4"/>
  <c r="U554" i="4"/>
  <c r="P554" i="4"/>
  <c r="O554" i="4"/>
  <c r="CM554" i="4" s="1"/>
  <c r="N554" i="4"/>
  <c r="CL554" i="4" s="1"/>
  <c r="CE553" i="4"/>
  <c r="CF553" i="4" s="1"/>
  <c r="AQ553" i="4"/>
  <c r="AC553" i="4"/>
  <c r="U553" i="4"/>
  <c r="V553" i="4" s="1"/>
  <c r="AE553" i="4" s="1"/>
  <c r="P553" i="4"/>
  <c r="O553" i="4"/>
  <c r="CM553" i="4" s="1"/>
  <c r="N553" i="4"/>
  <c r="CL553" i="4" s="1"/>
  <c r="A553" i="4"/>
  <c r="CE552" i="4"/>
  <c r="CF552" i="4" s="1"/>
  <c r="AF552" i="4"/>
  <c r="CR552" i="4" s="1"/>
  <c r="AC552" i="4"/>
  <c r="U552" i="4"/>
  <c r="V552" i="4" s="1"/>
  <c r="AE552" i="4" s="1"/>
  <c r="P552" i="4"/>
  <c r="O552" i="4"/>
  <c r="CM552" i="4" s="1"/>
  <c r="N552" i="4"/>
  <c r="CL552" i="4" s="1"/>
  <c r="CE551" i="4"/>
  <c r="CF551" i="4" s="1"/>
  <c r="AF551" i="4"/>
  <c r="AC551" i="4"/>
  <c r="U551" i="4"/>
  <c r="V551" i="4" s="1"/>
  <c r="AE551" i="4" s="1"/>
  <c r="P551" i="4"/>
  <c r="O551" i="4"/>
  <c r="CM551" i="4" s="1"/>
  <c r="N551" i="4"/>
  <c r="CL551" i="4" s="1"/>
  <c r="CE550" i="4"/>
  <c r="CF550" i="4" s="1"/>
  <c r="AF550" i="4"/>
  <c r="CR550" i="4" s="1"/>
  <c r="AC550" i="4"/>
  <c r="U550" i="4"/>
  <c r="V550" i="4" s="1"/>
  <c r="AE550" i="4" s="1"/>
  <c r="P550" i="4"/>
  <c r="O550" i="4"/>
  <c r="CM550" i="4" s="1"/>
  <c r="N550" i="4"/>
  <c r="CL550" i="4" s="1"/>
  <c r="CE549" i="4"/>
  <c r="CF549" i="4" s="1"/>
  <c r="AF549" i="4"/>
  <c r="AC549" i="4"/>
  <c r="U549" i="4"/>
  <c r="V549" i="4" s="1"/>
  <c r="AE549" i="4" s="1"/>
  <c r="P549" i="4"/>
  <c r="O549" i="4"/>
  <c r="CM549" i="4" s="1"/>
  <c r="N549" i="4"/>
  <c r="CL549" i="4" s="1"/>
  <c r="CE548" i="4"/>
  <c r="CF548" i="4" s="1"/>
  <c r="AF548" i="4"/>
  <c r="CR548" i="4" s="1"/>
  <c r="AC548" i="4"/>
  <c r="U548" i="4"/>
  <c r="V548" i="4" s="1"/>
  <c r="AE548" i="4" s="1"/>
  <c r="P548" i="4"/>
  <c r="O548" i="4"/>
  <c r="CM548" i="4" s="1"/>
  <c r="N548" i="4"/>
  <c r="CL548" i="4" s="1"/>
  <c r="CE547" i="4"/>
  <c r="CF547" i="4" s="1"/>
  <c r="AF547" i="4"/>
  <c r="AC547" i="4"/>
  <c r="U547" i="4"/>
  <c r="V547" i="4" s="1"/>
  <c r="AE547" i="4" s="1"/>
  <c r="P547" i="4"/>
  <c r="O547" i="4"/>
  <c r="CM547" i="4" s="1"/>
  <c r="N547" i="4"/>
  <c r="CL547" i="4" s="1"/>
  <c r="CE546" i="4"/>
  <c r="CF546" i="4" s="1"/>
  <c r="AC546" i="4"/>
  <c r="U546" i="4"/>
  <c r="V546" i="4" s="1"/>
  <c r="AE546" i="4" s="1"/>
  <c r="P546" i="4"/>
  <c r="O546" i="4"/>
  <c r="CM546" i="4" s="1"/>
  <c r="N546" i="4"/>
  <c r="CL546" i="4" s="1"/>
  <c r="CE545" i="4"/>
  <c r="CF545" i="4" s="1"/>
  <c r="AC545" i="4"/>
  <c r="U545" i="4"/>
  <c r="V545" i="4" s="1"/>
  <c r="AE545" i="4" s="1"/>
  <c r="P545" i="4"/>
  <c r="O545" i="4"/>
  <c r="CM545" i="4" s="1"/>
  <c r="N545" i="4"/>
  <c r="CL545" i="4" s="1"/>
  <c r="CE544" i="4"/>
  <c r="CF544" i="4" s="1"/>
  <c r="AC544" i="4"/>
  <c r="U544" i="4"/>
  <c r="V544" i="4" s="1"/>
  <c r="AE544" i="4" s="1"/>
  <c r="P544" i="4"/>
  <c r="O544" i="4"/>
  <c r="CM544" i="4" s="1"/>
  <c r="N544" i="4"/>
  <c r="CL544" i="4" s="1"/>
  <c r="CE543" i="4"/>
  <c r="CF543" i="4" s="1"/>
  <c r="AQ543" i="4"/>
  <c r="AC543" i="4"/>
  <c r="U543" i="4"/>
  <c r="V543" i="4" s="1"/>
  <c r="AE543" i="4" s="1"/>
  <c r="P543" i="4"/>
  <c r="O543" i="4"/>
  <c r="CM543" i="4" s="1"/>
  <c r="N543" i="4"/>
  <c r="CL543" i="4" s="1"/>
  <c r="A543" i="4"/>
  <c r="CE542" i="4"/>
  <c r="CF542" i="4" s="1"/>
  <c r="AF542" i="4"/>
  <c r="CR542" i="4" s="1"/>
  <c r="AC542" i="4"/>
  <c r="U542" i="4"/>
  <c r="V542" i="4" s="1"/>
  <c r="AE542" i="4" s="1"/>
  <c r="P542" i="4"/>
  <c r="O542" i="4"/>
  <c r="CM542" i="4" s="1"/>
  <c r="N542" i="4"/>
  <c r="CL542" i="4" s="1"/>
  <c r="CE541" i="4"/>
  <c r="CF541" i="4" s="1"/>
  <c r="AF541" i="4"/>
  <c r="CR541" i="4" s="1"/>
  <c r="AC541" i="4"/>
  <c r="U541" i="4"/>
  <c r="V541" i="4" s="1"/>
  <c r="AE541" i="4" s="1"/>
  <c r="P541" i="4"/>
  <c r="O541" i="4"/>
  <c r="CM541" i="4" s="1"/>
  <c r="N541" i="4"/>
  <c r="CL541" i="4" s="1"/>
  <c r="CE540" i="4"/>
  <c r="CF540" i="4" s="1"/>
  <c r="AF540" i="4"/>
  <c r="AC540" i="4"/>
  <c r="U540" i="4"/>
  <c r="V540" i="4" s="1"/>
  <c r="AE540" i="4" s="1"/>
  <c r="P540" i="4"/>
  <c r="O540" i="4"/>
  <c r="CM540" i="4" s="1"/>
  <c r="N540" i="4"/>
  <c r="CL540" i="4" s="1"/>
  <c r="CE539" i="4"/>
  <c r="CF539" i="4" s="1"/>
  <c r="AF539" i="4"/>
  <c r="CR539" i="4" s="1"/>
  <c r="AC539" i="4"/>
  <c r="U539" i="4"/>
  <c r="V539" i="4" s="1"/>
  <c r="AE539" i="4" s="1"/>
  <c r="P539" i="4"/>
  <c r="O539" i="4"/>
  <c r="CM539" i="4" s="1"/>
  <c r="N539" i="4"/>
  <c r="CL539" i="4" s="1"/>
  <c r="CE538" i="4"/>
  <c r="CF538" i="4" s="1"/>
  <c r="AF538" i="4"/>
  <c r="AI538" i="4" s="1"/>
  <c r="AC538" i="4"/>
  <c r="U538" i="4"/>
  <c r="V538" i="4" s="1"/>
  <c r="AE538" i="4" s="1"/>
  <c r="P538" i="4"/>
  <c r="O538" i="4"/>
  <c r="CM538" i="4" s="1"/>
  <c r="N538" i="4"/>
  <c r="CL538" i="4" s="1"/>
  <c r="CE537" i="4"/>
  <c r="CF537" i="4" s="1"/>
  <c r="AF537" i="4"/>
  <c r="AC537" i="4"/>
  <c r="U537" i="4"/>
  <c r="V537" i="4" s="1"/>
  <c r="AE537" i="4" s="1"/>
  <c r="P537" i="4"/>
  <c r="O537" i="4"/>
  <c r="CM537" i="4" s="1"/>
  <c r="N537" i="4"/>
  <c r="CL537" i="4" s="1"/>
  <c r="CE536" i="4"/>
  <c r="CF536" i="4" s="1"/>
  <c r="AF536" i="4"/>
  <c r="AC536" i="4"/>
  <c r="U536" i="4"/>
  <c r="V536" i="4" s="1"/>
  <c r="AE536" i="4" s="1"/>
  <c r="P536" i="4"/>
  <c r="O536" i="4"/>
  <c r="CM536" i="4" s="1"/>
  <c r="N536" i="4"/>
  <c r="CL536" i="4" s="1"/>
  <c r="CE535" i="4"/>
  <c r="CF535" i="4" s="1"/>
  <c r="AC535" i="4"/>
  <c r="U535" i="4"/>
  <c r="P535" i="4"/>
  <c r="O535" i="4"/>
  <c r="CM535" i="4" s="1"/>
  <c r="N535" i="4"/>
  <c r="CL535" i="4" s="1"/>
  <c r="CE534" i="4"/>
  <c r="CF534" i="4" s="1"/>
  <c r="AC534" i="4"/>
  <c r="U534" i="4"/>
  <c r="P534" i="4"/>
  <c r="O534" i="4"/>
  <c r="CM534" i="4" s="1"/>
  <c r="N534" i="4"/>
  <c r="CL534" i="4" s="1"/>
  <c r="CE533" i="4"/>
  <c r="CF533" i="4" s="1"/>
  <c r="AQ533" i="4"/>
  <c r="AC533" i="4"/>
  <c r="U533" i="4"/>
  <c r="P533" i="4"/>
  <c r="O533" i="4"/>
  <c r="CM533" i="4" s="1"/>
  <c r="N533" i="4"/>
  <c r="CL533" i="4" s="1"/>
  <c r="A533" i="4"/>
  <c r="CE532" i="4"/>
  <c r="CF532" i="4" s="1"/>
  <c r="AF532" i="4"/>
  <c r="AC532" i="4"/>
  <c r="U532" i="4"/>
  <c r="V532" i="4" s="1"/>
  <c r="AE532" i="4" s="1"/>
  <c r="P532" i="4"/>
  <c r="O532" i="4"/>
  <c r="CM532" i="4" s="1"/>
  <c r="N532" i="4"/>
  <c r="CL532" i="4" s="1"/>
  <c r="CE531" i="4"/>
  <c r="CF531" i="4" s="1"/>
  <c r="AF531" i="4"/>
  <c r="AC531" i="4"/>
  <c r="U531" i="4"/>
  <c r="V531" i="4" s="1"/>
  <c r="AE531" i="4" s="1"/>
  <c r="P531" i="4"/>
  <c r="O531" i="4"/>
  <c r="CM531" i="4" s="1"/>
  <c r="N531" i="4"/>
  <c r="CL531" i="4" s="1"/>
  <c r="CE530" i="4"/>
  <c r="CF530" i="4" s="1"/>
  <c r="AF530" i="4"/>
  <c r="AI530" i="4" s="1"/>
  <c r="AC530" i="4"/>
  <c r="U530" i="4"/>
  <c r="V530" i="4" s="1"/>
  <c r="AE530" i="4" s="1"/>
  <c r="P530" i="4"/>
  <c r="O530" i="4"/>
  <c r="CM530" i="4" s="1"/>
  <c r="N530" i="4"/>
  <c r="CL530" i="4" s="1"/>
  <c r="CE529" i="4"/>
  <c r="CF529" i="4" s="1"/>
  <c r="AF529" i="4"/>
  <c r="AC529" i="4"/>
  <c r="U529" i="4"/>
  <c r="V529" i="4" s="1"/>
  <c r="AE529" i="4" s="1"/>
  <c r="P529" i="4"/>
  <c r="O529" i="4"/>
  <c r="CM529" i="4" s="1"/>
  <c r="N529" i="4"/>
  <c r="CL529" i="4" s="1"/>
  <c r="CE528" i="4"/>
  <c r="CF528" i="4" s="1"/>
  <c r="AF528" i="4"/>
  <c r="AC528" i="4"/>
  <c r="U528" i="4"/>
  <c r="V528" i="4" s="1"/>
  <c r="AE528" i="4" s="1"/>
  <c r="P528" i="4"/>
  <c r="O528" i="4"/>
  <c r="CM528" i="4" s="1"/>
  <c r="N528" i="4"/>
  <c r="CL528" i="4" s="1"/>
  <c r="CE527" i="4"/>
  <c r="CF527" i="4" s="1"/>
  <c r="AF527" i="4"/>
  <c r="CR527" i="4" s="1"/>
  <c r="AC527" i="4"/>
  <c r="U527" i="4"/>
  <c r="V527" i="4" s="1"/>
  <c r="AE527" i="4" s="1"/>
  <c r="P527" i="4"/>
  <c r="O527" i="4"/>
  <c r="CM527" i="4" s="1"/>
  <c r="N527" i="4"/>
  <c r="CL527" i="4" s="1"/>
  <c r="CE526" i="4"/>
  <c r="CF526" i="4" s="1"/>
  <c r="AC526" i="4"/>
  <c r="U526" i="4"/>
  <c r="P526" i="4"/>
  <c r="O526" i="4"/>
  <c r="CM526" i="4" s="1"/>
  <c r="N526" i="4"/>
  <c r="CL526" i="4" s="1"/>
  <c r="CE525" i="4"/>
  <c r="CF525" i="4" s="1"/>
  <c r="AF525" i="4"/>
  <c r="AC525" i="4"/>
  <c r="U525" i="4"/>
  <c r="V525" i="4" s="1"/>
  <c r="AE525" i="4" s="1"/>
  <c r="P525" i="4"/>
  <c r="O525" i="4"/>
  <c r="CM525" i="4" s="1"/>
  <c r="N525" i="4"/>
  <c r="CL525" i="4" s="1"/>
  <c r="CE524" i="4"/>
  <c r="CF524" i="4" s="1"/>
  <c r="AC524" i="4"/>
  <c r="U524" i="4"/>
  <c r="P524" i="4"/>
  <c r="O524" i="4"/>
  <c r="CM524" i="4" s="1"/>
  <c r="N524" i="4"/>
  <c r="CL524" i="4" s="1"/>
  <c r="CE523" i="4"/>
  <c r="CF523" i="4" s="1"/>
  <c r="AQ523" i="4"/>
  <c r="AC523" i="4"/>
  <c r="U523" i="4"/>
  <c r="P523" i="4"/>
  <c r="O523" i="4"/>
  <c r="CM523" i="4" s="1"/>
  <c r="N523" i="4"/>
  <c r="CL523" i="4" s="1"/>
  <c r="A523" i="4"/>
  <c r="CE522" i="4"/>
  <c r="CF522" i="4" s="1"/>
  <c r="AF522" i="4"/>
  <c r="AI522" i="4" s="1"/>
  <c r="AC522" i="4"/>
  <c r="U522" i="4"/>
  <c r="V522" i="4" s="1"/>
  <c r="AE522" i="4" s="1"/>
  <c r="P522" i="4"/>
  <c r="O522" i="4"/>
  <c r="CM522" i="4" s="1"/>
  <c r="N522" i="4"/>
  <c r="CL522" i="4" s="1"/>
  <c r="CE521" i="4"/>
  <c r="CF521" i="4" s="1"/>
  <c r="AF521" i="4"/>
  <c r="AC521" i="4"/>
  <c r="U521" i="4"/>
  <c r="V521" i="4" s="1"/>
  <c r="AE521" i="4" s="1"/>
  <c r="P521" i="4"/>
  <c r="O521" i="4"/>
  <c r="CM521" i="4" s="1"/>
  <c r="N521" i="4"/>
  <c r="CL521" i="4" s="1"/>
  <c r="CE520" i="4"/>
  <c r="CF520" i="4" s="1"/>
  <c r="AF520" i="4"/>
  <c r="AC520" i="4"/>
  <c r="U520" i="4"/>
  <c r="V520" i="4" s="1"/>
  <c r="AE520" i="4" s="1"/>
  <c r="P520" i="4"/>
  <c r="O520" i="4"/>
  <c r="CM520" i="4" s="1"/>
  <c r="N520" i="4"/>
  <c r="CL520" i="4" s="1"/>
  <c r="CE519" i="4"/>
  <c r="CF519" i="4" s="1"/>
  <c r="AF519" i="4"/>
  <c r="AC519" i="4"/>
  <c r="U519" i="4"/>
  <c r="V519" i="4" s="1"/>
  <c r="AE519" i="4" s="1"/>
  <c r="P519" i="4"/>
  <c r="O519" i="4"/>
  <c r="CM519" i="4" s="1"/>
  <c r="N519" i="4"/>
  <c r="CL519" i="4" s="1"/>
  <c r="CE518" i="4"/>
  <c r="CF518" i="4" s="1"/>
  <c r="AF518" i="4"/>
  <c r="AI518" i="4" s="1"/>
  <c r="AC518" i="4"/>
  <c r="U518" i="4"/>
  <c r="V518" i="4" s="1"/>
  <c r="AE518" i="4" s="1"/>
  <c r="P518" i="4"/>
  <c r="O518" i="4"/>
  <c r="CM518" i="4" s="1"/>
  <c r="N518" i="4"/>
  <c r="CL518" i="4" s="1"/>
  <c r="CE517" i="4"/>
  <c r="CF517" i="4" s="1"/>
  <c r="AF517" i="4"/>
  <c r="AC517" i="4"/>
  <c r="U517" i="4"/>
  <c r="V517" i="4" s="1"/>
  <c r="AE517" i="4" s="1"/>
  <c r="P517" i="4"/>
  <c r="O517" i="4"/>
  <c r="CM517" i="4" s="1"/>
  <c r="N517" i="4"/>
  <c r="CL517" i="4" s="1"/>
  <c r="CE516" i="4"/>
  <c r="CF516" i="4" s="1"/>
  <c r="AF516" i="4"/>
  <c r="CR516" i="4" s="1"/>
  <c r="AC516" i="4"/>
  <c r="U516" i="4"/>
  <c r="V516" i="4" s="1"/>
  <c r="AE516" i="4" s="1"/>
  <c r="P516" i="4"/>
  <c r="O516" i="4"/>
  <c r="CM516" i="4" s="1"/>
  <c r="N516" i="4"/>
  <c r="CL516" i="4" s="1"/>
  <c r="CE515" i="4"/>
  <c r="CF515" i="4" s="1"/>
  <c r="AF515" i="4"/>
  <c r="AC515" i="4"/>
  <c r="U515" i="4"/>
  <c r="V515" i="4" s="1"/>
  <c r="AE515" i="4" s="1"/>
  <c r="P515" i="4"/>
  <c r="O515" i="4"/>
  <c r="CM515" i="4" s="1"/>
  <c r="N515" i="4"/>
  <c r="CL515" i="4" s="1"/>
  <c r="CE514" i="4"/>
  <c r="CF514" i="4" s="1"/>
  <c r="AF514" i="4"/>
  <c r="L310" i="3" s="1"/>
  <c r="AC514" i="4"/>
  <c r="U514" i="4"/>
  <c r="V514" i="4" s="1"/>
  <c r="AE514" i="4" s="1"/>
  <c r="P514" i="4"/>
  <c r="O514" i="4"/>
  <c r="CM514" i="4" s="1"/>
  <c r="N514" i="4"/>
  <c r="CL514" i="4" s="1"/>
  <c r="CE513" i="4"/>
  <c r="CF513" i="4" s="1"/>
  <c r="AQ513" i="4"/>
  <c r="AF513" i="4"/>
  <c r="O309" i="3" s="1"/>
  <c r="P309" i="3" s="1"/>
  <c r="AC513" i="4"/>
  <c r="U513" i="4"/>
  <c r="V513" i="4" s="1"/>
  <c r="AE513" i="4" s="1"/>
  <c r="P513" i="4"/>
  <c r="O513" i="4"/>
  <c r="CM513" i="4" s="1"/>
  <c r="N513" i="4"/>
  <c r="CL513" i="4" s="1"/>
  <c r="A513" i="4"/>
  <c r="CE512" i="4"/>
  <c r="CF512" i="4" s="1"/>
  <c r="AF512" i="4"/>
  <c r="AC512" i="4"/>
  <c r="U512" i="4"/>
  <c r="V512" i="4" s="1"/>
  <c r="AE512" i="4" s="1"/>
  <c r="P512" i="4"/>
  <c r="O512" i="4"/>
  <c r="CM512" i="4" s="1"/>
  <c r="N512" i="4"/>
  <c r="CL512" i="4" s="1"/>
  <c r="CE511" i="4"/>
  <c r="CF511" i="4" s="1"/>
  <c r="AF511" i="4"/>
  <c r="AC511" i="4"/>
  <c r="U511" i="4"/>
  <c r="V511" i="4" s="1"/>
  <c r="AE511" i="4" s="1"/>
  <c r="P511" i="4"/>
  <c r="O511" i="4"/>
  <c r="CM511" i="4" s="1"/>
  <c r="N511" i="4"/>
  <c r="CL511" i="4" s="1"/>
  <c r="CE510" i="4"/>
  <c r="CF510" i="4" s="1"/>
  <c r="AF510" i="4"/>
  <c r="CR510" i="4" s="1"/>
  <c r="AC510" i="4"/>
  <c r="U510" i="4"/>
  <c r="V510" i="4" s="1"/>
  <c r="AE510" i="4" s="1"/>
  <c r="P510" i="4"/>
  <c r="O510" i="4"/>
  <c r="CM510" i="4" s="1"/>
  <c r="N510" i="4"/>
  <c r="CL510" i="4" s="1"/>
  <c r="CE509" i="4"/>
  <c r="CF509" i="4" s="1"/>
  <c r="AC509" i="4"/>
  <c r="U509" i="4"/>
  <c r="V509" i="4" s="1"/>
  <c r="AE509" i="4" s="1"/>
  <c r="P509" i="4"/>
  <c r="O509" i="4"/>
  <c r="CM509" i="4" s="1"/>
  <c r="N509" i="4"/>
  <c r="CL509" i="4" s="1"/>
  <c r="CE508" i="4"/>
  <c r="CF508" i="4" s="1"/>
  <c r="AC508" i="4"/>
  <c r="U508" i="4"/>
  <c r="V508" i="4" s="1"/>
  <c r="AE508" i="4" s="1"/>
  <c r="P508" i="4"/>
  <c r="O508" i="4"/>
  <c r="CM508" i="4" s="1"/>
  <c r="N508" i="4"/>
  <c r="CL508" i="4" s="1"/>
  <c r="CE507" i="4"/>
  <c r="CF507" i="4" s="1"/>
  <c r="AC507" i="4"/>
  <c r="U507" i="4"/>
  <c r="V507" i="4" s="1"/>
  <c r="AE507" i="4" s="1"/>
  <c r="P507" i="4"/>
  <c r="O507" i="4"/>
  <c r="CM507" i="4" s="1"/>
  <c r="N507" i="4"/>
  <c r="CL507" i="4" s="1"/>
  <c r="CE506" i="4"/>
  <c r="CF506" i="4" s="1"/>
  <c r="AC506" i="4"/>
  <c r="U506" i="4"/>
  <c r="V506" i="4" s="1"/>
  <c r="AE506" i="4" s="1"/>
  <c r="P506" i="4"/>
  <c r="O506" i="4"/>
  <c r="CM506" i="4" s="1"/>
  <c r="N506" i="4"/>
  <c r="CL506" i="4" s="1"/>
  <c r="CE505" i="4"/>
  <c r="CF505" i="4" s="1"/>
  <c r="AC505" i="4"/>
  <c r="U505" i="4"/>
  <c r="P505" i="4"/>
  <c r="O505" i="4"/>
  <c r="CM505" i="4" s="1"/>
  <c r="N505" i="4"/>
  <c r="CL505" i="4" s="1"/>
  <c r="CE504" i="4"/>
  <c r="CF504" i="4" s="1"/>
  <c r="AC504" i="4"/>
  <c r="U504" i="4"/>
  <c r="V504" i="4" s="1"/>
  <c r="AE504" i="4" s="1"/>
  <c r="P504" i="4"/>
  <c r="O504" i="4"/>
  <c r="CM504" i="4" s="1"/>
  <c r="N504" i="4"/>
  <c r="CL504" i="4" s="1"/>
  <c r="CE503" i="4"/>
  <c r="CF503" i="4" s="1"/>
  <c r="AQ503" i="4"/>
  <c r="AC503" i="4"/>
  <c r="U503" i="4"/>
  <c r="V503" i="4" s="1"/>
  <c r="AE503" i="4" s="1"/>
  <c r="P503" i="4"/>
  <c r="O503" i="4"/>
  <c r="CM503" i="4" s="1"/>
  <c r="N503" i="4"/>
  <c r="CL503" i="4" s="1"/>
  <c r="A503" i="4"/>
  <c r="CE502" i="4"/>
  <c r="CF502" i="4" s="1"/>
  <c r="AF502" i="4"/>
  <c r="AC502" i="4"/>
  <c r="U502" i="4"/>
  <c r="V502" i="4" s="1"/>
  <c r="AE502" i="4" s="1"/>
  <c r="P502" i="4"/>
  <c r="O502" i="4"/>
  <c r="CM502" i="4" s="1"/>
  <c r="N502" i="4"/>
  <c r="CL502" i="4" s="1"/>
  <c r="CE501" i="4"/>
  <c r="CF501" i="4" s="1"/>
  <c r="AF501" i="4"/>
  <c r="CR501" i="4" s="1"/>
  <c r="AC501" i="4"/>
  <c r="U501" i="4"/>
  <c r="V501" i="4" s="1"/>
  <c r="AE501" i="4" s="1"/>
  <c r="P501" i="4"/>
  <c r="O501" i="4"/>
  <c r="CM501" i="4" s="1"/>
  <c r="N501" i="4"/>
  <c r="CL501" i="4" s="1"/>
  <c r="CE500" i="4"/>
  <c r="CF500" i="4" s="1"/>
  <c r="AF500" i="4"/>
  <c r="AI500" i="4" s="1"/>
  <c r="AC500" i="4"/>
  <c r="U500" i="4"/>
  <c r="V500" i="4" s="1"/>
  <c r="AE500" i="4" s="1"/>
  <c r="P500" i="4"/>
  <c r="O500" i="4"/>
  <c r="CM500" i="4" s="1"/>
  <c r="N500" i="4"/>
  <c r="CL500" i="4" s="1"/>
  <c r="CE499" i="4"/>
  <c r="CF499" i="4" s="1"/>
  <c r="AC499" i="4"/>
  <c r="U499" i="4"/>
  <c r="V499" i="4" s="1"/>
  <c r="AE499" i="4" s="1"/>
  <c r="P499" i="4"/>
  <c r="O499" i="4"/>
  <c r="CM499" i="4" s="1"/>
  <c r="N499" i="4"/>
  <c r="CL499" i="4" s="1"/>
  <c r="CE498" i="4"/>
  <c r="CF498" i="4" s="1"/>
  <c r="AC498" i="4"/>
  <c r="U498" i="4"/>
  <c r="V498" i="4" s="1"/>
  <c r="AE498" i="4" s="1"/>
  <c r="P498" i="4"/>
  <c r="O498" i="4"/>
  <c r="CM498" i="4" s="1"/>
  <c r="N498" i="4"/>
  <c r="CL498" i="4" s="1"/>
  <c r="CE497" i="4"/>
  <c r="CF497" i="4" s="1"/>
  <c r="AC497" i="4"/>
  <c r="U497" i="4"/>
  <c r="V497" i="4" s="1"/>
  <c r="AE497" i="4" s="1"/>
  <c r="P497" i="4"/>
  <c r="O497" i="4"/>
  <c r="CM497" i="4" s="1"/>
  <c r="N497" i="4"/>
  <c r="CL497" i="4" s="1"/>
  <c r="CE496" i="4"/>
  <c r="CF496" i="4" s="1"/>
  <c r="AC496" i="4"/>
  <c r="U496" i="4"/>
  <c r="V496" i="4" s="1"/>
  <c r="AE496" i="4" s="1"/>
  <c r="P496" i="4"/>
  <c r="O496" i="4"/>
  <c r="CM496" i="4" s="1"/>
  <c r="N496" i="4"/>
  <c r="CL496" i="4" s="1"/>
  <c r="CE495" i="4"/>
  <c r="CF495" i="4" s="1"/>
  <c r="AC495" i="4"/>
  <c r="U495" i="4"/>
  <c r="V495" i="4" s="1"/>
  <c r="AE495" i="4" s="1"/>
  <c r="P495" i="4"/>
  <c r="O495" i="4"/>
  <c r="CM495" i="4" s="1"/>
  <c r="N495" i="4"/>
  <c r="CL495" i="4" s="1"/>
  <c r="CE494" i="4"/>
  <c r="CF494" i="4" s="1"/>
  <c r="AC494" i="4"/>
  <c r="U494" i="4"/>
  <c r="V494" i="4" s="1"/>
  <c r="AE494" i="4" s="1"/>
  <c r="P494" i="4"/>
  <c r="O494" i="4"/>
  <c r="CM494" i="4" s="1"/>
  <c r="N494" i="4"/>
  <c r="CL494" i="4" s="1"/>
  <c r="CE493" i="4"/>
  <c r="CF493" i="4" s="1"/>
  <c r="AQ493" i="4"/>
  <c r="AC493" i="4"/>
  <c r="U493" i="4"/>
  <c r="V493" i="4" s="1"/>
  <c r="AE493" i="4" s="1"/>
  <c r="P493" i="4"/>
  <c r="O493" i="4"/>
  <c r="CM493" i="4" s="1"/>
  <c r="N493" i="4"/>
  <c r="CL493" i="4" s="1"/>
  <c r="A493" i="4"/>
  <c r="CE492" i="4"/>
  <c r="CF492" i="4" s="1"/>
  <c r="AF492" i="4"/>
  <c r="AC492" i="4"/>
  <c r="U492" i="4"/>
  <c r="V492" i="4" s="1"/>
  <c r="AE492" i="4" s="1"/>
  <c r="P492" i="4"/>
  <c r="O492" i="4"/>
  <c r="CM492" i="4" s="1"/>
  <c r="N492" i="4"/>
  <c r="CL492" i="4" s="1"/>
  <c r="CE491" i="4"/>
  <c r="CF491" i="4" s="1"/>
  <c r="AF491" i="4"/>
  <c r="CR491" i="4" s="1"/>
  <c r="AC491" i="4"/>
  <c r="U491" i="4"/>
  <c r="V491" i="4" s="1"/>
  <c r="AE491" i="4" s="1"/>
  <c r="P491" i="4"/>
  <c r="O491" i="4"/>
  <c r="CM491" i="4" s="1"/>
  <c r="N491" i="4"/>
  <c r="CL491" i="4" s="1"/>
  <c r="CE490" i="4"/>
  <c r="CF490" i="4" s="1"/>
  <c r="AF490" i="4"/>
  <c r="CR490" i="4" s="1"/>
  <c r="AC490" i="4"/>
  <c r="U490" i="4"/>
  <c r="V490" i="4" s="1"/>
  <c r="AE490" i="4" s="1"/>
  <c r="P490" i="4"/>
  <c r="O490" i="4"/>
  <c r="CM490" i="4" s="1"/>
  <c r="N490" i="4"/>
  <c r="CL490" i="4" s="1"/>
  <c r="CE489" i="4"/>
  <c r="CF489" i="4" s="1"/>
  <c r="AF489" i="4"/>
  <c r="CR489" i="4" s="1"/>
  <c r="AC489" i="4"/>
  <c r="U489" i="4"/>
  <c r="V489" i="4" s="1"/>
  <c r="AE489" i="4" s="1"/>
  <c r="P489" i="4"/>
  <c r="O489" i="4"/>
  <c r="CM489" i="4" s="1"/>
  <c r="N489" i="4"/>
  <c r="CL489" i="4" s="1"/>
  <c r="CE488" i="4"/>
  <c r="CF488" i="4" s="1"/>
  <c r="AC488" i="4"/>
  <c r="U488" i="4"/>
  <c r="V488" i="4" s="1"/>
  <c r="AE488" i="4" s="1"/>
  <c r="P488" i="4"/>
  <c r="O488" i="4"/>
  <c r="CM488" i="4" s="1"/>
  <c r="N488" i="4"/>
  <c r="CL488" i="4" s="1"/>
  <c r="CE487" i="4"/>
  <c r="CF487" i="4" s="1"/>
  <c r="AF487" i="4"/>
  <c r="CR487" i="4" s="1"/>
  <c r="AC487" i="4"/>
  <c r="U487" i="4"/>
  <c r="V487" i="4" s="1"/>
  <c r="AE487" i="4" s="1"/>
  <c r="P487" i="4"/>
  <c r="O487" i="4"/>
  <c r="CM487" i="4" s="1"/>
  <c r="N487" i="4"/>
  <c r="CL487" i="4" s="1"/>
  <c r="CE486" i="4"/>
  <c r="CF486" i="4" s="1"/>
  <c r="AC486" i="4"/>
  <c r="U486" i="4"/>
  <c r="V486" i="4" s="1"/>
  <c r="AE486" i="4" s="1"/>
  <c r="P486" i="4"/>
  <c r="O486" i="4"/>
  <c r="CM486" i="4" s="1"/>
  <c r="N486" i="4"/>
  <c r="CL486" i="4" s="1"/>
  <c r="CE485" i="4"/>
  <c r="CF485" i="4" s="1"/>
  <c r="AC485" i="4"/>
  <c r="U485" i="4"/>
  <c r="V485" i="4" s="1"/>
  <c r="AE485" i="4" s="1"/>
  <c r="P485" i="4"/>
  <c r="O485" i="4"/>
  <c r="CM485" i="4" s="1"/>
  <c r="N485" i="4"/>
  <c r="CL485" i="4" s="1"/>
  <c r="CE484" i="4"/>
  <c r="CF484" i="4" s="1"/>
  <c r="AC484" i="4"/>
  <c r="U484" i="4"/>
  <c r="V484" i="4" s="1"/>
  <c r="AE484" i="4" s="1"/>
  <c r="P484" i="4"/>
  <c r="O484" i="4"/>
  <c r="CM484" i="4" s="1"/>
  <c r="N484" i="4"/>
  <c r="CL484" i="4" s="1"/>
  <c r="CE483" i="4"/>
  <c r="CF483" i="4" s="1"/>
  <c r="AQ483" i="4"/>
  <c r="AC483" i="4"/>
  <c r="U483" i="4"/>
  <c r="P483" i="4"/>
  <c r="O483" i="4"/>
  <c r="CM483" i="4" s="1"/>
  <c r="N483" i="4"/>
  <c r="CL483" i="4" s="1"/>
  <c r="A483" i="4"/>
  <c r="CE482" i="4"/>
  <c r="CF482" i="4" s="1"/>
  <c r="AF482" i="4"/>
  <c r="CR482" i="4" s="1"/>
  <c r="AC482" i="4"/>
  <c r="U482" i="4"/>
  <c r="V482" i="4" s="1"/>
  <c r="AE482" i="4" s="1"/>
  <c r="P482" i="4"/>
  <c r="O482" i="4"/>
  <c r="CM482" i="4" s="1"/>
  <c r="N482" i="4"/>
  <c r="CL482" i="4" s="1"/>
  <c r="CE481" i="4"/>
  <c r="CF481" i="4" s="1"/>
  <c r="AF481" i="4"/>
  <c r="CR481" i="4" s="1"/>
  <c r="AC481" i="4"/>
  <c r="U481" i="4"/>
  <c r="V481" i="4" s="1"/>
  <c r="AE481" i="4" s="1"/>
  <c r="P481" i="4"/>
  <c r="O481" i="4"/>
  <c r="CM481" i="4" s="1"/>
  <c r="N481" i="4"/>
  <c r="CL481" i="4" s="1"/>
  <c r="CE480" i="4"/>
  <c r="CF480" i="4" s="1"/>
  <c r="AF480" i="4"/>
  <c r="AC480" i="4"/>
  <c r="U480" i="4"/>
  <c r="V480" i="4" s="1"/>
  <c r="AE480" i="4" s="1"/>
  <c r="P480" i="4"/>
  <c r="O480" i="4"/>
  <c r="CM480" i="4" s="1"/>
  <c r="N480" i="4"/>
  <c r="CL480" i="4" s="1"/>
  <c r="CE479" i="4"/>
  <c r="CF479" i="4" s="1"/>
  <c r="AC479" i="4"/>
  <c r="U479" i="4"/>
  <c r="P479" i="4"/>
  <c r="O479" i="4"/>
  <c r="CM479" i="4" s="1"/>
  <c r="N479" i="4"/>
  <c r="CL479" i="4" s="1"/>
  <c r="CE478" i="4"/>
  <c r="CF478" i="4" s="1"/>
  <c r="AC478" i="4"/>
  <c r="AF478" i="4"/>
  <c r="CR478" i="4" s="1"/>
  <c r="P478" i="4"/>
  <c r="O478" i="4"/>
  <c r="CM478" i="4" s="1"/>
  <c r="N478" i="4"/>
  <c r="CL478" i="4" s="1"/>
  <c r="CE477" i="4"/>
  <c r="CF477" i="4" s="1"/>
  <c r="AC477" i="4"/>
  <c r="AF477" i="4"/>
  <c r="P477" i="4"/>
  <c r="O477" i="4"/>
  <c r="CM477" i="4" s="1"/>
  <c r="N477" i="4"/>
  <c r="CL477" i="4" s="1"/>
  <c r="CE476" i="4"/>
  <c r="CF476" i="4" s="1"/>
  <c r="AC476" i="4"/>
  <c r="AF476" i="4"/>
  <c r="P476" i="4"/>
  <c r="O476" i="4"/>
  <c r="CM476" i="4" s="1"/>
  <c r="N476" i="4"/>
  <c r="CL476" i="4" s="1"/>
  <c r="CE475" i="4"/>
  <c r="CF475" i="4" s="1"/>
  <c r="AC475" i="4"/>
  <c r="P475" i="4"/>
  <c r="O475" i="4"/>
  <c r="CM475" i="4" s="1"/>
  <c r="N475" i="4"/>
  <c r="CL475" i="4" s="1"/>
  <c r="CE474" i="4"/>
  <c r="CF474" i="4" s="1"/>
  <c r="AC474" i="4"/>
  <c r="U474" i="4"/>
  <c r="V474" i="4" s="1"/>
  <c r="AE474" i="4" s="1"/>
  <c r="P474" i="4"/>
  <c r="O474" i="4"/>
  <c r="CM474" i="4" s="1"/>
  <c r="N474" i="4"/>
  <c r="CL474" i="4" s="1"/>
  <c r="CE473" i="4"/>
  <c r="CF473" i="4" s="1"/>
  <c r="AQ473" i="4"/>
  <c r="AC473" i="4"/>
  <c r="U473" i="4"/>
  <c r="V473" i="4" s="1"/>
  <c r="AE473" i="4" s="1"/>
  <c r="P473" i="4"/>
  <c r="O473" i="4"/>
  <c r="CM473" i="4" s="1"/>
  <c r="N473" i="4"/>
  <c r="CL473" i="4" s="1"/>
  <c r="A473" i="4"/>
  <c r="CE472" i="4"/>
  <c r="CF472" i="4" s="1"/>
  <c r="AF472" i="4"/>
  <c r="CR472" i="4" s="1"/>
  <c r="AC472" i="4"/>
  <c r="U472" i="4"/>
  <c r="V472" i="4" s="1"/>
  <c r="AE472" i="4" s="1"/>
  <c r="P472" i="4"/>
  <c r="O472" i="4"/>
  <c r="CM472" i="4" s="1"/>
  <c r="N472" i="4"/>
  <c r="CL472" i="4" s="1"/>
  <c r="CE471" i="4"/>
  <c r="CF471" i="4" s="1"/>
  <c r="AF471" i="4"/>
  <c r="CR471" i="4" s="1"/>
  <c r="AC471" i="4"/>
  <c r="U471" i="4"/>
  <c r="V471" i="4" s="1"/>
  <c r="AE471" i="4" s="1"/>
  <c r="P471" i="4"/>
  <c r="O471" i="4"/>
  <c r="CM471" i="4" s="1"/>
  <c r="N471" i="4"/>
  <c r="CL471" i="4" s="1"/>
  <c r="CE470" i="4"/>
  <c r="CF470" i="4" s="1"/>
  <c r="AF470" i="4"/>
  <c r="AC470" i="4"/>
  <c r="U470" i="4"/>
  <c r="V470" i="4" s="1"/>
  <c r="AE470" i="4" s="1"/>
  <c r="P470" i="4"/>
  <c r="O470" i="4"/>
  <c r="CM470" i="4" s="1"/>
  <c r="N470" i="4"/>
  <c r="CL470" i="4" s="1"/>
  <c r="CE469" i="4"/>
  <c r="CF469" i="4" s="1"/>
  <c r="AF469" i="4"/>
  <c r="CR469" i="4" s="1"/>
  <c r="AC469" i="4"/>
  <c r="U469" i="4"/>
  <c r="V469" i="4" s="1"/>
  <c r="AE469" i="4" s="1"/>
  <c r="P469" i="4"/>
  <c r="O469" i="4"/>
  <c r="CM469" i="4" s="1"/>
  <c r="N469" i="4"/>
  <c r="CL469" i="4" s="1"/>
  <c r="CE468" i="4"/>
  <c r="CF468" i="4" s="1"/>
  <c r="AC468" i="4"/>
  <c r="U468" i="4"/>
  <c r="V468" i="4" s="1"/>
  <c r="AE468" i="4" s="1"/>
  <c r="P468" i="4"/>
  <c r="O468" i="4"/>
  <c r="CM468" i="4" s="1"/>
  <c r="N468" i="4"/>
  <c r="CL468" i="4" s="1"/>
  <c r="CE467" i="4"/>
  <c r="CF467" i="4" s="1"/>
  <c r="AF467" i="4"/>
  <c r="AI467" i="4" s="1"/>
  <c r="AC467" i="4"/>
  <c r="U467" i="4"/>
  <c r="V467" i="4" s="1"/>
  <c r="AE467" i="4" s="1"/>
  <c r="P467" i="4"/>
  <c r="O467" i="4"/>
  <c r="CM467" i="4" s="1"/>
  <c r="N467" i="4"/>
  <c r="CL467" i="4" s="1"/>
  <c r="CE466" i="4"/>
  <c r="CF466" i="4" s="1"/>
  <c r="AC466" i="4"/>
  <c r="U466" i="4"/>
  <c r="V466" i="4" s="1"/>
  <c r="AE466" i="4" s="1"/>
  <c r="P466" i="4"/>
  <c r="O466" i="4"/>
  <c r="CM466" i="4" s="1"/>
  <c r="N466" i="4"/>
  <c r="CL466" i="4" s="1"/>
  <c r="CE465" i="4"/>
  <c r="CF465" i="4" s="1"/>
  <c r="AC465" i="4"/>
  <c r="U465" i="4"/>
  <c r="P465" i="4"/>
  <c r="O465" i="4"/>
  <c r="CM465" i="4" s="1"/>
  <c r="N465" i="4"/>
  <c r="CL465" i="4" s="1"/>
  <c r="CE464" i="4"/>
  <c r="CF464" i="4" s="1"/>
  <c r="AF464" i="4"/>
  <c r="AI464" i="4" s="1"/>
  <c r="AC464" i="4"/>
  <c r="U464" i="4"/>
  <c r="V464" i="4" s="1"/>
  <c r="AE464" i="4" s="1"/>
  <c r="P464" i="4"/>
  <c r="O464" i="4"/>
  <c r="CM464" i="4" s="1"/>
  <c r="N464" i="4"/>
  <c r="CL464" i="4" s="1"/>
  <c r="CE463" i="4"/>
  <c r="CF463" i="4" s="1"/>
  <c r="AQ463" i="4"/>
  <c r="AC463" i="4"/>
  <c r="U463" i="4"/>
  <c r="V463" i="4" s="1"/>
  <c r="AE463" i="4" s="1"/>
  <c r="P463" i="4"/>
  <c r="O463" i="4"/>
  <c r="CM463" i="4" s="1"/>
  <c r="N463" i="4"/>
  <c r="CL463" i="4" s="1"/>
  <c r="A463" i="4"/>
  <c r="CE462" i="4"/>
  <c r="CF462" i="4" s="1"/>
  <c r="AF462" i="4"/>
  <c r="CR462" i="4" s="1"/>
  <c r="AC462" i="4"/>
  <c r="U462" i="4"/>
  <c r="V462" i="4" s="1"/>
  <c r="AE462" i="4" s="1"/>
  <c r="P462" i="4"/>
  <c r="O462" i="4"/>
  <c r="CM462" i="4" s="1"/>
  <c r="N462" i="4"/>
  <c r="CL462" i="4" s="1"/>
  <c r="CE461" i="4"/>
  <c r="CF461" i="4" s="1"/>
  <c r="AF461" i="4"/>
  <c r="CR461" i="4" s="1"/>
  <c r="AC461" i="4"/>
  <c r="U461" i="4"/>
  <c r="V461" i="4" s="1"/>
  <c r="AE461" i="4" s="1"/>
  <c r="P461" i="4"/>
  <c r="O461" i="4"/>
  <c r="CM461" i="4" s="1"/>
  <c r="N461" i="4"/>
  <c r="CL461" i="4" s="1"/>
  <c r="CE460" i="4"/>
  <c r="CF460" i="4" s="1"/>
  <c r="AF460" i="4"/>
  <c r="CR460" i="4" s="1"/>
  <c r="AC460" i="4"/>
  <c r="U460" i="4"/>
  <c r="V460" i="4" s="1"/>
  <c r="AE460" i="4" s="1"/>
  <c r="P460" i="4"/>
  <c r="O460" i="4"/>
  <c r="CM460" i="4" s="1"/>
  <c r="N460" i="4"/>
  <c r="CL460" i="4" s="1"/>
  <c r="CE459" i="4"/>
  <c r="CF459" i="4" s="1"/>
  <c r="AF459" i="4"/>
  <c r="CR459" i="4" s="1"/>
  <c r="AC459" i="4"/>
  <c r="U459" i="4"/>
  <c r="V459" i="4" s="1"/>
  <c r="AE459" i="4" s="1"/>
  <c r="P459" i="4"/>
  <c r="O459" i="4"/>
  <c r="CM459" i="4" s="1"/>
  <c r="N459" i="4"/>
  <c r="CL459" i="4" s="1"/>
  <c r="CE458" i="4"/>
  <c r="CF458" i="4" s="1"/>
  <c r="AF458" i="4"/>
  <c r="AC458" i="4"/>
  <c r="U458" i="4"/>
  <c r="V458" i="4" s="1"/>
  <c r="AE458" i="4" s="1"/>
  <c r="P458" i="4"/>
  <c r="O458" i="4"/>
  <c r="CM458" i="4" s="1"/>
  <c r="N458" i="4"/>
  <c r="CL458" i="4" s="1"/>
  <c r="CE457" i="4"/>
  <c r="CF457" i="4" s="1"/>
  <c r="AF457" i="4"/>
  <c r="CR457" i="4" s="1"/>
  <c r="AC457" i="4"/>
  <c r="U457" i="4"/>
  <c r="V457" i="4" s="1"/>
  <c r="AE457" i="4" s="1"/>
  <c r="P457" i="4"/>
  <c r="O457" i="4"/>
  <c r="CM457" i="4" s="1"/>
  <c r="N457" i="4"/>
  <c r="CL457" i="4" s="1"/>
  <c r="CE456" i="4"/>
  <c r="CF456" i="4" s="1"/>
  <c r="AC456" i="4"/>
  <c r="U456" i="4"/>
  <c r="V456" i="4" s="1"/>
  <c r="AE456" i="4" s="1"/>
  <c r="P456" i="4"/>
  <c r="O456" i="4"/>
  <c r="CM456" i="4" s="1"/>
  <c r="N456" i="4"/>
  <c r="CL456" i="4" s="1"/>
  <c r="CE455" i="4"/>
  <c r="CF455" i="4" s="1"/>
  <c r="AC455" i="4"/>
  <c r="U455" i="4"/>
  <c r="V455" i="4" s="1"/>
  <c r="AE455" i="4" s="1"/>
  <c r="P455" i="4"/>
  <c r="O455" i="4"/>
  <c r="CM455" i="4" s="1"/>
  <c r="N455" i="4"/>
  <c r="CL455" i="4" s="1"/>
  <c r="CE454" i="4"/>
  <c r="CF454" i="4" s="1"/>
  <c r="AC454" i="4"/>
  <c r="U454" i="4"/>
  <c r="P454" i="4"/>
  <c r="O454" i="4"/>
  <c r="CM454" i="4" s="1"/>
  <c r="N454" i="4"/>
  <c r="CL454" i="4" s="1"/>
  <c r="CE453" i="4"/>
  <c r="CF453" i="4" s="1"/>
  <c r="AQ453" i="4"/>
  <c r="AC453" i="4"/>
  <c r="U453" i="4"/>
  <c r="V453" i="4" s="1"/>
  <c r="AE453" i="4" s="1"/>
  <c r="P453" i="4"/>
  <c r="O453" i="4"/>
  <c r="CM453" i="4" s="1"/>
  <c r="N453" i="4"/>
  <c r="CL453" i="4" s="1"/>
  <c r="A453" i="4"/>
  <c r="CE452" i="4"/>
  <c r="CF452" i="4" s="1"/>
  <c r="AF452" i="4"/>
  <c r="AC452" i="4"/>
  <c r="U452" i="4"/>
  <c r="V452" i="4" s="1"/>
  <c r="AE452" i="4" s="1"/>
  <c r="P452" i="4"/>
  <c r="O452" i="4"/>
  <c r="CM452" i="4" s="1"/>
  <c r="N452" i="4"/>
  <c r="CL452" i="4" s="1"/>
  <c r="CE451" i="4"/>
  <c r="CF451" i="4" s="1"/>
  <c r="AI451" i="4"/>
  <c r="CM451" i="4"/>
  <c r="CL451" i="4"/>
  <c r="CE450" i="4"/>
  <c r="CF450" i="4" s="1"/>
  <c r="AF450" i="4"/>
  <c r="AC450" i="4"/>
  <c r="U450" i="4"/>
  <c r="V450" i="4" s="1"/>
  <c r="AE450" i="4" s="1"/>
  <c r="P450" i="4"/>
  <c r="O450" i="4"/>
  <c r="CM450" i="4" s="1"/>
  <c r="N450" i="4"/>
  <c r="CL450" i="4" s="1"/>
  <c r="CE449" i="4"/>
  <c r="CF449" i="4" s="1"/>
  <c r="AF449" i="4"/>
  <c r="CR449" i="4" s="1"/>
  <c r="AC449" i="4"/>
  <c r="U449" i="4"/>
  <c r="V449" i="4" s="1"/>
  <c r="AE449" i="4" s="1"/>
  <c r="P449" i="4"/>
  <c r="O449" i="4"/>
  <c r="CM449" i="4" s="1"/>
  <c r="N449" i="4"/>
  <c r="CL449" i="4" s="1"/>
  <c r="CE448" i="4"/>
  <c r="CF448" i="4" s="1"/>
  <c r="AF448" i="4"/>
  <c r="CR448" i="4" s="1"/>
  <c r="AC448" i="4"/>
  <c r="U448" i="4"/>
  <c r="V448" i="4" s="1"/>
  <c r="AE448" i="4" s="1"/>
  <c r="P448" i="4"/>
  <c r="O448" i="4"/>
  <c r="CM448" i="4" s="1"/>
  <c r="N448" i="4"/>
  <c r="CL448" i="4" s="1"/>
  <c r="CE447" i="4"/>
  <c r="CF447" i="4" s="1"/>
  <c r="AF447" i="4"/>
  <c r="CR447" i="4" s="1"/>
  <c r="AC447" i="4"/>
  <c r="U447" i="4"/>
  <c r="V447" i="4" s="1"/>
  <c r="AE447" i="4" s="1"/>
  <c r="P447" i="4"/>
  <c r="O447" i="4"/>
  <c r="CM447" i="4" s="1"/>
  <c r="N447" i="4"/>
  <c r="CL447" i="4" s="1"/>
  <c r="CE446" i="4"/>
  <c r="CF446" i="4" s="1"/>
  <c r="AC446" i="4"/>
  <c r="U446" i="4"/>
  <c r="P446" i="4"/>
  <c r="O446" i="4"/>
  <c r="CM446" i="4" s="1"/>
  <c r="N446" i="4"/>
  <c r="CL446" i="4" s="1"/>
  <c r="CE445" i="4"/>
  <c r="CF445" i="4" s="1"/>
  <c r="AC445" i="4"/>
  <c r="U445" i="4"/>
  <c r="V445" i="4" s="1"/>
  <c r="AE445" i="4" s="1"/>
  <c r="P445" i="4"/>
  <c r="O445" i="4"/>
  <c r="CM445" i="4" s="1"/>
  <c r="N445" i="4"/>
  <c r="CL445" i="4" s="1"/>
  <c r="CE444" i="4"/>
  <c r="CF444" i="4" s="1"/>
  <c r="AF444" i="4"/>
  <c r="AI444" i="4" s="1"/>
  <c r="AC444" i="4"/>
  <c r="U444" i="4"/>
  <c r="V444" i="4" s="1"/>
  <c r="AE444" i="4" s="1"/>
  <c r="P444" i="4"/>
  <c r="O444" i="4"/>
  <c r="CM444" i="4" s="1"/>
  <c r="N444" i="4"/>
  <c r="CL444" i="4" s="1"/>
  <c r="CE443" i="4"/>
  <c r="CF443" i="4" s="1"/>
  <c r="AQ443" i="4"/>
  <c r="AF443" i="4"/>
  <c r="AC443" i="4"/>
  <c r="U443" i="4"/>
  <c r="V443" i="4" s="1"/>
  <c r="AE443" i="4" s="1"/>
  <c r="P443" i="4"/>
  <c r="O443" i="4"/>
  <c r="CM443" i="4" s="1"/>
  <c r="N443" i="4"/>
  <c r="CL443" i="4" s="1"/>
  <c r="A443" i="4"/>
  <c r="CE442" i="4"/>
  <c r="CF442" i="4" s="1"/>
  <c r="AF442" i="4"/>
  <c r="AC442" i="4"/>
  <c r="U442" i="4"/>
  <c r="V442" i="4" s="1"/>
  <c r="AE442" i="4" s="1"/>
  <c r="P442" i="4"/>
  <c r="O442" i="4"/>
  <c r="CM442" i="4" s="1"/>
  <c r="N442" i="4"/>
  <c r="CL442" i="4" s="1"/>
  <c r="CE441" i="4"/>
  <c r="CF441" i="4" s="1"/>
  <c r="AF441" i="4"/>
  <c r="CR441" i="4" s="1"/>
  <c r="AC441" i="4"/>
  <c r="U441" i="4"/>
  <c r="V441" i="4" s="1"/>
  <c r="AE441" i="4" s="1"/>
  <c r="P441" i="4"/>
  <c r="O441" i="4"/>
  <c r="CM441" i="4" s="1"/>
  <c r="N441" i="4"/>
  <c r="CL441" i="4" s="1"/>
  <c r="CE440" i="4"/>
  <c r="CF440" i="4" s="1"/>
  <c r="AF440" i="4"/>
  <c r="CR440" i="4" s="1"/>
  <c r="AC440" i="4"/>
  <c r="U440" i="4"/>
  <c r="V440" i="4" s="1"/>
  <c r="AE440" i="4" s="1"/>
  <c r="P440" i="4"/>
  <c r="O440" i="4"/>
  <c r="CM440" i="4" s="1"/>
  <c r="N440" i="4"/>
  <c r="CL440" i="4" s="1"/>
  <c r="CE439" i="4"/>
  <c r="CF439" i="4" s="1"/>
  <c r="AF439" i="4"/>
  <c r="CR439" i="4" s="1"/>
  <c r="AC439" i="4"/>
  <c r="U439" i="4"/>
  <c r="V439" i="4" s="1"/>
  <c r="AE439" i="4" s="1"/>
  <c r="P439" i="4"/>
  <c r="O439" i="4"/>
  <c r="CM439" i="4" s="1"/>
  <c r="N439" i="4"/>
  <c r="CL439" i="4" s="1"/>
  <c r="CE438" i="4"/>
  <c r="CF438" i="4" s="1"/>
  <c r="AC438" i="4"/>
  <c r="U438" i="4"/>
  <c r="V438" i="4" s="1"/>
  <c r="AE438" i="4" s="1"/>
  <c r="P438" i="4"/>
  <c r="O438" i="4"/>
  <c r="CM438" i="4" s="1"/>
  <c r="N438" i="4"/>
  <c r="CL438" i="4" s="1"/>
  <c r="CE437" i="4"/>
  <c r="CF437" i="4" s="1"/>
  <c r="AF437" i="4"/>
  <c r="AC437" i="4"/>
  <c r="U437" i="4"/>
  <c r="V437" i="4" s="1"/>
  <c r="AE437" i="4" s="1"/>
  <c r="P437" i="4"/>
  <c r="O437" i="4"/>
  <c r="CM437" i="4" s="1"/>
  <c r="N437" i="4"/>
  <c r="CL437" i="4" s="1"/>
  <c r="CE436" i="4"/>
  <c r="CF436" i="4" s="1"/>
  <c r="AC436" i="4"/>
  <c r="U436" i="4"/>
  <c r="V436" i="4" s="1"/>
  <c r="AE436" i="4" s="1"/>
  <c r="P436" i="4"/>
  <c r="O436" i="4"/>
  <c r="CM436" i="4" s="1"/>
  <c r="N436" i="4"/>
  <c r="CL436" i="4" s="1"/>
  <c r="CE435" i="4"/>
  <c r="CF435" i="4" s="1"/>
  <c r="AC435" i="4"/>
  <c r="AE435" i="4"/>
  <c r="P435" i="4"/>
  <c r="O435" i="4"/>
  <c r="CM435" i="4" s="1"/>
  <c r="N435" i="4"/>
  <c r="CL435" i="4" s="1"/>
  <c r="CE434" i="4"/>
  <c r="CF434" i="4" s="1"/>
  <c r="AC434" i="4"/>
  <c r="AE434" i="4"/>
  <c r="P434" i="4"/>
  <c r="O434" i="4"/>
  <c r="CM434" i="4" s="1"/>
  <c r="N434" i="4"/>
  <c r="CL434" i="4" s="1"/>
  <c r="CE433" i="4"/>
  <c r="CF433" i="4" s="1"/>
  <c r="AQ433" i="4"/>
  <c r="AC433" i="4"/>
  <c r="P433" i="4"/>
  <c r="O433" i="4"/>
  <c r="CM433" i="4" s="1"/>
  <c r="N433" i="4"/>
  <c r="CL433" i="4" s="1"/>
  <c r="A433" i="4"/>
  <c r="CE432" i="4"/>
  <c r="CF432" i="4" s="1"/>
  <c r="AF432" i="4"/>
  <c r="AI432" i="4" s="1"/>
  <c r="AC432" i="4"/>
  <c r="U432" i="4"/>
  <c r="V432" i="4" s="1"/>
  <c r="AE432" i="4" s="1"/>
  <c r="P432" i="4"/>
  <c r="O432" i="4"/>
  <c r="CM432" i="4" s="1"/>
  <c r="N432" i="4"/>
  <c r="CL432" i="4" s="1"/>
  <c r="CE431" i="4"/>
  <c r="CF431" i="4" s="1"/>
  <c r="AF431" i="4"/>
  <c r="AC431" i="4"/>
  <c r="U431" i="4"/>
  <c r="V431" i="4" s="1"/>
  <c r="AE431" i="4" s="1"/>
  <c r="P431" i="4"/>
  <c r="O431" i="4"/>
  <c r="CM431" i="4" s="1"/>
  <c r="N431" i="4"/>
  <c r="CL431" i="4" s="1"/>
  <c r="CE430" i="4"/>
  <c r="CF430" i="4" s="1"/>
  <c r="AF430" i="4"/>
  <c r="CR430" i="4" s="1"/>
  <c r="AC430" i="4"/>
  <c r="U430" i="4"/>
  <c r="V430" i="4" s="1"/>
  <c r="AE430" i="4" s="1"/>
  <c r="P430" i="4"/>
  <c r="O430" i="4"/>
  <c r="CM430" i="4" s="1"/>
  <c r="N430" i="4"/>
  <c r="CL430" i="4" s="1"/>
  <c r="CE429" i="4"/>
  <c r="CF429" i="4" s="1"/>
  <c r="AF429" i="4"/>
  <c r="AC429" i="4"/>
  <c r="U429" i="4"/>
  <c r="V429" i="4" s="1"/>
  <c r="AE429" i="4" s="1"/>
  <c r="P429" i="4"/>
  <c r="O429" i="4"/>
  <c r="CM429" i="4" s="1"/>
  <c r="N429" i="4"/>
  <c r="CL429" i="4" s="1"/>
  <c r="CE428" i="4"/>
  <c r="CF428" i="4" s="1"/>
  <c r="AC428" i="4"/>
  <c r="U428" i="4"/>
  <c r="P428" i="4"/>
  <c r="O428" i="4"/>
  <c r="CM428" i="4" s="1"/>
  <c r="N428" i="4"/>
  <c r="CL428" i="4" s="1"/>
  <c r="CE427" i="4"/>
  <c r="CF427" i="4" s="1"/>
  <c r="AF427" i="4"/>
  <c r="AI427" i="4" s="1"/>
  <c r="AC427" i="4"/>
  <c r="U427" i="4"/>
  <c r="V427" i="4" s="1"/>
  <c r="AE427" i="4" s="1"/>
  <c r="P427" i="4"/>
  <c r="O427" i="4"/>
  <c r="CM427" i="4" s="1"/>
  <c r="N427" i="4"/>
  <c r="CL427" i="4" s="1"/>
  <c r="CE426" i="4"/>
  <c r="CF426" i="4" s="1"/>
  <c r="AC426" i="4"/>
  <c r="U426" i="4"/>
  <c r="P426" i="4"/>
  <c r="O426" i="4"/>
  <c r="CM426" i="4" s="1"/>
  <c r="N426" i="4"/>
  <c r="CL426" i="4" s="1"/>
  <c r="CE425" i="4"/>
  <c r="CF425" i="4" s="1"/>
  <c r="AC425" i="4"/>
  <c r="U425" i="4"/>
  <c r="V425" i="4" s="1"/>
  <c r="AE425" i="4" s="1"/>
  <c r="P425" i="4"/>
  <c r="O425" i="4"/>
  <c r="CM425" i="4" s="1"/>
  <c r="N425" i="4"/>
  <c r="CL425" i="4" s="1"/>
  <c r="CE424" i="4"/>
  <c r="CF424" i="4" s="1"/>
  <c r="AF424" i="4"/>
  <c r="CR424" i="4" s="1"/>
  <c r="AC424" i="4"/>
  <c r="U424" i="4"/>
  <c r="V424" i="4" s="1"/>
  <c r="AE424" i="4" s="1"/>
  <c r="P424" i="4"/>
  <c r="O424" i="4"/>
  <c r="CM424" i="4" s="1"/>
  <c r="N424" i="4"/>
  <c r="CL424" i="4" s="1"/>
  <c r="CE423" i="4"/>
  <c r="CF423" i="4" s="1"/>
  <c r="AQ423" i="4"/>
  <c r="AC423" i="4"/>
  <c r="U423" i="4"/>
  <c r="V423" i="4" s="1"/>
  <c r="AE423" i="4" s="1"/>
  <c r="P423" i="4"/>
  <c r="O423" i="4"/>
  <c r="CM423" i="4" s="1"/>
  <c r="N423" i="4"/>
  <c r="CL423" i="4" s="1"/>
  <c r="A423" i="4"/>
  <c r="CE422" i="4"/>
  <c r="CF422" i="4" s="1"/>
  <c r="AF422" i="4"/>
  <c r="CR422" i="4" s="1"/>
  <c r="AC422" i="4"/>
  <c r="U422" i="4"/>
  <c r="V422" i="4" s="1"/>
  <c r="AE422" i="4" s="1"/>
  <c r="P422" i="4"/>
  <c r="O422" i="4"/>
  <c r="CM422" i="4" s="1"/>
  <c r="N422" i="4"/>
  <c r="CL422" i="4" s="1"/>
  <c r="CE421" i="4"/>
  <c r="CF421" i="4" s="1"/>
  <c r="AF421" i="4"/>
  <c r="AC421" i="4"/>
  <c r="U421" i="4"/>
  <c r="V421" i="4" s="1"/>
  <c r="AE421" i="4" s="1"/>
  <c r="P421" i="4"/>
  <c r="O421" i="4"/>
  <c r="CM421" i="4" s="1"/>
  <c r="N421" i="4"/>
  <c r="CL421" i="4" s="1"/>
  <c r="CE420" i="4"/>
  <c r="CF420" i="4" s="1"/>
  <c r="AF420" i="4"/>
  <c r="CR420" i="4" s="1"/>
  <c r="AC420" i="4"/>
  <c r="U420" i="4"/>
  <c r="V420" i="4" s="1"/>
  <c r="AE420" i="4" s="1"/>
  <c r="P420" i="4"/>
  <c r="O420" i="4"/>
  <c r="CM420" i="4" s="1"/>
  <c r="N420" i="4"/>
  <c r="CL420" i="4" s="1"/>
  <c r="CE419" i="4"/>
  <c r="CF419" i="4" s="1"/>
  <c r="AF419" i="4"/>
  <c r="AC419" i="4"/>
  <c r="U419" i="4"/>
  <c r="V419" i="4" s="1"/>
  <c r="AE419" i="4" s="1"/>
  <c r="P419" i="4"/>
  <c r="O419" i="4"/>
  <c r="CM419" i="4" s="1"/>
  <c r="N419" i="4"/>
  <c r="CL419" i="4" s="1"/>
  <c r="CE418" i="4"/>
  <c r="CF418" i="4" s="1"/>
  <c r="AF418" i="4"/>
  <c r="AC418" i="4"/>
  <c r="U418" i="4"/>
  <c r="V418" i="4" s="1"/>
  <c r="AE418" i="4" s="1"/>
  <c r="P418" i="4"/>
  <c r="O418" i="4"/>
  <c r="CM418" i="4" s="1"/>
  <c r="N418" i="4"/>
  <c r="CL418" i="4" s="1"/>
  <c r="CE417" i="4"/>
  <c r="CF417" i="4" s="1"/>
  <c r="AF417" i="4"/>
  <c r="AC417" i="4"/>
  <c r="U417" i="4"/>
  <c r="V417" i="4" s="1"/>
  <c r="AE417" i="4" s="1"/>
  <c r="P417" i="4"/>
  <c r="O417" i="4"/>
  <c r="CM417" i="4" s="1"/>
  <c r="N417" i="4"/>
  <c r="CL417" i="4" s="1"/>
  <c r="CE416" i="4"/>
  <c r="CF416" i="4" s="1"/>
  <c r="AC416" i="4"/>
  <c r="U416" i="4"/>
  <c r="P416" i="4"/>
  <c r="O416" i="4"/>
  <c r="CM416" i="4" s="1"/>
  <c r="N416" i="4"/>
  <c r="CL416" i="4" s="1"/>
  <c r="CE415" i="4"/>
  <c r="CF415" i="4" s="1"/>
  <c r="AC415" i="4"/>
  <c r="U415" i="4"/>
  <c r="P415" i="4"/>
  <c r="O415" i="4"/>
  <c r="CM415" i="4" s="1"/>
  <c r="N415" i="4"/>
  <c r="CL415" i="4" s="1"/>
  <c r="CE414" i="4"/>
  <c r="CF414" i="4" s="1"/>
  <c r="AC414" i="4"/>
  <c r="U414" i="4"/>
  <c r="P414" i="4"/>
  <c r="O414" i="4"/>
  <c r="CM414" i="4" s="1"/>
  <c r="N414" i="4"/>
  <c r="CL414" i="4" s="1"/>
  <c r="CE413" i="4"/>
  <c r="CF413" i="4" s="1"/>
  <c r="AQ413" i="4"/>
  <c r="AC413" i="4"/>
  <c r="U413" i="4"/>
  <c r="P413" i="4"/>
  <c r="O413" i="4"/>
  <c r="CM413" i="4" s="1"/>
  <c r="N413" i="4"/>
  <c r="CL413" i="4" s="1"/>
  <c r="A413" i="4"/>
  <c r="CE412" i="4"/>
  <c r="CF412" i="4" s="1"/>
  <c r="AF412" i="4"/>
  <c r="AC412" i="4"/>
  <c r="U412" i="4"/>
  <c r="V412" i="4" s="1"/>
  <c r="AE412" i="4" s="1"/>
  <c r="P412" i="4"/>
  <c r="O412" i="4"/>
  <c r="CM412" i="4" s="1"/>
  <c r="N412" i="4"/>
  <c r="CL412" i="4" s="1"/>
  <c r="CE411" i="4"/>
  <c r="CF411" i="4" s="1"/>
  <c r="AF411" i="4"/>
  <c r="AC411" i="4"/>
  <c r="U411" i="4"/>
  <c r="V411" i="4" s="1"/>
  <c r="AE411" i="4" s="1"/>
  <c r="P411" i="4"/>
  <c r="O411" i="4"/>
  <c r="CM411" i="4" s="1"/>
  <c r="N411" i="4"/>
  <c r="CL411" i="4" s="1"/>
  <c r="CE410" i="4"/>
  <c r="CF410" i="4" s="1"/>
  <c r="AF410" i="4"/>
  <c r="CR410" i="4" s="1"/>
  <c r="AC410" i="4"/>
  <c r="U410" i="4"/>
  <c r="V410" i="4" s="1"/>
  <c r="AE410" i="4" s="1"/>
  <c r="P410" i="4"/>
  <c r="O410" i="4"/>
  <c r="CM410" i="4" s="1"/>
  <c r="N410" i="4"/>
  <c r="CL410" i="4" s="1"/>
  <c r="CE409" i="4"/>
  <c r="CF409" i="4" s="1"/>
  <c r="AF409" i="4"/>
  <c r="AC409" i="4"/>
  <c r="U409" i="4"/>
  <c r="V409" i="4" s="1"/>
  <c r="AE409" i="4" s="1"/>
  <c r="P409" i="4"/>
  <c r="O409" i="4"/>
  <c r="CM409" i="4" s="1"/>
  <c r="N409" i="4"/>
  <c r="CL409" i="4" s="1"/>
  <c r="CE408" i="4"/>
  <c r="CF408" i="4" s="1"/>
  <c r="AC408" i="4"/>
  <c r="U408" i="4"/>
  <c r="P408" i="4"/>
  <c r="O408" i="4"/>
  <c r="CM408" i="4" s="1"/>
  <c r="N408" i="4"/>
  <c r="CL408" i="4" s="1"/>
  <c r="CE407" i="4"/>
  <c r="CF407" i="4" s="1"/>
  <c r="AC407" i="4"/>
  <c r="U407" i="4"/>
  <c r="V407" i="4" s="1"/>
  <c r="P407" i="4"/>
  <c r="O407" i="4"/>
  <c r="CM407" i="4" s="1"/>
  <c r="N407" i="4"/>
  <c r="CL407" i="4" s="1"/>
  <c r="CE406" i="4"/>
  <c r="CF406" i="4" s="1"/>
  <c r="AC406" i="4"/>
  <c r="U406" i="4"/>
  <c r="V406" i="4" s="1"/>
  <c r="P406" i="4"/>
  <c r="O406" i="4"/>
  <c r="CM406" i="4" s="1"/>
  <c r="N406" i="4"/>
  <c r="CL406" i="4" s="1"/>
  <c r="CE405" i="4"/>
  <c r="CF405" i="4" s="1"/>
  <c r="AC405" i="4"/>
  <c r="U405" i="4"/>
  <c r="V405" i="4" s="1"/>
  <c r="P405" i="4"/>
  <c r="O405" i="4"/>
  <c r="CM405" i="4" s="1"/>
  <c r="N405" i="4"/>
  <c r="CL405" i="4" s="1"/>
  <c r="CE404" i="4"/>
  <c r="CF404" i="4" s="1"/>
  <c r="AC404" i="4"/>
  <c r="U404" i="4"/>
  <c r="V404" i="4" s="1"/>
  <c r="P404" i="4"/>
  <c r="O404" i="4"/>
  <c r="CM404" i="4" s="1"/>
  <c r="N404" i="4"/>
  <c r="CL404" i="4" s="1"/>
  <c r="CE403" i="4"/>
  <c r="CF403" i="4" s="1"/>
  <c r="AQ403" i="4"/>
  <c r="AC403" i="4"/>
  <c r="U403" i="4"/>
  <c r="V403" i="4" s="1"/>
  <c r="P403" i="4"/>
  <c r="O403" i="4"/>
  <c r="CM403" i="4" s="1"/>
  <c r="N403" i="4"/>
  <c r="CL403" i="4" s="1"/>
  <c r="A403" i="4"/>
  <c r="CE402" i="4"/>
  <c r="CF402" i="4" s="1"/>
  <c r="AF402" i="4"/>
  <c r="CR402" i="4" s="1"/>
  <c r="AC402" i="4"/>
  <c r="U402" i="4"/>
  <c r="V402" i="4" s="1"/>
  <c r="AE402" i="4" s="1"/>
  <c r="P402" i="4"/>
  <c r="O402" i="4"/>
  <c r="CM402" i="4" s="1"/>
  <c r="N402" i="4"/>
  <c r="CL402" i="4" s="1"/>
  <c r="CE401" i="4"/>
  <c r="CF401" i="4" s="1"/>
  <c r="AF401" i="4"/>
  <c r="CR401" i="4" s="1"/>
  <c r="AC401" i="4"/>
  <c r="U401" i="4"/>
  <c r="V401" i="4" s="1"/>
  <c r="AE401" i="4" s="1"/>
  <c r="P401" i="4"/>
  <c r="O401" i="4"/>
  <c r="CM401" i="4" s="1"/>
  <c r="N401" i="4"/>
  <c r="CL401" i="4" s="1"/>
  <c r="CE400" i="4"/>
  <c r="CF400" i="4" s="1"/>
  <c r="AF400" i="4"/>
  <c r="AC400" i="4"/>
  <c r="U400" i="4"/>
  <c r="V400" i="4" s="1"/>
  <c r="AE400" i="4" s="1"/>
  <c r="P400" i="4"/>
  <c r="O400" i="4"/>
  <c r="CM400" i="4" s="1"/>
  <c r="N400" i="4"/>
  <c r="CL400" i="4" s="1"/>
  <c r="CE399" i="4"/>
  <c r="CF399" i="4" s="1"/>
  <c r="AF399" i="4"/>
  <c r="AC399" i="4"/>
  <c r="U399" i="4"/>
  <c r="V399" i="4" s="1"/>
  <c r="AE399" i="4" s="1"/>
  <c r="P399" i="4"/>
  <c r="O399" i="4"/>
  <c r="CM399" i="4" s="1"/>
  <c r="N399" i="4"/>
  <c r="CL399" i="4" s="1"/>
  <c r="CE398" i="4"/>
  <c r="CF398" i="4" s="1"/>
  <c r="AF398" i="4"/>
  <c r="AC398" i="4"/>
  <c r="U398" i="4"/>
  <c r="V398" i="4" s="1"/>
  <c r="AE398" i="4" s="1"/>
  <c r="P398" i="4"/>
  <c r="O398" i="4"/>
  <c r="CM398" i="4" s="1"/>
  <c r="N398" i="4"/>
  <c r="CL398" i="4" s="1"/>
  <c r="CE397" i="4"/>
  <c r="CF397" i="4" s="1"/>
  <c r="AC397" i="4"/>
  <c r="U397" i="4"/>
  <c r="P397" i="4"/>
  <c r="O397" i="4"/>
  <c r="CM397" i="4" s="1"/>
  <c r="N397" i="4"/>
  <c r="CL397" i="4" s="1"/>
  <c r="CE396" i="4"/>
  <c r="CF396" i="4" s="1"/>
  <c r="AC396" i="4"/>
  <c r="U396" i="4"/>
  <c r="V396" i="4" s="1"/>
  <c r="AE396" i="4" s="1"/>
  <c r="P396" i="4"/>
  <c r="O396" i="4"/>
  <c r="CM396" i="4" s="1"/>
  <c r="N396" i="4"/>
  <c r="CL396" i="4" s="1"/>
  <c r="CE395" i="4"/>
  <c r="CF395" i="4" s="1"/>
  <c r="AC395" i="4"/>
  <c r="U395" i="4"/>
  <c r="V395" i="4" s="1"/>
  <c r="AE395" i="4" s="1"/>
  <c r="P395" i="4"/>
  <c r="O395" i="4"/>
  <c r="CM395" i="4" s="1"/>
  <c r="N395" i="4"/>
  <c r="CL395" i="4" s="1"/>
  <c r="CE394" i="4"/>
  <c r="CF394" i="4" s="1"/>
  <c r="AC394" i="4"/>
  <c r="U394" i="4"/>
  <c r="V394" i="4" s="1"/>
  <c r="P394" i="4"/>
  <c r="O394" i="4"/>
  <c r="CM394" i="4" s="1"/>
  <c r="N394" i="4"/>
  <c r="CL394" i="4" s="1"/>
  <c r="CE393" i="4"/>
  <c r="CF393" i="4" s="1"/>
  <c r="AQ393" i="4"/>
  <c r="AC393" i="4"/>
  <c r="U393" i="4"/>
  <c r="V393" i="4" s="1"/>
  <c r="P393" i="4"/>
  <c r="O393" i="4"/>
  <c r="CM393" i="4" s="1"/>
  <c r="N393" i="4"/>
  <c r="CL393" i="4" s="1"/>
  <c r="A393" i="4"/>
  <c r="CE392" i="4"/>
  <c r="CF392" i="4" s="1"/>
  <c r="AF392" i="4"/>
  <c r="AI392" i="4" s="1"/>
  <c r="AC392" i="4"/>
  <c r="U392" i="4"/>
  <c r="V392" i="4" s="1"/>
  <c r="AE392" i="4" s="1"/>
  <c r="P392" i="4"/>
  <c r="O392" i="4"/>
  <c r="CM392" i="4" s="1"/>
  <c r="N392" i="4"/>
  <c r="CL392" i="4" s="1"/>
  <c r="CE391" i="4"/>
  <c r="CF391" i="4" s="1"/>
  <c r="AF391" i="4"/>
  <c r="AC391" i="4"/>
  <c r="U391" i="4"/>
  <c r="V391" i="4" s="1"/>
  <c r="AE391" i="4" s="1"/>
  <c r="P391" i="4"/>
  <c r="O391" i="4"/>
  <c r="CM391" i="4" s="1"/>
  <c r="N391" i="4"/>
  <c r="CL391" i="4" s="1"/>
  <c r="CE390" i="4"/>
  <c r="CF390" i="4" s="1"/>
  <c r="AF390" i="4"/>
  <c r="CR390" i="4" s="1"/>
  <c r="AC390" i="4"/>
  <c r="U390" i="4"/>
  <c r="V390" i="4" s="1"/>
  <c r="AE390" i="4" s="1"/>
  <c r="P390" i="4"/>
  <c r="O390" i="4"/>
  <c r="CM390" i="4" s="1"/>
  <c r="N390" i="4"/>
  <c r="CL390" i="4" s="1"/>
  <c r="CE389" i="4"/>
  <c r="CF389" i="4" s="1"/>
  <c r="AF389" i="4"/>
  <c r="AC389" i="4"/>
  <c r="U389" i="4"/>
  <c r="V389" i="4" s="1"/>
  <c r="AE389" i="4" s="1"/>
  <c r="P389" i="4"/>
  <c r="O389" i="4"/>
  <c r="CM389" i="4" s="1"/>
  <c r="N389" i="4"/>
  <c r="CL389" i="4" s="1"/>
  <c r="CE388" i="4"/>
  <c r="CF388" i="4" s="1"/>
  <c r="AF388" i="4"/>
  <c r="CR388" i="4" s="1"/>
  <c r="AC388" i="4"/>
  <c r="U388" i="4"/>
  <c r="V388" i="4" s="1"/>
  <c r="AE388" i="4" s="1"/>
  <c r="P388" i="4"/>
  <c r="O388" i="4"/>
  <c r="CM388" i="4" s="1"/>
  <c r="N388" i="4"/>
  <c r="CL388" i="4" s="1"/>
  <c r="CE387" i="4"/>
  <c r="CF387" i="4" s="1"/>
  <c r="AF387" i="4"/>
  <c r="AC387" i="4"/>
  <c r="U387" i="4"/>
  <c r="V387" i="4" s="1"/>
  <c r="AE387" i="4" s="1"/>
  <c r="P387" i="4"/>
  <c r="O387" i="4"/>
  <c r="CM387" i="4" s="1"/>
  <c r="N387" i="4"/>
  <c r="CL387" i="4" s="1"/>
  <c r="CE386" i="4"/>
  <c r="CF386" i="4" s="1"/>
  <c r="AC386" i="4"/>
  <c r="U386" i="4"/>
  <c r="P386" i="4"/>
  <c r="O386" i="4"/>
  <c r="CM386" i="4" s="1"/>
  <c r="N386" i="4"/>
  <c r="CL386" i="4" s="1"/>
  <c r="CE385" i="4"/>
  <c r="CF385" i="4" s="1"/>
  <c r="AF385" i="4"/>
  <c r="AC385" i="4"/>
  <c r="U385" i="4"/>
  <c r="V385" i="4" s="1"/>
  <c r="P385" i="4"/>
  <c r="O385" i="4"/>
  <c r="CM385" i="4" s="1"/>
  <c r="N385" i="4"/>
  <c r="CL385" i="4" s="1"/>
  <c r="CE384" i="4"/>
  <c r="CF384" i="4" s="1"/>
  <c r="AC384" i="4"/>
  <c r="U384" i="4"/>
  <c r="P384" i="4"/>
  <c r="O384" i="4"/>
  <c r="CM384" i="4" s="1"/>
  <c r="N384" i="4"/>
  <c r="CL384" i="4" s="1"/>
  <c r="CE383" i="4"/>
  <c r="CF383" i="4" s="1"/>
  <c r="AQ383" i="4"/>
  <c r="AC383" i="4"/>
  <c r="U383" i="4"/>
  <c r="P383" i="4"/>
  <c r="O383" i="4"/>
  <c r="CM383" i="4" s="1"/>
  <c r="N383" i="4"/>
  <c r="CL383" i="4" s="1"/>
  <c r="A383" i="4"/>
  <c r="CE382" i="4"/>
  <c r="CF382" i="4" s="1"/>
  <c r="AF382" i="4"/>
  <c r="AC382" i="4"/>
  <c r="U382" i="4"/>
  <c r="V382" i="4" s="1"/>
  <c r="AE382" i="4" s="1"/>
  <c r="P382" i="4"/>
  <c r="O382" i="4"/>
  <c r="CM382" i="4" s="1"/>
  <c r="N382" i="4"/>
  <c r="CL382" i="4" s="1"/>
  <c r="CE381" i="4"/>
  <c r="CF381" i="4" s="1"/>
  <c r="AF381" i="4"/>
  <c r="AI381" i="4" s="1"/>
  <c r="AC381" i="4"/>
  <c r="U381" i="4"/>
  <c r="V381" i="4" s="1"/>
  <c r="AE381" i="4" s="1"/>
  <c r="P381" i="4"/>
  <c r="O381" i="4"/>
  <c r="CM381" i="4" s="1"/>
  <c r="N381" i="4"/>
  <c r="CL381" i="4" s="1"/>
  <c r="CE380" i="4"/>
  <c r="CF380" i="4" s="1"/>
  <c r="AF380" i="4"/>
  <c r="AC380" i="4"/>
  <c r="U380" i="4"/>
  <c r="V380" i="4" s="1"/>
  <c r="AE380" i="4" s="1"/>
  <c r="P380" i="4"/>
  <c r="O380" i="4"/>
  <c r="CM380" i="4" s="1"/>
  <c r="N380" i="4"/>
  <c r="CL380" i="4" s="1"/>
  <c r="CE379" i="4"/>
  <c r="CF379" i="4" s="1"/>
  <c r="AF379" i="4"/>
  <c r="AI379" i="4" s="1"/>
  <c r="AC379" i="4"/>
  <c r="U379" i="4"/>
  <c r="V379" i="4" s="1"/>
  <c r="AE379" i="4" s="1"/>
  <c r="P379" i="4"/>
  <c r="O379" i="4"/>
  <c r="CM379" i="4" s="1"/>
  <c r="N379" i="4"/>
  <c r="CL379" i="4" s="1"/>
  <c r="CE378" i="4"/>
  <c r="CF378" i="4" s="1"/>
  <c r="AC378" i="4"/>
  <c r="U378" i="4"/>
  <c r="V378" i="4" s="1"/>
  <c r="AE378" i="4" s="1"/>
  <c r="P378" i="4"/>
  <c r="O378" i="4"/>
  <c r="CM378" i="4" s="1"/>
  <c r="N378" i="4"/>
  <c r="CL378" i="4" s="1"/>
  <c r="CE377" i="4"/>
  <c r="CF377" i="4" s="1"/>
  <c r="AC377" i="4"/>
  <c r="U377" i="4"/>
  <c r="V377" i="4" s="1"/>
  <c r="P377" i="4"/>
  <c r="O377" i="4"/>
  <c r="CM377" i="4" s="1"/>
  <c r="N377" i="4"/>
  <c r="CL377" i="4" s="1"/>
  <c r="CE376" i="4"/>
  <c r="CF376" i="4" s="1"/>
  <c r="AC376" i="4"/>
  <c r="U376" i="4"/>
  <c r="P376" i="4"/>
  <c r="O376" i="4"/>
  <c r="CM376" i="4" s="1"/>
  <c r="N376" i="4"/>
  <c r="CL376" i="4" s="1"/>
  <c r="CE375" i="4"/>
  <c r="CF375" i="4" s="1"/>
  <c r="AC375" i="4"/>
  <c r="U375" i="4"/>
  <c r="P375" i="4"/>
  <c r="O375" i="4"/>
  <c r="CM375" i="4" s="1"/>
  <c r="N375" i="4"/>
  <c r="CL375" i="4" s="1"/>
  <c r="CE374" i="4"/>
  <c r="CF374" i="4" s="1"/>
  <c r="AC374" i="4"/>
  <c r="U374" i="4"/>
  <c r="V374" i="4" s="1"/>
  <c r="P374" i="4"/>
  <c r="O374" i="4"/>
  <c r="CM374" i="4" s="1"/>
  <c r="N374" i="4"/>
  <c r="CL374" i="4" s="1"/>
  <c r="CE373" i="4"/>
  <c r="CF373" i="4" s="1"/>
  <c r="AQ373" i="4"/>
  <c r="AC373" i="4"/>
  <c r="U373" i="4"/>
  <c r="V373" i="4" s="1"/>
  <c r="P373" i="4"/>
  <c r="O373" i="4"/>
  <c r="CM373" i="4" s="1"/>
  <c r="N373" i="4"/>
  <c r="CL373" i="4" s="1"/>
  <c r="A373" i="4"/>
  <c r="CE372" i="4"/>
  <c r="CF372" i="4" s="1"/>
  <c r="AF372" i="4"/>
  <c r="CR372" i="4" s="1"/>
  <c r="AC372" i="4"/>
  <c r="U372" i="4"/>
  <c r="V372" i="4" s="1"/>
  <c r="AE372" i="4" s="1"/>
  <c r="P372" i="4"/>
  <c r="O372" i="4"/>
  <c r="CM372" i="4" s="1"/>
  <c r="N372" i="4"/>
  <c r="CL372" i="4" s="1"/>
  <c r="CE371" i="4"/>
  <c r="CF371" i="4" s="1"/>
  <c r="AF371" i="4"/>
  <c r="AC371" i="4"/>
  <c r="U371" i="4"/>
  <c r="V371" i="4" s="1"/>
  <c r="AE371" i="4" s="1"/>
  <c r="P371" i="4"/>
  <c r="O371" i="4"/>
  <c r="CM371" i="4" s="1"/>
  <c r="N371" i="4"/>
  <c r="CL371" i="4" s="1"/>
  <c r="CE370" i="4"/>
  <c r="CF370" i="4" s="1"/>
  <c r="AF370" i="4"/>
  <c r="CR370" i="4" s="1"/>
  <c r="AC370" i="4"/>
  <c r="U370" i="4"/>
  <c r="V370" i="4" s="1"/>
  <c r="AE370" i="4" s="1"/>
  <c r="P370" i="4"/>
  <c r="O370" i="4"/>
  <c r="CM370" i="4" s="1"/>
  <c r="N370" i="4"/>
  <c r="CL370" i="4" s="1"/>
  <c r="CE369" i="4"/>
  <c r="CF369" i="4" s="1"/>
  <c r="AF369" i="4"/>
  <c r="AC369" i="4"/>
  <c r="U369" i="4"/>
  <c r="V369" i="4" s="1"/>
  <c r="AE369" i="4" s="1"/>
  <c r="P369" i="4"/>
  <c r="O369" i="4"/>
  <c r="CM369" i="4" s="1"/>
  <c r="N369" i="4"/>
  <c r="CL369" i="4" s="1"/>
  <c r="CE368" i="4"/>
  <c r="CF368" i="4" s="1"/>
  <c r="AF368" i="4"/>
  <c r="CR368" i="4" s="1"/>
  <c r="AC368" i="4"/>
  <c r="U368" i="4"/>
  <c r="V368" i="4" s="1"/>
  <c r="AE368" i="4" s="1"/>
  <c r="P368" i="4"/>
  <c r="O368" i="4"/>
  <c r="CM368" i="4" s="1"/>
  <c r="N368" i="4"/>
  <c r="CL368" i="4" s="1"/>
  <c r="CE367" i="4"/>
  <c r="CF367" i="4" s="1"/>
  <c r="AC367" i="4"/>
  <c r="U367" i="4"/>
  <c r="P367" i="4"/>
  <c r="O367" i="4"/>
  <c r="CM367" i="4" s="1"/>
  <c r="N367" i="4"/>
  <c r="CL367" i="4" s="1"/>
  <c r="CE366" i="4"/>
  <c r="CF366" i="4" s="1"/>
  <c r="AC366" i="4"/>
  <c r="U366" i="4"/>
  <c r="V366" i="4" s="1"/>
  <c r="P366" i="4"/>
  <c r="O366" i="4"/>
  <c r="CM366" i="4" s="1"/>
  <c r="N366" i="4"/>
  <c r="CL366" i="4" s="1"/>
  <c r="CE365" i="4"/>
  <c r="CF365" i="4" s="1"/>
  <c r="AC365" i="4"/>
  <c r="U365" i="4"/>
  <c r="V365" i="4" s="1"/>
  <c r="P365" i="4"/>
  <c r="O365" i="4"/>
  <c r="CM365" i="4" s="1"/>
  <c r="N365" i="4"/>
  <c r="CL365" i="4" s="1"/>
  <c r="CE364" i="4"/>
  <c r="CF364" i="4" s="1"/>
  <c r="AC364" i="4"/>
  <c r="U364" i="4"/>
  <c r="V364" i="4" s="1"/>
  <c r="P364" i="4"/>
  <c r="O364" i="4"/>
  <c r="CM364" i="4" s="1"/>
  <c r="N364" i="4"/>
  <c r="CL364" i="4" s="1"/>
  <c r="CE363" i="4"/>
  <c r="CF363" i="4" s="1"/>
  <c r="AQ363" i="4"/>
  <c r="AC363" i="4"/>
  <c r="U363" i="4"/>
  <c r="V363" i="4" s="1"/>
  <c r="P363" i="4"/>
  <c r="O363" i="4"/>
  <c r="CM363" i="4" s="1"/>
  <c r="N363" i="4"/>
  <c r="CL363" i="4" s="1"/>
  <c r="A363" i="4"/>
  <c r="CE362" i="4"/>
  <c r="CF362" i="4" s="1"/>
  <c r="AF362" i="4"/>
  <c r="AC362" i="4"/>
  <c r="U362" i="4"/>
  <c r="V362" i="4" s="1"/>
  <c r="AE362" i="4" s="1"/>
  <c r="P362" i="4"/>
  <c r="O362" i="4"/>
  <c r="CM362" i="4" s="1"/>
  <c r="N362" i="4"/>
  <c r="CL362" i="4" s="1"/>
  <c r="CE361" i="4"/>
  <c r="CF361" i="4" s="1"/>
  <c r="AF361" i="4"/>
  <c r="CR361" i="4" s="1"/>
  <c r="AC361" i="4"/>
  <c r="U361" i="4"/>
  <c r="V361" i="4" s="1"/>
  <c r="AE361" i="4" s="1"/>
  <c r="P361" i="4"/>
  <c r="O361" i="4"/>
  <c r="CM361" i="4" s="1"/>
  <c r="N361" i="4"/>
  <c r="CL361" i="4" s="1"/>
  <c r="CE360" i="4"/>
  <c r="CF360" i="4" s="1"/>
  <c r="AF360" i="4"/>
  <c r="AI360" i="4" s="1"/>
  <c r="AC360" i="4"/>
  <c r="U360" i="4"/>
  <c r="V360" i="4" s="1"/>
  <c r="AE360" i="4" s="1"/>
  <c r="P360" i="4"/>
  <c r="O360" i="4"/>
  <c r="CM360" i="4" s="1"/>
  <c r="N360" i="4"/>
  <c r="CL360" i="4" s="1"/>
  <c r="CE359" i="4"/>
  <c r="CF359" i="4" s="1"/>
  <c r="AF359" i="4"/>
  <c r="CR359" i="4" s="1"/>
  <c r="AC359" i="4"/>
  <c r="U359" i="4"/>
  <c r="V359" i="4" s="1"/>
  <c r="AE359" i="4" s="1"/>
  <c r="P359" i="4"/>
  <c r="O359" i="4"/>
  <c r="CM359" i="4" s="1"/>
  <c r="N359" i="4"/>
  <c r="CL359" i="4" s="1"/>
  <c r="CE358" i="4"/>
  <c r="CF358" i="4" s="1"/>
  <c r="AC358" i="4"/>
  <c r="U358" i="4"/>
  <c r="V358" i="4" s="1"/>
  <c r="AE358" i="4" s="1"/>
  <c r="P358" i="4"/>
  <c r="O358" i="4"/>
  <c r="CM358" i="4" s="1"/>
  <c r="N358" i="4"/>
  <c r="CL358" i="4" s="1"/>
  <c r="CE357" i="4"/>
  <c r="CF357" i="4" s="1"/>
  <c r="AF357" i="4"/>
  <c r="CR357" i="4" s="1"/>
  <c r="AC357" i="4"/>
  <c r="U357" i="4"/>
  <c r="V357" i="4" s="1"/>
  <c r="AE357" i="4" s="1"/>
  <c r="P357" i="4"/>
  <c r="O357" i="4"/>
  <c r="CM357" i="4" s="1"/>
  <c r="N357" i="4"/>
  <c r="CL357" i="4" s="1"/>
  <c r="CE356" i="4"/>
  <c r="CF356" i="4" s="1"/>
  <c r="AF356" i="4"/>
  <c r="AI356" i="4" s="1"/>
  <c r="AC356" i="4"/>
  <c r="U356" i="4"/>
  <c r="V356" i="4" s="1"/>
  <c r="AE356" i="4" s="1"/>
  <c r="P356" i="4"/>
  <c r="O356" i="4"/>
  <c r="CM356" i="4" s="1"/>
  <c r="N356" i="4"/>
  <c r="CL356" i="4" s="1"/>
  <c r="CE355" i="4"/>
  <c r="CF355" i="4" s="1"/>
  <c r="AF355" i="4"/>
  <c r="AC355" i="4"/>
  <c r="U355" i="4"/>
  <c r="V355" i="4" s="1"/>
  <c r="P355" i="4"/>
  <c r="O355" i="4"/>
  <c r="CM355" i="4" s="1"/>
  <c r="N355" i="4"/>
  <c r="CL355" i="4" s="1"/>
  <c r="CE354" i="4"/>
  <c r="CF354" i="4" s="1"/>
  <c r="AC354" i="4"/>
  <c r="U354" i="4"/>
  <c r="P354" i="4"/>
  <c r="O354" i="4"/>
  <c r="CM354" i="4" s="1"/>
  <c r="N354" i="4"/>
  <c r="CL354" i="4" s="1"/>
  <c r="CE353" i="4"/>
  <c r="CF353" i="4" s="1"/>
  <c r="AQ353" i="4"/>
  <c r="AC353" i="4"/>
  <c r="U353" i="4"/>
  <c r="V353" i="4" s="1"/>
  <c r="P353" i="4"/>
  <c r="O353" i="4"/>
  <c r="CM353" i="4" s="1"/>
  <c r="N353" i="4"/>
  <c r="CL353" i="4" s="1"/>
  <c r="A353" i="4"/>
  <c r="CE352" i="4"/>
  <c r="CF352" i="4" s="1"/>
  <c r="AF352" i="4"/>
  <c r="CR352" i="4" s="1"/>
  <c r="AC352" i="4"/>
  <c r="U352" i="4"/>
  <c r="V352" i="4" s="1"/>
  <c r="AE352" i="4" s="1"/>
  <c r="P352" i="4"/>
  <c r="O352" i="4"/>
  <c r="CM352" i="4" s="1"/>
  <c r="N352" i="4"/>
  <c r="CL352" i="4" s="1"/>
  <c r="CE351" i="4"/>
  <c r="CF351" i="4" s="1"/>
  <c r="AF351" i="4"/>
  <c r="CR351" i="4" s="1"/>
  <c r="AC351" i="4"/>
  <c r="U351" i="4"/>
  <c r="V351" i="4" s="1"/>
  <c r="AE351" i="4" s="1"/>
  <c r="P351" i="4"/>
  <c r="O351" i="4"/>
  <c r="CM351" i="4" s="1"/>
  <c r="N351" i="4"/>
  <c r="CL351" i="4" s="1"/>
  <c r="CE350" i="4"/>
  <c r="CF350" i="4" s="1"/>
  <c r="AF350" i="4"/>
  <c r="CR350" i="4" s="1"/>
  <c r="AC350" i="4"/>
  <c r="U350" i="4"/>
  <c r="V350" i="4" s="1"/>
  <c r="AE350" i="4" s="1"/>
  <c r="P350" i="4"/>
  <c r="O350" i="4"/>
  <c r="CM350" i="4" s="1"/>
  <c r="N350" i="4"/>
  <c r="CL350" i="4" s="1"/>
  <c r="CE349" i="4"/>
  <c r="CF349" i="4" s="1"/>
  <c r="AC349" i="4"/>
  <c r="U349" i="4"/>
  <c r="V349" i="4" s="1"/>
  <c r="AE349" i="4" s="1"/>
  <c r="P349" i="4"/>
  <c r="O349" i="4"/>
  <c r="CM349" i="4" s="1"/>
  <c r="N349" i="4"/>
  <c r="CL349" i="4" s="1"/>
  <c r="CE348" i="4"/>
  <c r="CF348" i="4" s="1"/>
  <c r="AC348" i="4"/>
  <c r="U348" i="4"/>
  <c r="V348" i="4" s="1"/>
  <c r="AE348" i="4" s="1"/>
  <c r="P348" i="4"/>
  <c r="O348" i="4"/>
  <c r="CM348" i="4" s="1"/>
  <c r="N348" i="4"/>
  <c r="CL348" i="4" s="1"/>
  <c r="CE347" i="4"/>
  <c r="CF347" i="4" s="1"/>
  <c r="AC347" i="4"/>
  <c r="U347" i="4"/>
  <c r="V347" i="4" s="1"/>
  <c r="P347" i="4"/>
  <c r="O347" i="4"/>
  <c r="CM347" i="4" s="1"/>
  <c r="N347" i="4"/>
  <c r="CL347" i="4" s="1"/>
  <c r="CE346" i="4"/>
  <c r="CF346" i="4" s="1"/>
  <c r="AC346" i="4"/>
  <c r="U346" i="4"/>
  <c r="V346" i="4" s="1"/>
  <c r="P346" i="4"/>
  <c r="O346" i="4"/>
  <c r="CM346" i="4" s="1"/>
  <c r="N346" i="4"/>
  <c r="CL346" i="4" s="1"/>
  <c r="CE345" i="4"/>
  <c r="CF345" i="4" s="1"/>
  <c r="AC345" i="4"/>
  <c r="U345" i="4"/>
  <c r="V345" i="4" s="1"/>
  <c r="P345" i="4"/>
  <c r="O345" i="4"/>
  <c r="CM345" i="4" s="1"/>
  <c r="N345" i="4"/>
  <c r="CL345" i="4" s="1"/>
  <c r="CE344" i="4"/>
  <c r="CF344" i="4" s="1"/>
  <c r="AC344" i="4"/>
  <c r="U344" i="4"/>
  <c r="V344" i="4" s="1"/>
  <c r="P344" i="4"/>
  <c r="O344" i="4"/>
  <c r="CM344" i="4" s="1"/>
  <c r="N344" i="4"/>
  <c r="CL344" i="4" s="1"/>
  <c r="CE343" i="4"/>
  <c r="CF343" i="4" s="1"/>
  <c r="AQ343" i="4"/>
  <c r="AC343" i="4"/>
  <c r="U343" i="4"/>
  <c r="V343" i="4" s="1"/>
  <c r="P343" i="4"/>
  <c r="O343" i="4"/>
  <c r="CM343" i="4" s="1"/>
  <c r="N343" i="4"/>
  <c r="CL343" i="4" s="1"/>
  <c r="A343" i="4"/>
  <c r="CE342" i="4"/>
  <c r="CF342" i="4" s="1"/>
  <c r="AF342" i="4"/>
  <c r="CR342" i="4" s="1"/>
  <c r="AC342" i="4"/>
  <c r="U342" i="4"/>
  <c r="V342" i="4" s="1"/>
  <c r="AE342" i="4" s="1"/>
  <c r="P342" i="4"/>
  <c r="O342" i="4"/>
  <c r="CM342" i="4" s="1"/>
  <c r="N342" i="4"/>
  <c r="CL342" i="4" s="1"/>
  <c r="CE341" i="4"/>
  <c r="CF341" i="4" s="1"/>
  <c r="AF341" i="4"/>
  <c r="CR341" i="4" s="1"/>
  <c r="AC341" i="4"/>
  <c r="U341" i="4"/>
  <c r="V341" i="4" s="1"/>
  <c r="AE341" i="4" s="1"/>
  <c r="P341" i="4"/>
  <c r="O341" i="4"/>
  <c r="CM341" i="4" s="1"/>
  <c r="N341" i="4"/>
  <c r="CL341" i="4" s="1"/>
  <c r="CE340" i="4"/>
  <c r="CF340" i="4" s="1"/>
  <c r="AF340" i="4"/>
  <c r="AI340" i="4" s="1"/>
  <c r="AC340" i="4"/>
  <c r="U340" i="4"/>
  <c r="V340" i="4" s="1"/>
  <c r="AE340" i="4" s="1"/>
  <c r="P340" i="4"/>
  <c r="O340" i="4"/>
  <c r="CM340" i="4" s="1"/>
  <c r="N340" i="4"/>
  <c r="CL340" i="4" s="1"/>
  <c r="CE339" i="4"/>
  <c r="CF339" i="4" s="1"/>
  <c r="AF339" i="4"/>
  <c r="CR339" i="4" s="1"/>
  <c r="AC339" i="4"/>
  <c r="U339" i="4"/>
  <c r="V339" i="4" s="1"/>
  <c r="AE339" i="4" s="1"/>
  <c r="P339" i="4"/>
  <c r="O339" i="4"/>
  <c r="CM339" i="4" s="1"/>
  <c r="N339" i="4"/>
  <c r="CL339" i="4" s="1"/>
  <c r="CE338" i="4"/>
  <c r="CF338" i="4" s="1"/>
  <c r="AF338" i="4"/>
  <c r="CR338" i="4" s="1"/>
  <c r="AC338" i="4"/>
  <c r="U338" i="4"/>
  <c r="V338" i="4" s="1"/>
  <c r="AE338" i="4" s="1"/>
  <c r="P338" i="4"/>
  <c r="O338" i="4"/>
  <c r="CM338" i="4" s="1"/>
  <c r="N338" i="4"/>
  <c r="CL338" i="4" s="1"/>
  <c r="CE337" i="4"/>
  <c r="CF337" i="4" s="1"/>
  <c r="AC337" i="4"/>
  <c r="U337" i="4"/>
  <c r="V337" i="4" s="1"/>
  <c r="P337" i="4"/>
  <c r="O337" i="4"/>
  <c r="CM337" i="4" s="1"/>
  <c r="N337" i="4"/>
  <c r="CL337" i="4" s="1"/>
  <c r="CE336" i="4"/>
  <c r="CF336" i="4" s="1"/>
  <c r="AC336" i="4"/>
  <c r="U336" i="4"/>
  <c r="V336" i="4" s="1"/>
  <c r="P336" i="4"/>
  <c r="O336" i="4"/>
  <c r="CM336" i="4" s="1"/>
  <c r="N336" i="4"/>
  <c r="CL336" i="4" s="1"/>
  <c r="CE335" i="4"/>
  <c r="CF335" i="4" s="1"/>
  <c r="AC335" i="4"/>
  <c r="U335" i="4"/>
  <c r="V335" i="4" s="1"/>
  <c r="P335" i="4"/>
  <c r="O335" i="4"/>
  <c r="CM335" i="4" s="1"/>
  <c r="N335" i="4"/>
  <c r="CL335" i="4" s="1"/>
  <c r="CE334" i="4"/>
  <c r="CF334" i="4" s="1"/>
  <c r="AC334" i="4"/>
  <c r="U334" i="4"/>
  <c r="V334" i="4" s="1"/>
  <c r="P334" i="4"/>
  <c r="O334" i="4"/>
  <c r="CM334" i="4" s="1"/>
  <c r="N334" i="4"/>
  <c r="CL334" i="4" s="1"/>
  <c r="CE333" i="4"/>
  <c r="CF333" i="4" s="1"/>
  <c r="AQ333" i="4"/>
  <c r="AC333" i="4"/>
  <c r="U333" i="4"/>
  <c r="V333" i="4" s="1"/>
  <c r="P333" i="4"/>
  <c r="O333" i="4"/>
  <c r="CM333" i="4" s="1"/>
  <c r="N333" i="4"/>
  <c r="CL333" i="4" s="1"/>
  <c r="A333" i="4"/>
  <c r="CE332" i="4"/>
  <c r="CF332" i="4" s="1"/>
  <c r="AF332" i="4"/>
  <c r="CR332" i="4" s="1"/>
  <c r="AC332" i="4"/>
  <c r="U332" i="4"/>
  <c r="V332" i="4" s="1"/>
  <c r="AE332" i="4" s="1"/>
  <c r="P332" i="4"/>
  <c r="O332" i="4"/>
  <c r="CM332" i="4" s="1"/>
  <c r="N332" i="4"/>
  <c r="CL332" i="4" s="1"/>
  <c r="CE331" i="4"/>
  <c r="CF331" i="4" s="1"/>
  <c r="AF331" i="4"/>
  <c r="AC331" i="4"/>
  <c r="U331" i="4"/>
  <c r="V331" i="4" s="1"/>
  <c r="AE331" i="4" s="1"/>
  <c r="P331" i="4"/>
  <c r="O331" i="4"/>
  <c r="CM331" i="4" s="1"/>
  <c r="N331" i="4"/>
  <c r="CL331" i="4" s="1"/>
  <c r="CE330" i="4"/>
  <c r="CF330" i="4" s="1"/>
  <c r="AF330" i="4"/>
  <c r="AC330" i="4"/>
  <c r="U330" i="4"/>
  <c r="V330" i="4" s="1"/>
  <c r="AE330" i="4" s="1"/>
  <c r="P330" i="4"/>
  <c r="O330" i="4"/>
  <c r="CM330" i="4" s="1"/>
  <c r="N330" i="4"/>
  <c r="CL330" i="4" s="1"/>
  <c r="CE329" i="4"/>
  <c r="CF329" i="4" s="1"/>
  <c r="AF329" i="4"/>
  <c r="CR329" i="4" s="1"/>
  <c r="AC329" i="4"/>
  <c r="U329" i="4"/>
  <c r="V329" i="4" s="1"/>
  <c r="AE329" i="4" s="1"/>
  <c r="P329" i="4"/>
  <c r="O329" i="4"/>
  <c r="CM329" i="4" s="1"/>
  <c r="N329" i="4"/>
  <c r="CL329" i="4" s="1"/>
  <c r="CE328" i="4"/>
  <c r="CF328" i="4" s="1"/>
  <c r="AF328" i="4"/>
  <c r="CR328" i="4" s="1"/>
  <c r="AC328" i="4"/>
  <c r="U328" i="4"/>
  <c r="V328" i="4" s="1"/>
  <c r="AE328" i="4" s="1"/>
  <c r="P328" i="4"/>
  <c r="O328" i="4"/>
  <c r="CM328" i="4" s="1"/>
  <c r="N328" i="4"/>
  <c r="CL328" i="4" s="1"/>
  <c r="CE327" i="4"/>
  <c r="CF327" i="4" s="1"/>
  <c r="AF327" i="4"/>
  <c r="AC327" i="4"/>
  <c r="U327" i="4"/>
  <c r="V327" i="4" s="1"/>
  <c r="AE327" i="4" s="1"/>
  <c r="P327" i="4"/>
  <c r="O327" i="4"/>
  <c r="CM327" i="4" s="1"/>
  <c r="N327" i="4"/>
  <c r="CL327" i="4" s="1"/>
  <c r="CE326" i="4"/>
  <c r="CF326" i="4" s="1"/>
  <c r="AC326" i="4"/>
  <c r="U326" i="4"/>
  <c r="V326" i="4" s="1"/>
  <c r="P326" i="4"/>
  <c r="O326" i="4"/>
  <c r="CM326" i="4" s="1"/>
  <c r="N326" i="4"/>
  <c r="CL326" i="4" s="1"/>
  <c r="CE325" i="4"/>
  <c r="CF325" i="4" s="1"/>
  <c r="AC325" i="4"/>
  <c r="U325" i="4"/>
  <c r="V325" i="4" s="1"/>
  <c r="P325" i="4"/>
  <c r="O325" i="4"/>
  <c r="CM325" i="4" s="1"/>
  <c r="N325" i="4"/>
  <c r="CL325" i="4" s="1"/>
  <c r="CE324" i="4"/>
  <c r="CF324" i="4" s="1"/>
  <c r="AC324" i="4"/>
  <c r="U324" i="4"/>
  <c r="V324" i="4" s="1"/>
  <c r="P324" i="4"/>
  <c r="O324" i="4"/>
  <c r="CM324" i="4" s="1"/>
  <c r="N324" i="4"/>
  <c r="CL324" i="4" s="1"/>
  <c r="CE323" i="4"/>
  <c r="CF323" i="4" s="1"/>
  <c r="AQ323" i="4"/>
  <c r="AC323" i="4"/>
  <c r="U323" i="4"/>
  <c r="P323" i="4"/>
  <c r="O323" i="4"/>
  <c r="CM323" i="4" s="1"/>
  <c r="N323" i="4"/>
  <c r="CL323" i="4" s="1"/>
  <c r="A323" i="4"/>
  <c r="CE322" i="4"/>
  <c r="CF322" i="4" s="1"/>
  <c r="AF322" i="4"/>
  <c r="AC322" i="4"/>
  <c r="U322" i="4"/>
  <c r="V322" i="4" s="1"/>
  <c r="AE322" i="4" s="1"/>
  <c r="P322" i="4"/>
  <c r="O322" i="4"/>
  <c r="CM322" i="4" s="1"/>
  <c r="N322" i="4"/>
  <c r="CL322" i="4" s="1"/>
  <c r="CE321" i="4"/>
  <c r="CF321" i="4" s="1"/>
  <c r="AF321" i="4"/>
  <c r="AC321" i="4"/>
  <c r="U321" i="4"/>
  <c r="V321" i="4" s="1"/>
  <c r="AE321" i="4" s="1"/>
  <c r="P321" i="4"/>
  <c r="O321" i="4"/>
  <c r="CM321" i="4" s="1"/>
  <c r="N321" i="4"/>
  <c r="CL321" i="4" s="1"/>
  <c r="CE320" i="4"/>
  <c r="CF320" i="4" s="1"/>
  <c r="AF320" i="4"/>
  <c r="CR320" i="4" s="1"/>
  <c r="AC320" i="4"/>
  <c r="U320" i="4"/>
  <c r="V320" i="4" s="1"/>
  <c r="AE320" i="4" s="1"/>
  <c r="P320" i="4"/>
  <c r="O320" i="4"/>
  <c r="CM320" i="4" s="1"/>
  <c r="N320" i="4"/>
  <c r="CL320" i="4" s="1"/>
  <c r="CE319" i="4"/>
  <c r="CF319" i="4" s="1"/>
  <c r="AF319" i="4"/>
  <c r="CR319" i="4" s="1"/>
  <c r="AC319" i="4"/>
  <c r="U319" i="4"/>
  <c r="V319" i="4" s="1"/>
  <c r="P319" i="4"/>
  <c r="O319" i="4"/>
  <c r="CM319" i="4" s="1"/>
  <c r="N319" i="4"/>
  <c r="CL319" i="4" s="1"/>
  <c r="CE318" i="4"/>
  <c r="CF318" i="4" s="1"/>
  <c r="AC318" i="4"/>
  <c r="U318" i="4"/>
  <c r="V318" i="4" s="1"/>
  <c r="AF318" i="4" s="1"/>
  <c r="P318" i="4"/>
  <c r="O318" i="4"/>
  <c r="CM318" i="4" s="1"/>
  <c r="N318" i="4"/>
  <c r="CL318" i="4" s="1"/>
  <c r="CE317" i="4"/>
  <c r="CF317" i="4" s="1"/>
  <c r="AC317" i="4"/>
  <c r="U317" i="4"/>
  <c r="V317" i="4" s="1"/>
  <c r="AF317" i="4" s="1"/>
  <c r="P317" i="4"/>
  <c r="O317" i="4"/>
  <c r="CM317" i="4" s="1"/>
  <c r="N317" i="4"/>
  <c r="CL317" i="4" s="1"/>
  <c r="CE316" i="4"/>
  <c r="CF316" i="4" s="1"/>
  <c r="AC316" i="4"/>
  <c r="U316" i="4"/>
  <c r="P316" i="4"/>
  <c r="O316" i="4"/>
  <c r="CM316" i="4" s="1"/>
  <c r="N316" i="4"/>
  <c r="CL316" i="4" s="1"/>
  <c r="CE315" i="4"/>
  <c r="CF315" i="4" s="1"/>
  <c r="AC315" i="4"/>
  <c r="U315" i="4"/>
  <c r="V315" i="4" s="1"/>
  <c r="P315" i="4"/>
  <c r="O315" i="4"/>
  <c r="CM315" i="4" s="1"/>
  <c r="N315" i="4"/>
  <c r="CL315" i="4" s="1"/>
  <c r="CE314" i="4"/>
  <c r="CF314" i="4" s="1"/>
  <c r="AC314" i="4"/>
  <c r="U314" i="4"/>
  <c r="V314" i="4" s="1"/>
  <c r="AF314" i="4" s="1"/>
  <c r="P314" i="4"/>
  <c r="O314" i="4"/>
  <c r="CM314" i="4" s="1"/>
  <c r="N314" i="4"/>
  <c r="CL314" i="4" s="1"/>
  <c r="CE313" i="4"/>
  <c r="CF313" i="4" s="1"/>
  <c r="AQ313" i="4"/>
  <c r="AC313" i="4"/>
  <c r="U313" i="4"/>
  <c r="V313" i="4" s="1"/>
  <c r="AF313" i="4" s="1"/>
  <c r="P313" i="4"/>
  <c r="O313" i="4"/>
  <c r="CM313" i="4" s="1"/>
  <c r="N313" i="4"/>
  <c r="CL313" i="4" s="1"/>
  <c r="A313" i="4"/>
  <c r="CE312" i="4"/>
  <c r="CF312" i="4" s="1"/>
  <c r="AF312" i="4"/>
  <c r="CR312" i="4" s="1"/>
  <c r="AC312" i="4"/>
  <c r="U312" i="4"/>
  <c r="V312" i="4" s="1"/>
  <c r="AE312" i="4" s="1"/>
  <c r="P312" i="4"/>
  <c r="O312" i="4"/>
  <c r="CM312" i="4" s="1"/>
  <c r="N312" i="4"/>
  <c r="CL312" i="4" s="1"/>
  <c r="CE311" i="4"/>
  <c r="CF311" i="4" s="1"/>
  <c r="AF311" i="4"/>
  <c r="AI311" i="4" s="1"/>
  <c r="AC311" i="4"/>
  <c r="U311" i="4"/>
  <c r="V311" i="4" s="1"/>
  <c r="AE311" i="4" s="1"/>
  <c r="P311" i="4"/>
  <c r="O311" i="4"/>
  <c r="CM311" i="4" s="1"/>
  <c r="N311" i="4"/>
  <c r="CL311" i="4" s="1"/>
  <c r="CE310" i="4"/>
  <c r="CF310" i="4" s="1"/>
  <c r="AF310" i="4"/>
  <c r="AC310" i="4"/>
  <c r="U310" i="4"/>
  <c r="V310" i="4" s="1"/>
  <c r="AE310" i="4" s="1"/>
  <c r="P310" i="4"/>
  <c r="O310" i="4"/>
  <c r="CM310" i="4" s="1"/>
  <c r="N310" i="4"/>
  <c r="CL310" i="4" s="1"/>
  <c r="CE309" i="4"/>
  <c r="CF309" i="4" s="1"/>
  <c r="AF309" i="4"/>
  <c r="CR309" i="4" s="1"/>
  <c r="AC309" i="4"/>
  <c r="U309" i="4"/>
  <c r="V309" i="4" s="1"/>
  <c r="AE309" i="4" s="1"/>
  <c r="P309" i="4"/>
  <c r="O309" i="4"/>
  <c r="CM309" i="4" s="1"/>
  <c r="N309" i="4"/>
  <c r="CL309" i="4" s="1"/>
  <c r="CE308" i="4"/>
  <c r="CF308" i="4" s="1"/>
  <c r="AF308" i="4"/>
  <c r="CR308" i="4" s="1"/>
  <c r="AC308" i="4"/>
  <c r="U308" i="4"/>
  <c r="V308" i="4" s="1"/>
  <c r="AE308" i="4" s="1"/>
  <c r="P308" i="4"/>
  <c r="O308" i="4"/>
  <c r="CM308" i="4" s="1"/>
  <c r="N308" i="4"/>
  <c r="CL308" i="4" s="1"/>
  <c r="CE307" i="4"/>
  <c r="CF307" i="4" s="1"/>
  <c r="AC307" i="4"/>
  <c r="U307" i="4"/>
  <c r="V307" i="4" s="1"/>
  <c r="P307" i="4"/>
  <c r="O307" i="4"/>
  <c r="CM307" i="4" s="1"/>
  <c r="N307" i="4"/>
  <c r="CL307" i="4" s="1"/>
  <c r="CE306" i="4"/>
  <c r="CF306" i="4" s="1"/>
  <c r="AC306" i="4"/>
  <c r="U306" i="4"/>
  <c r="V306" i="4" s="1"/>
  <c r="P306" i="4"/>
  <c r="O306" i="4"/>
  <c r="CM306" i="4" s="1"/>
  <c r="N306" i="4"/>
  <c r="CL306" i="4" s="1"/>
  <c r="CE305" i="4"/>
  <c r="CF305" i="4" s="1"/>
  <c r="AC305" i="4"/>
  <c r="U305" i="4"/>
  <c r="P305" i="4"/>
  <c r="O305" i="4"/>
  <c r="CM305" i="4" s="1"/>
  <c r="N305" i="4"/>
  <c r="CL305" i="4" s="1"/>
  <c r="CE304" i="4"/>
  <c r="CF304" i="4" s="1"/>
  <c r="AC304" i="4"/>
  <c r="U304" i="4"/>
  <c r="V304" i="4" s="1"/>
  <c r="P304" i="4"/>
  <c r="O304" i="4"/>
  <c r="CM304" i="4" s="1"/>
  <c r="N304" i="4"/>
  <c r="CL304" i="4" s="1"/>
  <c r="CE303" i="4"/>
  <c r="CF303" i="4" s="1"/>
  <c r="AQ303" i="4"/>
  <c r="AC303" i="4"/>
  <c r="U303" i="4"/>
  <c r="V303" i="4" s="1"/>
  <c r="AF303" i="4" s="1"/>
  <c r="K183" i="3" s="1"/>
  <c r="P303" i="4"/>
  <c r="O303" i="4"/>
  <c r="CM303" i="4" s="1"/>
  <c r="N303" i="4"/>
  <c r="CL303" i="4" s="1"/>
  <c r="A303" i="4"/>
  <c r="CE302" i="4"/>
  <c r="CF302" i="4" s="1"/>
  <c r="AF302" i="4"/>
  <c r="CR302" i="4" s="1"/>
  <c r="AC302" i="4"/>
  <c r="U302" i="4"/>
  <c r="V302" i="4" s="1"/>
  <c r="P302" i="4"/>
  <c r="O302" i="4"/>
  <c r="CM302" i="4" s="1"/>
  <c r="N302" i="4"/>
  <c r="CL302" i="4" s="1"/>
  <c r="CE301" i="4"/>
  <c r="CF301" i="4" s="1"/>
  <c r="AF301" i="4"/>
  <c r="AC301" i="4"/>
  <c r="U301" i="4"/>
  <c r="V301" i="4" s="1"/>
  <c r="AE301" i="4" s="1"/>
  <c r="P301" i="4"/>
  <c r="O301" i="4"/>
  <c r="CM301" i="4" s="1"/>
  <c r="N301" i="4"/>
  <c r="CL301" i="4" s="1"/>
  <c r="CE300" i="4"/>
  <c r="CF300" i="4" s="1"/>
  <c r="AF300" i="4"/>
  <c r="CR300" i="4" s="1"/>
  <c r="AC300" i="4"/>
  <c r="U300" i="4"/>
  <c r="V300" i="4" s="1"/>
  <c r="AE300" i="4" s="1"/>
  <c r="P300" i="4"/>
  <c r="O300" i="4"/>
  <c r="CM300" i="4" s="1"/>
  <c r="N300" i="4"/>
  <c r="CL300" i="4" s="1"/>
  <c r="CE299" i="4"/>
  <c r="CF299" i="4" s="1"/>
  <c r="AF299" i="4"/>
  <c r="AC299" i="4"/>
  <c r="U299" i="4"/>
  <c r="V299" i="4" s="1"/>
  <c r="AE299" i="4" s="1"/>
  <c r="P299" i="4"/>
  <c r="O299" i="4"/>
  <c r="CM299" i="4" s="1"/>
  <c r="N299" i="4"/>
  <c r="CL299" i="4" s="1"/>
  <c r="CE298" i="4"/>
  <c r="CF298" i="4" s="1"/>
  <c r="AF298" i="4"/>
  <c r="AI298" i="4" s="1"/>
  <c r="AC298" i="4"/>
  <c r="U298" i="4"/>
  <c r="V298" i="4" s="1"/>
  <c r="AE298" i="4" s="1"/>
  <c r="P298" i="4"/>
  <c r="O298" i="4"/>
  <c r="CM298" i="4" s="1"/>
  <c r="N298" i="4"/>
  <c r="CL298" i="4" s="1"/>
  <c r="CE297" i="4"/>
  <c r="CF297" i="4" s="1"/>
  <c r="AF297" i="4"/>
  <c r="AC297" i="4"/>
  <c r="U297" i="4"/>
  <c r="V297" i="4" s="1"/>
  <c r="AE297" i="4" s="1"/>
  <c r="P297" i="4"/>
  <c r="O297" i="4"/>
  <c r="CM297" i="4" s="1"/>
  <c r="N297" i="4"/>
  <c r="CL297" i="4" s="1"/>
  <c r="CE296" i="4"/>
  <c r="CF296" i="4" s="1"/>
  <c r="AC296" i="4"/>
  <c r="U296" i="4"/>
  <c r="V296" i="4" s="1"/>
  <c r="P296" i="4"/>
  <c r="O296" i="4"/>
  <c r="CM296" i="4" s="1"/>
  <c r="N296" i="4"/>
  <c r="CL296" i="4" s="1"/>
  <c r="CE295" i="4"/>
  <c r="CF295" i="4" s="1"/>
  <c r="AC295" i="4"/>
  <c r="U295" i="4"/>
  <c r="V295" i="4" s="1"/>
  <c r="P295" i="4"/>
  <c r="O295" i="4"/>
  <c r="CM295" i="4" s="1"/>
  <c r="N295" i="4"/>
  <c r="CL295" i="4" s="1"/>
  <c r="CE294" i="4"/>
  <c r="CF294" i="4" s="1"/>
  <c r="AC294" i="4"/>
  <c r="U294" i="4"/>
  <c r="V294" i="4" s="1"/>
  <c r="P294" i="4"/>
  <c r="O294" i="4"/>
  <c r="CM294" i="4" s="1"/>
  <c r="N294" i="4"/>
  <c r="CL294" i="4" s="1"/>
  <c r="CE293" i="4"/>
  <c r="CF293" i="4" s="1"/>
  <c r="AQ293" i="4"/>
  <c r="AC293" i="4"/>
  <c r="U293" i="4"/>
  <c r="V293" i="4" s="1"/>
  <c r="P293" i="4"/>
  <c r="O293" i="4"/>
  <c r="CM293" i="4" s="1"/>
  <c r="N293" i="4"/>
  <c r="CL293" i="4" s="1"/>
  <c r="A293" i="4"/>
  <c r="CE292" i="4"/>
  <c r="CF292" i="4" s="1"/>
  <c r="AF292" i="4"/>
  <c r="AC292" i="4"/>
  <c r="U292" i="4"/>
  <c r="V292" i="4" s="1"/>
  <c r="AE292" i="4" s="1"/>
  <c r="P292" i="4"/>
  <c r="O292" i="4"/>
  <c r="CM292" i="4" s="1"/>
  <c r="N292" i="4"/>
  <c r="CL292" i="4" s="1"/>
  <c r="CE291" i="4"/>
  <c r="CF291" i="4" s="1"/>
  <c r="AF291" i="4"/>
  <c r="CR291" i="4" s="1"/>
  <c r="AC291" i="4"/>
  <c r="U291" i="4"/>
  <c r="V291" i="4" s="1"/>
  <c r="AE291" i="4" s="1"/>
  <c r="P291" i="4"/>
  <c r="O291" i="4"/>
  <c r="CM291" i="4" s="1"/>
  <c r="N291" i="4"/>
  <c r="CL291" i="4" s="1"/>
  <c r="CE290" i="4"/>
  <c r="CF290" i="4" s="1"/>
  <c r="AF290" i="4"/>
  <c r="CR290" i="4" s="1"/>
  <c r="AC290" i="4"/>
  <c r="U290" i="4"/>
  <c r="V290" i="4" s="1"/>
  <c r="AE290" i="4" s="1"/>
  <c r="P290" i="4"/>
  <c r="O290" i="4"/>
  <c r="CM290" i="4" s="1"/>
  <c r="N290" i="4"/>
  <c r="CL290" i="4" s="1"/>
  <c r="CE289" i="4"/>
  <c r="CF289" i="4" s="1"/>
  <c r="AC289" i="4"/>
  <c r="U289" i="4"/>
  <c r="V289" i="4" s="1"/>
  <c r="AF289" i="4" s="1"/>
  <c r="AI289" i="4" s="1"/>
  <c r="P289" i="4"/>
  <c r="O289" i="4"/>
  <c r="CM289" i="4" s="1"/>
  <c r="N289" i="4"/>
  <c r="CL289" i="4" s="1"/>
  <c r="CE288" i="4"/>
  <c r="CF288" i="4" s="1"/>
  <c r="AC288" i="4"/>
  <c r="U288" i="4"/>
  <c r="V288" i="4" s="1"/>
  <c r="AF288" i="4" s="1"/>
  <c r="P288" i="4"/>
  <c r="O288" i="4"/>
  <c r="CM288" i="4" s="1"/>
  <c r="N288" i="4"/>
  <c r="CL288" i="4" s="1"/>
  <c r="CE287" i="4"/>
  <c r="CF287" i="4" s="1"/>
  <c r="AC287" i="4"/>
  <c r="U287" i="4"/>
  <c r="V287" i="4" s="1"/>
  <c r="P287" i="4"/>
  <c r="O287" i="4"/>
  <c r="CM287" i="4" s="1"/>
  <c r="N287" i="4"/>
  <c r="CL287" i="4" s="1"/>
  <c r="CE286" i="4"/>
  <c r="CF286" i="4" s="1"/>
  <c r="AC286" i="4"/>
  <c r="U286" i="4"/>
  <c r="V286" i="4" s="1"/>
  <c r="P286" i="4"/>
  <c r="O286" i="4"/>
  <c r="CM286" i="4" s="1"/>
  <c r="N286" i="4"/>
  <c r="CL286" i="4" s="1"/>
  <c r="CE285" i="4"/>
  <c r="CF285" i="4" s="1"/>
  <c r="AC285" i="4"/>
  <c r="U285" i="4"/>
  <c r="V285" i="4" s="1"/>
  <c r="P285" i="4"/>
  <c r="O285" i="4"/>
  <c r="CM285" i="4" s="1"/>
  <c r="N285" i="4"/>
  <c r="CL285" i="4" s="1"/>
  <c r="CE284" i="4"/>
  <c r="CF284" i="4" s="1"/>
  <c r="AC284" i="4"/>
  <c r="U284" i="4"/>
  <c r="V284" i="4" s="1"/>
  <c r="P284" i="4"/>
  <c r="O284" i="4"/>
  <c r="CM284" i="4" s="1"/>
  <c r="N284" i="4"/>
  <c r="CL284" i="4" s="1"/>
  <c r="CE283" i="4"/>
  <c r="CF283" i="4" s="1"/>
  <c r="AQ283" i="4"/>
  <c r="AC283" i="4"/>
  <c r="U283" i="4"/>
  <c r="V283" i="4" s="1"/>
  <c r="P283" i="4"/>
  <c r="O283" i="4"/>
  <c r="CM283" i="4" s="1"/>
  <c r="N283" i="4"/>
  <c r="CL283" i="4" s="1"/>
  <c r="A283" i="4"/>
  <c r="CE282" i="4"/>
  <c r="CF282" i="4" s="1"/>
  <c r="AF282" i="4"/>
  <c r="AC282" i="4"/>
  <c r="U282" i="4"/>
  <c r="V282" i="4" s="1"/>
  <c r="AE282" i="4" s="1"/>
  <c r="P282" i="4"/>
  <c r="O282" i="4"/>
  <c r="CM282" i="4" s="1"/>
  <c r="N282" i="4"/>
  <c r="CL282" i="4" s="1"/>
  <c r="CE281" i="4"/>
  <c r="CF281" i="4" s="1"/>
  <c r="AF281" i="4"/>
  <c r="AI281" i="4" s="1"/>
  <c r="AC281" i="4"/>
  <c r="U281" i="4"/>
  <c r="V281" i="4" s="1"/>
  <c r="AE281" i="4" s="1"/>
  <c r="P281" i="4"/>
  <c r="O281" i="4"/>
  <c r="CM281" i="4" s="1"/>
  <c r="N281" i="4"/>
  <c r="CL281" i="4" s="1"/>
  <c r="CE280" i="4"/>
  <c r="CF280" i="4" s="1"/>
  <c r="AF280" i="4"/>
  <c r="AI280" i="4" s="1"/>
  <c r="AC280" i="4"/>
  <c r="U280" i="4"/>
  <c r="V280" i="4" s="1"/>
  <c r="AE280" i="4" s="1"/>
  <c r="P280" i="4"/>
  <c r="O280" i="4"/>
  <c r="CM280" i="4" s="1"/>
  <c r="N280" i="4"/>
  <c r="CL280" i="4" s="1"/>
  <c r="CE279" i="4"/>
  <c r="CF279" i="4" s="1"/>
  <c r="AF279" i="4"/>
  <c r="AC279" i="4"/>
  <c r="U279" i="4"/>
  <c r="V279" i="4" s="1"/>
  <c r="AE279" i="4" s="1"/>
  <c r="P279" i="4"/>
  <c r="O279" i="4"/>
  <c r="CM279" i="4" s="1"/>
  <c r="N279" i="4"/>
  <c r="CL279" i="4" s="1"/>
  <c r="CE278" i="4"/>
  <c r="CF278" i="4" s="1"/>
  <c r="AC278" i="4"/>
  <c r="U278" i="4"/>
  <c r="V278" i="4" s="1"/>
  <c r="AF278" i="4" s="1"/>
  <c r="AI278" i="4" s="1"/>
  <c r="P278" i="4"/>
  <c r="O278" i="4"/>
  <c r="CM278" i="4" s="1"/>
  <c r="N278" i="4"/>
  <c r="CL278" i="4" s="1"/>
  <c r="CE277" i="4"/>
  <c r="CF277" i="4" s="1"/>
  <c r="AC277" i="4"/>
  <c r="U277" i="4"/>
  <c r="V277" i="4" s="1"/>
  <c r="P277" i="4"/>
  <c r="O277" i="4"/>
  <c r="CM277" i="4" s="1"/>
  <c r="N277" i="4"/>
  <c r="CL277" i="4" s="1"/>
  <c r="CE276" i="4"/>
  <c r="CF276" i="4" s="1"/>
  <c r="AC276" i="4"/>
  <c r="U276" i="4"/>
  <c r="V276" i="4" s="1"/>
  <c r="P276" i="4"/>
  <c r="O276" i="4"/>
  <c r="CM276" i="4" s="1"/>
  <c r="N276" i="4"/>
  <c r="CL276" i="4" s="1"/>
  <c r="CE275" i="4"/>
  <c r="CF275" i="4" s="1"/>
  <c r="AC275" i="4"/>
  <c r="U275" i="4"/>
  <c r="V275" i="4" s="1"/>
  <c r="P275" i="4"/>
  <c r="O275" i="4"/>
  <c r="CM275" i="4" s="1"/>
  <c r="N275" i="4"/>
  <c r="CL275" i="4" s="1"/>
  <c r="CE274" i="4"/>
  <c r="CF274" i="4" s="1"/>
  <c r="AC274" i="4"/>
  <c r="U274" i="4"/>
  <c r="V274" i="4" s="1"/>
  <c r="P274" i="4"/>
  <c r="O274" i="4"/>
  <c r="CM274" i="4" s="1"/>
  <c r="N274" i="4"/>
  <c r="CL274" i="4" s="1"/>
  <c r="CE273" i="4"/>
  <c r="CF273" i="4" s="1"/>
  <c r="AQ273" i="4"/>
  <c r="AC273" i="4"/>
  <c r="U273" i="4"/>
  <c r="V273" i="4" s="1"/>
  <c r="P273" i="4"/>
  <c r="O273" i="4"/>
  <c r="CM273" i="4" s="1"/>
  <c r="N273" i="4"/>
  <c r="CL273" i="4" s="1"/>
  <c r="A273" i="4"/>
  <c r="CE272" i="4"/>
  <c r="CF272" i="4" s="1"/>
  <c r="AF272" i="4"/>
  <c r="CR272" i="4" s="1"/>
  <c r="U272" i="4"/>
  <c r="V272" i="4" s="1"/>
  <c r="AE272" i="4" s="1"/>
  <c r="P272" i="4"/>
  <c r="O272" i="4"/>
  <c r="CM272" i="4" s="1"/>
  <c r="N272" i="4"/>
  <c r="CL272" i="4" s="1"/>
  <c r="CE271" i="4"/>
  <c r="CF271" i="4" s="1"/>
  <c r="AF271" i="4"/>
  <c r="AI271" i="4" s="1"/>
  <c r="U271" i="4"/>
  <c r="V271" i="4" s="1"/>
  <c r="AE271" i="4" s="1"/>
  <c r="P271" i="4"/>
  <c r="O271" i="4"/>
  <c r="CM271" i="4" s="1"/>
  <c r="N271" i="4"/>
  <c r="CL271" i="4" s="1"/>
  <c r="CE270" i="4"/>
  <c r="CF270" i="4" s="1"/>
  <c r="AF270" i="4"/>
  <c r="U270" i="4"/>
  <c r="V270" i="4" s="1"/>
  <c r="AE270" i="4" s="1"/>
  <c r="P270" i="4"/>
  <c r="O270" i="4"/>
  <c r="CM270" i="4" s="1"/>
  <c r="N270" i="4"/>
  <c r="CL270" i="4" s="1"/>
  <c r="CE269" i="4"/>
  <c r="CF269" i="4" s="1"/>
  <c r="AF269" i="4"/>
  <c r="AI269" i="4" s="1"/>
  <c r="U269" i="4"/>
  <c r="V269" i="4" s="1"/>
  <c r="AE269" i="4" s="1"/>
  <c r="P269" i="4"/>
  <c r="O269" i="4"/>
  <c r="CM269" i="4" s="1"/>
  <c r="N269" i="4"/>
  <c r="CL269" i="4" s="1"/>
  <c r="CE268" i="4"/>
  <c r="CF268" i="4" s="1"/>
  <c r="AF268" i="4"/>
  <c r="AI268" i="4" s="1"/>
  <c r="U268" i="4"/>
  <c r="V268" i="4" s="1"/>
  <c r="AE268" i="4" s="1"/>
  <c r="P268" i="4"/>
  <c r="O268" i="4"/>
  <c r="CM268" i="4" s="1"/>
  <c r="N268" i="4"/>
  <c r="CL268" i="4" s="1"/>
  <c r="CE267" i="4"/>
  <c r="CF267" i="4" s="1"/>
  <c r="AF267" i="4"/>
  <c r="CR267" i="4" s="1"/>
  <c r="U267" i="4"/>
  <c r="V267" i="4" s="1"/>
  <c r="AE267" i="4" s="1"/>
  <c r="P267" i="4"/>
  <c r="O267" i="4"/>
  <c r="CM267" i="4" s="1"/>
  <c r="N267" i="4"/>
  <c r="CL267" i="4" s="1"/>
  <c r="CE266" i="4"/>
  <c r="CF266" i="4" s="1"/>
  <c r="U266" i="4"/>
  <c r="V266" i="4" s="1"/>
  <c r="P266" i="4"/>
  <c r="O266" i="4"/>
  <c r="CM266" i="4" s="1"/>
  <c r="N266" i="4"/>
  <c r="CL266" i="4" s="1"/>
  <c r="CE265" i="4"/>
  <c r="CF265" i="4" s="1"/>
  <c r="U265" i="4"/>
  <c r="P265" i="4"/>
  <c r="O265" i="4"/>
  <c r="CM265" i="4" s="1"/>
  <c r="N265" i="4"/>
  <c r="CL265" i="4" s="1"/>
  <c r="CE264" i="4"/>
  <c r="CF264" i="4" s="1"/>
  <c r="U264" i="4"/>
  <c r="P264" i="4"/>
  <c r="O264" i="4"/>
  <c r="CM264" i="4" s="1"/>
  <c r="N264" i="4"/>
  <c r="CL264" i="4" s="1"/>
  <c r="CE263" i="4"/>
  <c r="CF263" i="4" s="1"/>
  <c r="AQ263" i="4"/>
  <c r="P263" i="4"/>
  <c r="O263" i="4"/>
  <c r="CM263" i="4" s="1"/>
  <c r="N263" i="4"/>
  <c r="CL263" i="4" s="1"/>
  <c r="A263" i="4"/>
  <c r="CE262" i="4"/>
  <c r="CF262" i="4" s="1"/>
  <c r="AF262" i="4"/>
  <c r="CR262" i="4" s="1"/>
  <c r="U262" i="4"/>
  <c r="V262" i="4" s="1"/>
  <c r="AE262" i="4" s="1"/>
  <c r="P262" i="4"/>
  <c r="O262" i="4"/>
  <c r="CM262" i="4" s="1"/>
  <c r="N262" i="4"/>
  <c r="CL262" i="4" s="1"/>
  <c r="CE261" i="4"/>
  <c r="CF261" i="4" s="1"/>
  <c r="AF261" i="4"/>
  <c r="CR261" i="4" s="1"/>
  <c r="U261" i="4"/>
  <c r="V261" i="4" s="1"/>
  <c r="AE261" i="4" s="1"/>
  <c r="P261" i="4"/>
  <c r="O261" i="4"/>
  <c r="CM261" i="4" s="1"/>
  <c r="N261" i="4"/>
  <c r="CL261" i="4" s="1"/>
  <c r="CE260" i="4"/>
  <c r="CF260" i="4" s="1"/>
  <c r="AF260" i="4"/>
  <c r="CR260" i="4" s="1"/>
  <c r="U260" i="4"/>
  <c r="V260" i="4" s="1"/>
  <c r="AE260" i="4" s="1"/>
  <c r="P260" i="4"/>
  <c r="O260" i="4"/>
  <c r="CM260" i="4" s="1"/>
  <c r="N260" i="4"/>
  <c r="CL260" i="4" s="1"/>
  <c r="CE259" i="4"/>
  <c r="CF259" i="4" s="1"/>
  <c r="AF259" i="4"/>
  <c r="U259" i="4"/>
  <c r="V259" i="4" s="1"/>
  <c r="AE259" i="4" s="1"/>
  <c r="P259" i="4"/>
  <c r="O259" i="4"/>
  <c r="CM259" i="4" s="1"/>
  <c r="N259" i="4"/>
  <c r="CL259" i="4" s="1"/>
  <c r="CE258" i="4"/>
  <c r="CF258" i="4" s="1"/>
  <c r="AF258" i="4"/>
  <c r="AI258" i="4" s="1"/>
  <c r="U258" i="4"/>
  <c r="V258" i="4" s="1"/>
  <c r="AE258" i="4" s="1"/>
  <c r="P258" i="4"/>
  <c r="O258" i="4"/>
  <c r="CM258" i="4" s="1"/>
  <c r="N258" i="4"/>
  <c r="CL258" i="4" s="1"/>
  <c r="CE257" i="4"/>
  <c r="CF257" i="4" s="1"/>
  <c r="U257" i="4"/>
  <c r="V257" i="4" s="1"/>
  <c r="AE257" i="4" s="1"/>
  <c r="P257" i="4"/>
  <c r="O257" i="4"/>
  <c r="CM257" i="4" s="1"/>
  <c r="N257" i="4"/>
  <c r="CL257" i="4" s="1"/>
  <c r="CE256" i="4"/>
  <c r="CF256" i="4" s="1"/>
  <c r="U256" i="4"/>
  <c r="V256" i="4" s="1"/>
  <c r="P256" i="4"/>
  <c r="O256" i="4"/>
  <c r="CM256" i="4" s="1"/>
  <c r="N256" i="4"/>
  <c r="CL256" i="4" s="1"/>
  <c r="CE255" i="4"/>
  <c r="CF255" i="4" s="1"/>
  <c r="U255" i="4"/>
  <c r="V255" i="4" s="1"/>
  <c r="P255" i="4"/>
  <c r="O255" i="4"/>
  <c r="CM255" i="4" s="1"/>
  <c r="N255" i="4"/>
  <c r="CL255" i="4" s="1"/>
  <c r="CE254" i="4"/>
  <c r="CF254" i="4" s="1"/>
  <c r="U254" i="4"/>
  <c r="P254" i="4"/>
  <c r="O254" i="4"/>
  <c r="CM254" i="4" s="1"/>
  <c r="N254" i="4"/>
  <c r="CL254" i="4" s="1"/>
  <c r="CE253" i="4"/>
  <c r="CF253" i="4" s="1"/>
  <c r="AQ253" i="4"/>
  <c r="U253" i="4"/>
  <c r="V253" i="4" s="1"/>
  <c r="P253" i="4"/>
  <c r="O253" i="4"/>
  <c r="CM253" i="4" s="1"/>
  <c r="N253" i="4"/>
  <c r="CL253" i="4" s="1"/>
  <c r="A253" i="4"/>
  <c r="CE252" i="4"/>
  <c r="CF252" i="4" s="1"/>
  <c r="AF252" i="4"/>
  <c r="CR252" i="4" s="1"/>
  <c r="U252" i="4"/>
  <c r="V252" i="4" s="1"/>
  <c r="AE252" i="4" s="1"/>
  <c r="P252" i="4"/>
  <c r="O252" i="4"/>
  <c r="CM252" i="4" s="1"/>
  <c r="N252" i="4"/>
  <c r="CL252" i="4" s="1"/>
  <c r="CE251" i="4"/>
  <c r="CF251" i="4" s="1"/>
  <c r="AF251" i="4"/>
  <c r="CR251" i="4" s="1"/>
  <c r="U251" i="4"/>
  <c r="V251" i="4" s="1"/>
  <c r="AE251" i="4" s="1"/>
  <c r="P251" i="4"/>
  <c r="O251" i="4"/>
  <c r="CM251" i="4" s="1"/>
  <c r="N251" i="4"/>
  <c r="CL251" i="4" s="1"/>
  <c r="CE250" i="4"/>
  <c r="CF250" i="4" s="1"/>
  <c r="AF250" i="4"/>
  <c r="CR250" i="4" s="1"/>
  <c r="U250" i="4"/>
  <c r="V250" i="4" s="1"/>
  <c r="AE250" i="4" s="1"/>
  <c r="P250" i="4"/>
  <c r="O250" i="4"/>
  <c r="CM250" i="4" s="1"/>
  <c r="N250" i="4"/>
  <c r="CL250" i="4" s="1"/>
  <c r="CE249" i="4"/>
  <c r="CF249" i="4" s="1"/>
  <c r="AF249" i="4"/>
  <c r="AI249" i="4" s="1"/>
  <c r="U249" i="4"/>
  <c r="V249" i="4" s="1"/>
  <c r="AE249" i="4" s="1"/>
  <c r="P249" i="4"/>
  <c r="O249" i="4"/>
  <c r="CM249" i="4" s="1"/>
  <c r="N249" i="4"/>
  <c r="CL249" i="4" s="1"/>
  <c r="CE248" i="4"/>
  <c r="CF248" i="4" s="1"/>
  <c r="AF248" i="4"/>
  <c r="CR248" i="4" s="1"/>
  <c r="U248" i="4"/>
  <c r="V248" i="4" s="1"/>
  <c r="AE248" i="4" s="1"/>
  <c r="P248" i="4"/>
  <c r="O248" i="4"/>
  <c r="CM248" i="4" s="1"/>
  <c r="N248" i="4"/>
  <c r="CL248" i="4" s="1"/>
  <c r="CE247" i="4"/>
  <c r="CF247" i="4" s="1"/>
  <c r="U247" i="4"/>
  <c r="V247" i="4" s="1"/>
  <c r="AE247" i="4" s="1"/>
  <c r="P247" i="4"/>
  <c r="O247" i="4"/>
  <c r="CM247" i="4" s="1"/>
  <c r="N247" i="4"/>
  <c r="CL247" i="4" s="1"/>
  <c r="CE246" i="4"/>
  <c r="CF246" i="4" s="1"/>
  <c r="U246" i="4"/>
  <c r="P246" i="4"/>
  <c r="O246" i="4"/>
  <c r="CM246" i="4" s="1"/>
  <c r="N246" i="4"/>
  <c r="CL246" i="4" s="1"/>
  <c r="CE245" i="4"/>
  <c r="CF245" i="4" s="1"/>
  <c r="U245" i="4"/>
  <c r="V245" i="4" s="1"/>
  <c r="P245" i="4"/>
  <c r="O245" i="4"/>
  <c r="CM245" i="4" s="1"/>
  <c r="N245" i="4"/>
  <c r="CL245" i="4" s="1"/>
  <c r="CE244" i="4"/>
  <c r="CF244" i="4" s="1"/>
  <c r="U244" i="4"/>
  <c r="V244" i="4" s="1"/>
  <c r="P244" i="4"/>
  <c r="O244" i="4"/>
  <c r="CM244" i="4" s="1"/>
  <c r="N244" i="4"/>
  <c r="CL244" i="4" s="1"/>
  <c r="CE243" i="4"/>
  <c r="CF243" i="4" s="1"/>
  <c r="AQ243" i="4"/>
  <c r="U243" i="4"/>
  <c r="V243" i="4" s="1"/>
  <c r="P243" i="4"/>
  <c r="O243" i="4"/>
  <c r="CM243" i="4" s="1"/>
  <c r="N243" i="4"/>
  <c r="CL243" i="4" s="1"/>
  <c r="A243" i="4"/>
  <c r="CE242" i="4"/>
  <c r="CF242" i="4" s="1"/>
  <c r="AF242" i="4"/>
  <c r="CR242" i="4" s="1"/>
  <c r="U242" i="4"/>
  <c r="V242" i="4" s="1"/>
  <c r="AE242" i="4" s="1"/>
  <c r="P242" i="4"/>
  <c r="O242" i="4"/>
  <c r="CM242" i="4" s="1"/>
  <c r="N242" i="4"/>
  <c r="CL242" i="4" s="1"/>
  <c r="CE241" i="4"/>
  <c r="CF241" i="4" s="1"/>
  <c r="AF241" i="4"/>
  <c r="CR241" i="4" s="1"/>
  <c r="U241" i="4"/>
  <c r="V241" i="4" s="1"/>
  <c r="AE241" i="4" s="1"/>
  <c r="P241" i="4"/>
  <c r="O241" i="4"/>
  <c r="CM241" i="4" s="1"/>
  <c r="N241" i="4"/>
  <c r="CL241" i="4" s="1"/>
  <c r="CE240" i="4"/>
  <c r="CF240" i="4" s="1"/>
  <c r="AF240" i="4"/>
  <c r="CR240" i="4" s="1"/>
  <c r="U240" i="4"/>
  <c r="V240" i="4" s="1"/>
  <c r="AE240" i="4" s="1"/>
  <c r="P240" i="4"/>
  <c r="O240" i="4"/>
  <c r="CM240" i="4" s="1"/>
  <c r="N240" i="4"/>
  <c r="CL240" i="4" s="1"/>
  <c r="CE239" i="4"/>
  <c r="CF239" i="4" s="1"/>
  <c r="AF239" i="4"/>
  <c r="U239" i="4"/>
  <c r="V239" i="4" s="1"/>
  <c r="AE239" i="4" s="1"/>
  <c r="P239" i="4"/>
  <c r="O239" i="4"/>
  <c r="CM239" i="4" s="1"/>
  <c r="N239" i="4"/>
  <c r="CL239" i="4" s="1"/>
  <c r="CE238" i="4"/>
  <c r="CF238" i="4" s="1"/>
  <c r="U238" i="4"/>
  <c r="V238" i="4" s="1"/>
  <c r="AE238" i="4" s="1"/>
  <c r="P238" i="4"/>
  <c r="O238" i="4"/>
  <c r="CM238" i="4" s="1"/>
  <c r="N238" i="4"/>
  <c r="CL238" i="4" s="1"/>
  <c r="CE237" i="4"/>
  <c r="CF237" i="4" s="1"/>
  <c r="U237" i="4"/>
  <c r="V237" i="4" s="1"/>
  <c r="P237" i="4"/>
  <c r="O237" i="4"/>
  <c r="CM237" i="4" s="1"/>
  <c r="N237" i="4"/>
  <c r="CL237" i="4" s="1"/>
  <c r="CE236" i="4"/>
  <c r="CF236" i="4" s="1"/>
  <c r="U236" i="4"/>
  <c r="AF236" i="4" s="1"/>
  <c r="CR236" i="4" s="1"/>
  <c r="P236" i="4"/>
  <c r="O236" i="4"/>
  <c r="CM236" i="4" s="1"/>
  <c r="N236" i="4"/>
  <c r="CL236" i="4" s="1"/>
  <c r="CE235" i="4"/>
  <c r="CF235" i="4" s="1"/>
  <c r="U235" i="4"/>
  <c r="P235" i="4"/>
  <c r="O235" i="4"/>
  <c r="CM235" i="4" s="1"/>
  <c r="N235" i="4"/>
  <c r="CL235" i="4" s="1"/>
  <c r="CE234" i="4"/>
  <c r="CF234" i="4" s="1"/>
  <c r="U234" i="4"/>
  <c r="P234" i="4"/>
  <c r="O234" i="4"/>
  <c r="CM234" i="4" s="1"/>
  <c r="N234" i="4"/>
  <c r="CL234" i="4" s="1"/>
  <c r="CE233" i="4"/>
  <c r="CF233" i="4" s="1"/>
  <c r="AQ233" i="4"/>
  <c r="U233" i="4"/>
  <c r="V233" i="4" s="1"/>
  <c r="P233" i="4"/>
  <c r="O233" i="4"/>
  <c r="CM233" i="4" s="1"/>
  <c r="N233" i="4"/>
  <c r="CL233" i="4" s="1"/>
  <c r="A233" i="4"/>
  <c r="CE232" i="4"/>
  <c r="CF232" i="4" s="1"/>
  <c r="AF232" i="4"/>
  <c r="CR232" i="4" s="1"/>
  <c r="U232" i="4"/>
  <c r="V232" i="4" s="1"/>
  <c r="AE232" i="4" s="1"/>
  <c r="P232" i="4"/>
  <c r="O232" i="4"/>
  <c r="CM232" i="4" s="1"/>
  <c r="N232" i="4"/>
  <c r="CL232" i="4" s="1"/>
  <c r="CE231" i="4"/>
  <c r="CF231" i="4" s="1"/>
  <c r="AF231" i="4"/>
  <c r="CR231" i="4" s="1"/>
  <c r="U231" i="4"/>
  <c r="V231" i="4" s="1"/>
  <c r="AE231" i="4" s="1"/>
  <c r="P231" i="4"/>
  <c r="O231" i="4"/>
  <c r="CM231" i="4" s="1"/>
  <c r="N231" i="4"/>
  <c r="CL231" i="4" s="1"/>
  <c r="CE230" i="4"/>
  <c r="CF230" i="4" s="1"/>
  <c r="AF230" i="4"/>
  <c r="CR230" i="4" s="1"/>
  <c r="U230" i="4"/>
  <c r="V230" i="4" s="1"/>
  <c r="AE230" i="4" s="1"/>
  <c r="P230" i="4"/>
  <c r="O230" i="4"/>
  <c r="CM230" i="4" s="1"/>
  <c r="N230" i="4"/>
  <c r="CL230" i="4" s="1"/>
  <c r="CE229" i="4"/>
  <c r="CF229" i="4" s="1"/>
  <c r="AF229" i="4"/>
  <c r="U229" i="4"/>
  <c r="V229" i="4" s="1"/>
  <c r="AE229" i="4" s="1"/>
  <c r="P229" i="4"/>
  <c r="O229" i="4"/>
  <c r="CM229" i="4" s="1"/>
  <c r="N229" i="4"/>
  <c r="CL229" i="4" s="1"/>
  <c r="CE228" i="4"/>
  <c r="CF228" i="4" s="1"/>
  <c r="AF228" i="4"/>
  <c r="AI228" i="4" s="1"/>
  <c r="U228" i="4"/>
  <c r="V228" i="4" s="1"/>
  <c r="AE228" i="4" s="1"/>
  <c r="P228" i="4"/>
  <c r="O228" i="4"/>
  <c r="CM228" i="4" s="1"/>
  <c r="N228" i="4"/>
  <c r="CL228" i="4" s="1"/>
  <c r="CE227" i="4"/>
  <c r="CF227" i="4" s="1"/>
  <c r="U227" i="4"/>
  <c r="P227" i="4"/>
  <c r="O227" i="4"/>
  <c r="CM227" i="4" s="1"/>
  <c r="N227" i="4"/>
  <c r="CL227" i="4" s="1"/>
  <c r="CE226" i="4"/>
  <c r="CF226" i="4" s="1"/>
  <c r="U226" i="4"/>
  <c r="V226" i="4" s="1"/>
  <c r="P226" i="4"/>
  <c r="O226" i="4"/>
  <c r="CM226" i="4" s="1"/>
  <c r="N226" i="4"/>
  <c r="CL226" i="4" s="1"/>
  <c r="CE225" i="4"/>
  <c r="CF225" i="4" s="1"/>
  <c r="U225" i="4"/>
  <c r="V225" i="4" s="1"/>
  <c r="P225" i="4"/>
  <c r="O225" i="4"/>
  <c r="CM225" i="4" s="1"/>
  <c r="N225" i="4"/>
  <c r="CL225" i="4" s="1"/>
  <c r="CE224" i="4"/>
  <c r="CF224" i="4" s="1"/>
  <c r="U224" i="4"/>
  <c r="V224" i="4" s="1"/>
  <c r="AE224" i="4" s="1"/>
  <c r="P224" i="4"/>
  <c r="O224" i="4"/>
  <c r="CM224" i="4" s="1"/>
  <c r="N224" i="4"/>
  <c r="CL224" i="4" s="1"/>
  <c r="CE223" i="4"/>
  <c r="CF223" i="4" s="1"/>
  <c r="AQ223" i="4"/>
  <c r="U223" i="4"/>
  <c r="V223" i="4" s="1"/>
  <c r="P223" i="4"/>
  <c r="O223" i="4"/>
  <c r="CM223" i="4" s="1"/>
  <c r="N223" i="4"/>
  <c r="CL223" i="4" s="1"/>
  <c r="A223" i="4"/>
  <c r="CE222" i="4"/>
  <c r="CF222" i="4" s="1"/>
  <c r="AF222" i="4"/>
  <c r="CR222" i="4" s="1"/>
  <c r="U222" i="4"/>
  <c r="V222" i="4" s="1"/>
  <c r="AE222" i="4" s="1"/>
  <c r="P222" i="4"/>
  <c r="O222" i="4"/>
  <c r="CM222" i="4" s="1"/>
  <c r="N222" i="4"/>
  <c r="CL222" i="4" s="1"/>
  <c r="CE221" i="4"/>
  <c r="CF221" i="4" s="1"/>
  <c r="AF221" i="4"/>
  <c r="CR221" i="4" s="1"/>
  <c r="U221" i="4"/>
  <c r="V221" i="4" s="1"/>
  <c r="AE221" i="4" s="1"/>
  <c r="P221" i="4"/>
  <c r="O221" i="4"/>
  <c r="CM221" i="4" s="1"/>
  <c r="N221" i="4"/>
  <c r="CL221" i="4" s="1"/>
  <c r="CE220" i="4"/>
  <c r="CF220" i="4" s="1"/>
  <c r="AF220" i="4"/>
  <c r="CR220" i="4" s="1"/>
  <c r="U220" i="4"/>
  <c r="V220" i="4" s="1"/>
  <c r="AE220" i="4" s="1"/>
  <c r="P220" i="4"/>
  <c r="O220" i="4"/>
  <c r="CM220" i="4" s="1"/>
  <c r="N220" i="4"/>
  <c r="CL220" i="4" s="1"/>
  <c r="CE219" i="4"/>
  <c r="CF219" i="4" s="1"/>
  <c r="U219" i="4"/>
  <c r="P219" i="4"/>
  <c r="O219" i="4"/>
  <c r="CM219" i="4" s="1"/>
  <c r="N219" i="4"/>
  <c r="CL219" i="4" s="1"/>
  <c r="CE218" i="4"/>
  <c r="CF218" i="4" s="1"/>
  <c r="U218" i="4"/>
  <c r="V218" i="4" s="1"/>
  <c r="P218" i="4"/>
  <c r="O218" i="4"/>
  <c r="CM218" i="4" s="1"/>
  <c r="N218" i="4"/>
  <c r="CL218" i="4" s="1"/>
  <c r="CE217" i="4"/>
  <c r="CF217" i="4" s="1"/>
  <c r="U217" i="4"/>
  <c r="V217" i="4" s="1"/>
  <c r="P217" i="4"/>
  <c r="O217" i="4"/>
  <c r="CM217" i="4" s="1"/>
  <c r="N217" i="4"/>
  <c r="CL217" i="4" s="1"/>
  <c r="CE216" i="4"/>
  <c r="CF216" i="4" s="1"/>
  <c r="U216" i="4"/>
  <c r="P216" i="4"/>
  <c r="O216" i="4"/>
  <c r="CM216" i="4" s="1"/>
  <c r="N216" i="4"/>
  <c r="CL216" i="4" s="1"/>
  <c r="CE215" i="4"/>
  <c r="CF215" i="4" s="1"/>
  <c r="U215" i="4"/>
  <c r="V215" i="4" s="1"/>
  <c r="P215" i="4"/>
  <c r="O215" i="4"/>
  <c r="CM215" i="4" s="1"/>
  <c r="N215" i="4"/>
  <c r="CL215" i="4" s="1"/>
  <c r="CE214" i="4"/>
  <c r="CF214" i="4" s="1"/>
  <c r="U214" i="4"/>
  <c r="V214" i="4" s="1"/>
  <c r="AE214" i="4" s="1"/>
  <c r="P214" i="4"/>
  <c r="O214" i="4"/>
  <c r="CM214" i="4" s="1"/>
  <c r="N214" i="4"/>
  <c r="CL214" i="4" s="1"/>
  <c r="CE213" i="4"/>
  <c r="CF213" i="4" s="1"/>
  <c r="AQ213" i="4"/>
  <c r="U213" i="4"/>
  <c r="V213" i="4" s="1"/>
  <c r="P213" i="4"/>
  <c r="O213" i="4"/>
  <c r="CM213" i="4" s="1"/>
  <c r="N213" i="4"/>
  <c r="CL213" i="4" s="1"/>
  <c r="A213" i="4"/>
  <c r="CE212" i="4"/>
  <c r="CF212" i="4" s="1"/>
  <c r="AF212" i="4"/>
  <c r="CR212" i="4" s="1"/>
  <c r="U212" i="4"/>
  <c r="V212" i="4" s="1"/>
  <c r="AE212" i="4" s="1"/>
  <c r="P212" i="4"/>
  <c r="O212" i="4"/>
  <c r="CM212" i="4" s="1"/>
  <c r="N212" i="4"/>
  <c r="CL212" i="4" s="1"/>
  <c r="CE211" i="4"/>
  <c r="CF211" i="4" s="1"/>
  <c r="AF211" i="4"/>
  <c r="CR211" i="4" s="1"/>
  <c r="U211" i="4"/>
  <c r="V211" i="4" s="1"/>
  <c r="AE211" i="4" s="1"/>
  <c r="P211" i="4"/>
  <c r="O211" i="4"/>
  <c r="CM211" i="4" s="1"/>
  <c r="N211" i="4"/>
  <c r="CL211" i="4" s="1"/>
  <c r="CE210" i="4"/>
  <c r="CF210" i="4" s="1"/>
  <c r="AF210" i="4"/>
  <c r="CR210" i="4" s="1"/>
  <c r="U210" i="4"/>
  <c r="V210" i="4" s="1"/>
  <c r="AE210" i="4" s="1"/>
  <c r="P210" i="4"/>
  <c r="O210" i="4"/>
  <c r="CM210" i="4" s="1"/>
  <c r="N210" i="4"/>
  <c r="CL210" i="4" s="1"/>
  <c r="CE209" i="4"/>
  <c r="CF209" i="4" s="1"/>
  <c r="AF209" i="4"/>
  <c r="CR209" i="4" s="1"/>
  <c r="U209" i="4"/>
  <c r="V209" i="4" s="1"/>
  <c r="AE209" i="4" s="1"/>
  <c r="P209" i="4"/>
  <c r="O209" i="4"/>
  <c r="CM209" i="4" s="1"/>
  <c r="N209" i="4"/>
  <c r="CL209" i="4" s="1"/>
  <c r="CE208" i="4"/>
  <c r="CF208" i="4" s="1"/>
  <c r="AF208" i="4"/>
  <c r="CR208" i="4" s="1"/>
  <c r="U208" i="4"/>
  <c r="V208" i="4" s="1"/>
  <c r="AE208" i="4" s="1"/>
  <c r="P208" i="4"/>
  <c r="O208" i="4"/>
  <c r="CM208" i="4" s="1"/>
  <c r="N208" i="4"/>
  <c r="CL208" i="4" s="1"/>
  <c r="CE207" i="4"/>
  <c r="CF207" i="4" s="1"/>
  <c r="U207" i="4"/>
  <c r="V207" i="4" s="1"/>
  <c r="AE207" i="4" s="1"/>
  <c r="P207" i="4"/>
  <c r="O207" i="4"/>
  <c r="CM207" i="4" s="1"/>
  <c r="N207" i="4"/>
  <c r="CL207" i="4" s="1"/>
  <c r="CE206" i="4"/>
  <c r="CF206" i="4" s="1"/>
  <c r="U206" i="4"/>
  <c r="V206" i="4" s="1"/>
  <c r="AE206" i="4" s="1"/>
  <c r="P206" i="4"/>
  <c r="O206" i="4"/>
  <c r="CM206" i="4" s="1"/>
  <c r="N206" i="4"/>
  <c r="CL206" i="4" s="1"/>
  <c r="CE205" i="4"/>
  <c r="CF205" i="4" s="1"/>
  <c r="U205" i="4"/>
  <c r="P205" i="4"/>
  <c r="O205" i="4"/>
  <c r="CM205" i="4" s="1"/>
  <c r="N205" i="4"/>
  <c r="CL205" i="4" s="1"/>
  <c r="CE204" i="4"/>
  <c r="CF204" i="4" s="1"/>
  <c r="U204" i="4"/>
  <c r="V204" i="4" s="1"/>
  <c r="AE204" i="4" s="1"/>
  <c r="P204" i="4"/>
  <c r="O204" i="4"/>
  <c r="CM204" i="4" s="1"/>
  <c r="N204" i="4"/>
  <c r="CL204" i="4" s="1"/>
  <c r="CE203" i="4"/>
  <c r="CF203" i="4" s="1"/>
  <c r="AQ203" i="4"/>
  <c r="U203" i="4"/>
  <c r="P203" i="4"/>
  <c r="O203" i="4"/>
  <c r="CM203" i="4" s="1"/>
  <c r="N203" i="4"/>
  <c r="CL203" i="4" s="1"/>
  <c r="A203" i="4"/>
  <c r="CE202" i="4"/>
  <c r="CF202" i="4" s="1"/>
  <c r="AF202" i="4"/>
  <c r="CR202" i="4" s="1"/>
  <c r="U202" i="4"/>
  <c r="V202" i="4" s="1"/>
  <c r="AE202" i="4" s="1"/>
  <c r="P202" i="4"/>
  <c r="O202" i="4"/>
  <c r="CM202" i="4" s="1"/>
  <c r="N202" i="4"/>
  <c r="CL202" i="4" s="1"/>
  <c r="CE201" i="4"/>
  <c r="CF201" i="4" s="1"/>
  <c r="AF201" i="4"/>
  <c r="CR201" i="4" s="1"/>
  <c r="U201" i="4"/>
  <c r="V201" i="4" s="1"/>
  <c r="AE201" i="4" s="1"/>
  <c r="P201" i="4"/>
  <c r="O201" i="4"/>
  <c r="CM201" i="4" s="1"/>
  <c r="N201" i="4"/>
  <c r="CL201" i="4" s="1"/>
  <c r="CE200" i="4"/>
  <c r="CF200" i="4" s="1"/>
  <c r="U200" i="4"/>
  <c r="V200" i="4" s="1"/>
  <c r="AE200" i="4" s="1"/>
  <c r="P200" i="4"/>
  <c r="O200" i="4"/>
  <c r="CM200" i="4" s="1"/>
  <c r="N200" i="4"/>
  <c r="CL200" i="4" s="1"/>
  <c r="CE199" i="4"/>
  <c r="CF199" i="4" s="1"/>
  <c r="AF199" i="4"/>
  <c r="CR199" i="4" s="1"/>
  <c r="U199" i="4"/>
  <c r="V199" i="4" s="1"/>
  <c r="AE199" i="4" s="1"/>
  <c r="P199" i="4"/>
  <c r="O199" i="4"/>
  <c r="CM199" i="4" s="1"/>
  <c r="N199" i="4"/>
  <c r="CL199" i="4" s="1"/>
  <c r="CE198" i="4"/>
  <c r="CF198" i="4" s="1"/>
  <c r="AF198" i="4"/>
  <c r="CR198" i="4" s="1"/>
  <c r="U198" i="4"/>
  <c r="V198" i="4" s="1"/>
  <c r="AE198" i="4" s="1"/>
  <c r="P198" i="4"/>
  <c r="O198" i="4"/>
  <c r="CM198" i="4" s="1"/>
  <c r="N198" i="4"/>
  <c r="CL198" i="4" s="1"/>
  <c r="CE197" i="4"/>
  <c r="CF197" i="4" s="1"/>
  <c r="U197" i="4"/>
  <c r="P197" i="4"/>
  <c r="O197" i="4"/>
  <c r="CM197" i="4" s="1"/>
  <c r="N197" i="4"/>
  <c r="CL197" i="4" s="1"/>
  <c r="CE196" i="4"/>
  <c r="CF196" i="4" s="1"/>
  <c r="U196" i="4"/>
  <c r="V196" i="4" s="1"/>
  <c r="P196" i="4"/>
  <c r="O196" i="4"/>
  <c r="CM196" i="4" s="1"/>
  <c r="N196" i="4"/>
  <c r="CL196" i="4" s="1"/>
  <c r="CE195" i="4"/>
  <c r="CF195" i="4" s="1"/>
  <c r="U195" i="4"/>
  <c r="V195" i="4" s="1"/>
  <c r="P195" i="4"/>
  <c r="O195" i="4"/>
  <c r="CM195" i="4" s="1"/>
  <c r="N195" i="4"/>
  <c r="CL195" i="4" s="1"/>
  <c r="CE194" i="4"/>
  <c r="CF194" i="4" s="1"/>
  <c r="U194" i="4"/>
  <c r="V194" i="4" s="1"/>
  <c r="P194" i="4"/>
  <c r="O194" i="4"/>
  <c r="CM194" i="4" s="1"/>
  <c r="N194" i="4"/>
  <c r="CL194" i="4" s="1"/>
  <c r="CE193" i="4"/>
  <c r="CF193" i="4" s="1"/>
  <c r="AQ193" i="4"/>
  <c r="U193" i="4"/>
  <c r="V193" i="4" s="1"/>
  <c r="P193" i="4"/>
  <c r="O193" i="4"/>
  <c r="CM193" i="4" s="1"/>
  <c r="N193" i="4"/>
  <c r="CL193" i="4" s="1"/>
  <c r="A193" i="4"/>
  <c r="CE192" i="4"/>
  <c r="CF192" i="4" s="1"/>
  <c r="AF192" i="4"/>
  <c r="CR192" i="4" s="1"/>
  <c r="U192" i="4"/>
  <c r="V192" i="4" s="1"/>
  <c r="AE192" i="4" s="1"/>
  <c r="P192" i="4"/>
  <c r="O192" i="4"/>
  <c r="CM192" i="4" s="1"/>
  <c r="N192" i="4"/>
  <c r="CL192" i="4" s="1"/>
  <c r="CE191" i="4"/>
  <c r="CF191" i="4" s="1"/>
  <c r="AF191" i="4"/>
  <c r="CR191" i="4" s="1"/>
  <c r="U191" i="4"/>
  <c r="V191" i="4" s="1"/>
  <c r="AE191" i="4" s="1"/>
  <c r="P191" i="4"/>
  <c r="O191" i="4"/>
  <c r="CM191" i="4" s="1"/>
  <c r="N191" i="4"/>
  <c r="CL191" i="4" s="1"/>
  <c r="CE190" i="4"/>
  <c r="CF190" i="4" s="1"/>
  <c r="AF190" i="4"/>
  <c r="CR190" i="4" s="1"/>
  <c r="U190" i="4"/>
  <c r="V190" i="4" s="1"/>
  <c r="AE190" i="4" s="1"/>
  <c r="P190" i="4"/>
  <c r="O190" i="4"/>
  <c r="CM190" i="4" s="1"/>
  <c r="N190" i="4"/>
  <c r="CL190" i="4" s="1"/>
  <c r="CE189" i="4"/>
  <c r="CF189" i="4" s="1"/>
  <c r="AF189" i="4"/>
  <c r="AI189" i="4" s="1"/>
  <c r="U189" i="4"/>
  <c r="V189" i="4" s="1"/>
  <c r="AE189" i="4" s="1"/>
  <c r="P189" i="4"/>
  <c r="O189" i="4"/>
  <c r="CM189" i="4" s="1"/>
  <c r="N189" i="4"/>
  <c r="CL189" i="4" s="1"/>
  <c r="CE188" i="4"/>
  <c r="CF188" i="4" s="1"/>
  <c r="U188" i="4"/>
  <c r="V188" i="4" s="1"/>
  <c r="AF188" i="4" s="1"/>
  <c r="CR188" i="4" s="1"/>
  <c r="P188" i="4"/>
  <c r="O188" i="4"/>
  <c r="CM188" i="4" s="1"/>
  <c r="N188" i="4"/>
  <c r="CL188" i="4" s="1"/>
  <c r="CE187" i="4"/>
  <c r="CF187" i="4" s="1"/>
  <c r="AF187" i="4"/>
  <c r="U187" i="4"/>
  <c r="V187" i="4" s="1"/>
  <c r="P187" i="4"/>
  <c r="O187" i="4"/>
  <c r="CM187" i="4" s="1"/>
  <c r="N187" i="4"/>
  <c r="CL187" i="4" s="1"/>
  <c r="CE186" i="4"/>
  <c r="CF186" i="4" s="1"/>
  <c r="AF186" i="4"/>
  <c r="CR186" i="4" s="1"/>
  <c r="U186" i="4"/>
  <c r="V186" i="4" s="1"/>
  <c r="P186" i="4"/>
  <c r="O186" i="4"/>
  <c r="CM186" i="4" s="1"/>
  <c r="N186" i="4"/>
  <c r="CL186" i="4" s="1"/>
  <c r="CE185" i="4"/>
  <c r="CF185" i="4" s="1"/>
  <c r="AF185" i="4"/>
  <c r="AI185" i="4" s="1"/>
  <c r="U185" i="4"/>
  <c r="V185" i="4" s="1"/>
  <c r="P185" i="4"/>
  <c r="O185" i="4"/>
  <c r="CM185" i="4" s="1"/>
  <c r="N185" i="4"/>
  <c r="CL185" i="4" s="1"/>
  <c r="CE184" i="4"/>
  <c r="CF184" i="4" s="1"/>
  <c r="AF184" i="4"/>
  <c r="CR184" i="4" s="1"/>
  <c r="U184" i="4"/>
  <c r="P184" i="4"/>
  <c r="O184" i="4"/>
  <c r="CM184" i="4" s="1"/>
  <c r="N184" i="4"/>
  <c r="CL184" i="4" s="1"/>
  <c r="CE183" i="4"/>
  <c r="CF183" i="4" s="1"/>
  <c r="AQ183" i="4"/>
  <c r="AF183" i="4"/>
  <c r="U183" i="4"/>
  <c r="P183" i="4"/>
  <c r="O183" i="4"/>
  <c r="CM183" i="4" s="1"/>
  <c r="N183" i="4"/>
  <c r="CL183" i="4" s="1"/>
  <c r="A183" i="4"/>
  <c r="CE182" i="4"/>
  <c r="CF182" i="4" s="1"/>
  <c r="AF182" i="4"/>
  <c r="CR182" i="4" s="1"/>
  <c r="AC182" i="4"/>
  <c r="U182" i="4"/>
  <c r="V182" i="4" s="1"/>
  <c r="CM182" i="4"/>
  <c r="CL182" i="4"/>
  <c r="CE181" i="4"/>
  <c r="CF181" i="4" s="1"/>
  <c r="AF181" i="4"/>
  <c r="CR181" i="4" s="1"/>
  <c r="AC181" i="4"/>
  <c r="U181" i="4"/>
  <c r="V181" i="4" s="1"/>
  <c r="CM181" i="4"/>
  <c r="CL181" i="4"/>
  <c r="CE180" i="4"/>
  <c r="CF180" i="4" s="1"/>
  <c r="AC180" i="4"/>
  <c r="U180" i="4"/>
  <c r="V180" i="4" s="1"/>
  <c r="AF180" i="4" s="1"/>
  <c r="CR180" i="4" s="1"/>
  <c r="CM180" i="4"/>
  <c r="CL180" i="4"/>
  <c r="CE179" i="4"/>
  <c r="CF179" i="4" s="1"/>
  <c r="AF179" i="4"/>
  <c r="CR179" i="4" s="1"/>
  <c r="AC179" i="4"/>
  <c r="U179" i="4"/>
  <c r="V179" i="4" s="1"/>
  <c r="CM179" i="4"/>
  <c r="CL179" i="4"/>
  <c r="CE178" i="4"/>
  <c r="CF178" i="4" s="1"/>
  <c r="AC178" i="4"/>
  <c r="U178" i="4"/>
  <c r="V178" i="4" s="1"/>
  <c r="CM178" i="4"/>
  <c r="CL178" i="4"/>
  <c r="CE177" i="4"/>
  <c r="CF177" i="4" s="1"/>
  <c r="AC177" i="4"/>
  <c r="U177" i="4"/>
  <c r="V177" i="4" s="1"/>
  <c r="CM177" i="4"/>
  <c r="CL177" i="4"/>
  <c r="CE176" i="4"/>
  <c r="CF176" i="4" s="1"/>
  <c r="AC176" i="4"/>
  <c r="U176" i="4"/>
  <c r="V176" i="4" s="1"/>
  <c r="CM176" i="4"/>
  <c r="CL176" i="4"/>
  <c r="CE175" i="4"/>
  <c r="CF175" i="4" s="1"/>
  <c r="AC175" i="4"/>
  <c r="U175" i="4"/>
  <c r="V175" i="4" s="1"/>
  <c r="CM175" i="4"/>
  <c r="CL175" i="4"/>
  <c r="CE174" i="4"/>
  <c r="CF174" i="4" s="1"/>
  <c r="AC174" i="4"/>
  <c r="U174" i="4"/>
  <c r="V174" i="4" s="1"/>
  <c r="CM174" i="4"/>
  <c r="CL174" i="4"/>
  <c r="CE173" i="4"/>
  <c r="CF173" i="4" s="1"/>
  <c r="AQ173" i="4"/>
  <c r="AC173" i="4"/>
  <c r="U173" i="4"/>
  <c r="V173" i="4" s="1"/>
  <c r="CM173" i="4"/>
  <c r="CL173" i="4"/>
  <c r="A173" i="4"/>
  <c r="CE172" i="4"/>
  <c r="CF172" i="4" s="1"/>
  <c r="AF172" i="4"/>
  <c r="CR172" i="4" s="1"/>
  <c r="AC172" i="4"/>
  <c r="U172" i="4"/>
  <c r="V172" i="4" s="1"/>
  <c r="CM172" i="4"/>
  <c r="CL172" i="4"/>
  <c r="CE171" i="4"/>
  <c r="CF171" i="4" s="1"/>
  <c r="AF171" i="4"/>
  <c r="CR171" i="4" s="1"/>
  <c r="AC171" i="4"/>
  <c r="U171" i="4"/>
  <c r="V171" i="4" s="1"/>
  <c r="CM171" i="4"/>
  <c r="CL171" i="4"/>
  <c r="CE170" i="4"/>
  <c r="CF170" i="4" s="1"/>
  <c r="AF170" i="4"/>
  <c r="AI170" i="4" s="1"/>
  <c r="AC170" i="4"/>
  <c r="U170" i="4"/>
  <c r="V170" i="4" s="1"/>
  <c r="CM170" i="4"/>
  <c r="CL170" i="4"/>
  <c r="CE169" i="4"/>
  <c r="CF169" i="4" s="1"/>
  <c r="AF169" i="4"/>
  <c r="CR169" i="4" s="1"/>
  <c r="AC169" i="4"/>
  <c r="U169" i="4"/>
  <c r="V169" i="4" s="1"/>
  <c r="CM169" i="4"/>
  <c r="CL169" i="4"/>
  <c r="CE168" i="4"/>
  <c r="CF168" i="4" s="1"/>
  <c r="AF168" i="4"/>
  <c r="CR168" i="4" s="1"/>
  <c r="AC168" i="4"/>
  <c r="U168" i="4"/>
  <c r="V168" i="4" s="1"/>
  <c r="CM168" i="4"/>
  <c r="CL168" i="4"/>
  <c r="CE167" i="4"/>
  <c r="CF167" i="4" s="1"/>
  <c r="AC167" i="4"/>
  <c r="U167" i="4"/>
  <c r="V167" i="4" s="1"/>
  <c r="AF167" i="4" s="1"/>
  <c r="CR167" i="4" s="1"/>
  <c r="CM167" i="4"/>
  <c r="CL167" i="4"/>
  <c r="CE166" i="4"/>
  <c r="CF166" i="4" s="1"/>
  <c r="AC166" i="4"/>
  <c r="U166" i="4"/>
  <c r="V166" i="4" s="1"/>
  <c r="CM166" i="4"/>
  <c r="CL166" i="4"/>
  <c r="CE165" i="4"/>
  <c r="CF165" i="4" s="1"/>
  <c r="AC165" i="4"/>
  <c r="U165" i="4"/>
  <c r="V165" i="4" s="1"/>
  <c r="CM165" i="4"/>
  <c r="CL165" i="4"/>
  <c r="CE164" i="4"/>
  <c r="CF164" i="4" s="1"/>
  <c r="AC164" i="4"/>
  <c r="U164" i="4"/>
  <c r="V164" i="4" s="1"/>
  <c r="CM164" i="4"/>
  <c r="CL164" i="4"/>
  <c r="CE163" i="4"/>
  <c r="CF163" i="4" s="1"/>
  <c r="AQ163" i="4"/>
  <c r="AC163" i="4"/>
  <c r="U163" i="4"/>
  <c r="V163" i="4" s="1"/>
  <c r="AF163" i="4" s="1"/>
  <c r="CM163" i="4"/>
  <c r="CL163" i="4"/>
  <c r="A163" i="4"/>
  <c r="CE162" i="4"/>
  <c r="CF162" i="4" s="1"/>
  <c r="AF162" i="4"/>
  <c r="CR162" i="4" s="1"/>
  <c r="AC162" i="4"/>
  <c r="U162" i="4"/>
  <c r="V162" i="4" s="1"/>
  <c r="CM162" i="4"/>
  <c r="CL162" i="4"/>
  <c r="CE161" i="4"/>
  <c r="CF161" i="4" s="1"/>
  <c r="AF161" i="4"/>
  <c r="CR161" i="4" s="1"/>
  <c r="AC161" i="4"/>
  <c r="U161" i="4"/>
  <c r="V161" i="4" s="1"/>
  <c r="CM161" i="4"/>
  <c r="CL161" i="4"/>
  <c r="CE160" i="4"/>
  <c r="CF160" i="4" s="1"/>
  <c r="AF160" i="4"/>
  <c r="CR160" i="4" s="1"/>
  <c r="AC160" i="4"/>
  <c r="U160" i="4"/>
  <c r="V160" i="4" s="1"/>
  <c r="CM160" i="4"/>
  <c r="CL160" i="4"/>
  <c r="CE159" i="4"/>
  <c r="CF159" i="4" s="1"/>
  <c r="AC159" i="4"/>
  <c r="U159" i="4"/>
  <c r="V159" i="4" s="1"/>
  <c r="CM159" i="4"/>
  <c r="CL159" i="4"/>
  <c r="CE158" i="4"/>
  <c r="CF158" i="4" s="1"/>
  <c r="AF158" i="4"/>
  <c r="CR158" i="4" s="1"/>
  <c r="AC158" i="4"/>
  <c r="U158" i="4"/>
  <c r="V158" i="4" s="1"/>
  <c r="CM158" i="4"/>
  <c r="CL158" i="4"/>
  <c r="CE157" i="4"/>
  <c r="CF157" i="4" s="1"/>
  <c r="AF157" i="4"/>
  <c r="CR157" i="4" s="1"/>
  <c r="AC157" i="4"/>
  <c r="U157" i="4"/>
  <c r="V157" i="4" s="1"/>
  <c r="CM157" i="4"/>
  <c r="CL157" i="4"/>
  <c r="CE156" i="4"/>
  <c r="CF156" i="4" s="1"/>
  <c r="AC156" i="4"/>
  <c r="U156" i="4"/>
  <c r="V156" i="4" s="1"/>
  <c r="CM156" i="4"/>
  <c r="CL156" i="4"/>
  <c r="CE155" i="4"/>
  <c r="CF155" i="4" s="1"/>
  <c r="AC155" i="4"/>
  <c r="U155" i="4"/>
  <c r="V155" i="4" s="1"/>
  <c r="CM155" i="4"/>
  <c r="CL155" i="4"/>
  <c r="CE154" i="4"/>
  <c r="CF154" i="4" s="1"/>
  <c r="AF154" i="4"/>
  <c r="AC154" i="4"/>
  <c r="CM154" i="4"/>
  <c r="CL154" i="4"/>
  <c r="CE153" i="4"/>
  <c r="CF153" i="4" s="1"/>
  <c r="AQ153" i="4"/>
  <c r="AC153" i="4"/>
  <c r="U153" i="4"/>
  <c r="V153" i="4" s="1"/>
  <c r="CM153" i="4"/>
  <c r="CL153" i="4"/>
  <c r="A153" i="4"/>
  <c r="AD3" i="4"/>
  <c r="AC135" i="4"/>
  <c r="AC136" i="4"/>
  <c r="AC137" i="4"/>
  <c r="AC138" i="4"/>
  <c r="AF367" i="4" l="1"/>
  <c r="AI367" i="4" s="1"/>
  <c r="V367" i="4"/>
  <c r="AE367" i="4" s="1"/>
  <c r="AF246" i="4"/>
  <c r="AI246" i="4" s="1"/>
  <c r="V246" i="4"/>
  <c r="AF216" i="4"/>
  <c r="AI216" i="4" s="1"/>
  <c r="V216" i="4"/>
  <c r="AE560" i="4"/>
  <c r="AF205" i="4"/>
  <c r="AI205" i="4" s="1"/>
  <c r="V205" i="4"/>
  <c r="AF203" i="4"/>
  <c r="K123" i="3" s="1"/>
  <c r="V203" i="4"/>
  <c r="AF197" i="4"/>
  <c r="V197" i="4"/>
  <c r="AF227" i="4"/>
  <c r="CR227" i="4" s="1"/>
  <c r="V227" i="4"/>
  <c r="AF219" i="4"/>
  <c r="AI219" i="4" s="1"/>
  <c r="V219" i="4"/>
  <c r="AF397" i="4"/>
  <c r="CR397" i="4" s="1"/>
  <c r="V397" i="4"/>
  <c r="AE397" i="4" s="1"/>
  <c r="K191" i="3"/>
  <c r="K189" i="3"/>
  <c r="V316" i="4"/>
  <c r="AF316" i="4" s="1"/>
  <c r="V354" i="4"/>
  <c r="AF354" i="4" s="1"/>
  <c r="V305" i="4"/>
  <c r="AF305" i="4" s="1"/>
  <c r="AI355" i="4"/>
  <c r="K215" i="3"/>
  <c r="AF243" i="4"/>
  <c r="AF235" i="4"/>
  <c r="CR235" i="4" s="1"/>
  <c r="AF256" i="4"/>
  <c r="AF215" i="4"/>
  <c r="AF244" i="4"/>
  <c r="AF257" i="4"/>
  <c r="CR257" i="4" s="1"/>
  <c r="AF238" i="4"/>
  <c r="AF247" i="4"/>
  <c r="CR247" i="4" s="1"/>
  <c r="AF253" i="4"/>
  <c r="AF254" i="4"/>
  <c r="AF217" i="4"/>
  <c r="AF213" i="4"/>
  <c r="AF234" i="4"/>
  <c r="AF255" i="4"/>
  <c r="CR255" i="4" s="1"/>
  <c r="AF218" i="4"/>
  <c r="AF214" i="4"/>
  <c r="AF195" i="4"/>
  <c r="K111" i="3"/>
  <c r="AF245" i="4"/>
  <c r="AF237" i="4"/>
  <c r="CR237" i="4" s="1"/>
  <c r="AF233" i="4"/>
  <c r="K112" i="3"/>
  <c r="CR197" i="4"/>
  <c r="K119" i="3"/>
  <c r="CR205" i="4"/>
  <c r="L149" i="3"/>
  <c r="O101" i="3"/>
  <c r="P101" i="3" s="1"/>
  <c r="AF408" i="4"/>
  <c r="AI408" i="4" s="1"/>
  <c r="V408" i="4"/>
  <c r="AF384" i="4"/>
  <c r="CR384" i="4" s="1"/>
  <c r="V384" i="4"/>
  <c r="AF386" i="4"/>
  <c r="V386" i="4"/>
  <c r="AF383" i="4"/>
  <c r="CB390" i="4" s="1"/>
  <c r="CQ390" i="4" s="1"/>
  <c r="V383" i="4"/>
  <c r="AF375" i="4"/>
  <c r="AI375" i="4" s="1"/>
  <c r="V375" i="4"/>
  <c r="AF376" i="4"/>
  <c r="CR376" i="4" s="1"/>
  <c r="V376" i="4"/>
  <c r="AF479" i="4"/>
  <c r="AI479" i="4" s="1"/>
  <c r="V479" i="4"/>
  <c r="AE479" i="4" s="1"/>
  <c r="AF483" i="4"/>
  <c r="V483" i="4"/>
  <c r="AE483" i="4" s="1"/>
  <c r="AF533" i="4"/>
  <c r="V533" i="4"/>
  <c r="AE533" i="4" s="1"/>
  <c r="AF505" i="4"/>
  <c r="CR505" i="4" s="1"/>
  <c r="V505" i="4"/>
  <c r="AE505" i="4" s="1"/>
  <c r="AF554" i="4"/>
  <c r="CD556" i="4" s="1"/>
  <c r="V554" i="4"/>
  <c r="AE554" i="4" s="1"/>
  <c r="AF526" i="4"/>
  <c r="CR526" i="4" s="1"/>
  <c r="V526" i="4"/>
  <c r="AE526" i="4" s="1"/>
  <c r="AF534" i="4"/>
  <c r="AI534" i="4" s="1"/>
  <c r="V534" i="4"/>
  <c r="AE534" i="4" s="1"/>
  <c r="AF414" i="4"/>
  <c r="CR414" i="4" s="1"/>
  <c r="V414" i="4"/>
  <c r="AE414" i="4" s="1"/>
  <c r="AF415" i="4"/>
  <c r="AI415" i="4" s="1"/>
  <c r="V415" i="4"/>
  <c r="AE415" i="4" s="1"/>
  <c r="AF465" i="4"/>
  <c r="CR465" i="4" s="1"/>
  <c r="V465" i="4"/>
  <c r="AE465" i="4" s="1"/>
  <c r="AF428" i="4"/>
  <c r="AI428" i="4" s="1"/>
  <c r="V428" i="4"/>
  <c r="AE428" i="4" s="1"/>
  <c r="AF524" i="4"/>
  <c r="CB529" i="4" s="1"/>
  <c r="CQ529" i="4" s="1"/>
  <c r="V524" i="4"/>
  <c r="AE524" i="4" s="1"/>
  <c r="AF446" i="4"/>
  <c r="V446" i="4"/>
  <c r="AE446" i="4" s="1"/>
  <c r="AF413" i="4"/>
  <c r="CD420" i="4" s="1"/>
  <c r="V413" i="4"/>
  <c r="AE413" i="4" s="1"/>
  <c r="AF426" i="4"/>
  <c r="CR426" i="4" s="1"/>
  <c r="V426" i="4"/>
  <c r="AE426" i="4" s="1"/>
  <c r="AF535" i="4"/>
  <c r="AG533" i="4" s="1"/>
  <c r="V535" i="4"/>
  <c r="AE535" i="4" s="1"/>
  <c r="AF523" i="4"/>
  <c r="CR523" i="4" s="1"/>
  <c r="V523" i="4"/>
  <c r="AE523" i="4" s="1"/>
  <c r="AF416" i="4"/>
  <c r="L250" i="3" s="1"/>
  <c r="V416" i="4"/>
  <c r="AE416" i="4" s="1"/>
  <c r="AF454" i="4"/>
  <c r="K274" i="3" s="1"/>
  <c r="V454" i="4"/>
  <c r="AE454" i="4" s="1"/>
  <c r="AI458" i="4"/>
  <c r="CR458" i="4"/>
  <c r="AI229" i="4"/>
  <c r="CR229" i="4"/>
  <c r="CR317" i="4"/>
  <c r="O141" i="3"/>
  <c r="P141" i="3" s="1"/>
  <c r="O315" i="3"/>
  <c r="P315" i="3" s="1"/>
  <c r="L322" i="3"/>
  <c r="M322" i="3" s="1"/>
  <c r="O322" i="3"/>
  <c r="P322" i="3" s="1"/>
  <c r="O249" i="3"/>
  <c r="P249" i="3" s="1"/>
  <c r="CR525" i="4"/>
  <c r="CR535" i="4"/>
  <c r="L323" i="3"/>
  <c r="O280" i="3"/>
  <c r="P280" i="3" s="1"/>
  <c r="CR554" i="4"/>
  <c r="O334" i="3"/>
  <c r="P334" i="3" s="1"/>
  <c r="O274" i="3"/>
  <c r="P274" i="3" s="1"/>
  <c r="CR477" i="4"/>
  <c r="AI437" i="4"/>
  <c r="O262" i="3"/>
  <c r="P262" i="3" s="1"/>
  <c r="O250" i="3"/>
  <c r="P250" i="3" s="1"/>
  <c r="CR187" i="4"/>
  <c r="J111" i="3"/>
  <c r="AM183" i="4" s="1"/>
  <c r="L101" i="3"/>
  <c r="M101" i="3" s="1"/>
  <c r="CR154" i="4"/>
  <c r="CI165" i="4"/>
  <c r="CI468" i="4"/>
  <c r="CI478" i="4"/>
  <c r="CI482" i="4"/>
  <c r="CI493" i="4"/>
  <c r="CI521" i="4"/>
  <c r="CI173" i="4"/>
  <c r="CI175" i="4"/>
  <c r="CI345" i="4"/>
  <c r="CI185" i="4"/>
  <c r="CI224" i="4"/>
  <c r="CI306" i="4"/>
  <c r="CI353" i="4"/>
  <c r="CI357" i="4"/>
  <c r="CI366" i="4"/>
  <c r="CI424" i="4"/>
  <c r="CI481" i="4"/>
  <c r="CI503" i="4"/>
  <c r="CI207" i="4"/>
  <c r="CI299" i="4"/>
  <c r="CI304" i="4"/>
  <c r="CI159" i="4"/>
  <c r="CI209" i="4"/>
  <c r="CI235" i="4"/>
  <c r="CI239" i="4"/>
  <c r="CI245" i="4"/>
  <c r="CI346" i="4"/>
  <c r="CI351" i="4"/>
  <c r="CI399" i="4"/>
  <c r="CI453" i="4"/>
  <c r="CI498" i="4"/>
  <c r="CI501" i="4"/>
  <c r="CI505" i="4"/>
  <c r="CI529" i="4"/>
  <c r="CI549" i="4"/>
  <c r="CI315" i="4"/>
  <c r="CG347" i="4"/>
  <c r="CH347" i="4" s="1"/>
  <c r="CG181" i="4"/>
  <c r="CH181" i="4" s="1"/>
  <c r="CG198" i="4"/>
  <c r="CH198" i="4" s="1"/>
  <c r="CI208" i="4"/>
  <c r="CI244" i="4"/>
  <c r="CI258" i="4"/>
  <c r="CI296" i="4"/>
  <c r="CI316" i="4"/>
  <c r="CI324" i="4"/>
  <c r="CI350" i="4"/>
  <c r="CI365" i="4"/>
  <c r="CI368" i="4"/>
  <c r="CG372" i="4"/>
  <c r="CH372" i="4" s="1"/>
  <c r="CI398" i="4"/>
  <c r="CI413" i="4"/>
  <c r="CI441" i="4"/>
  <c r="CI463" i="4"/>
  <c r="CI469" i="4"/>
  <c r="CG479" i="4"/>
  <c r="CH479" i="4" s="1"/>
  <c r="CI486" i="4"/>
  <c r="CI500" i="4"/>
  <c r="CI543" i="4"/>
  <c r="AF326" i="4"/>
  <c r="CR326" i="4" s="1"/>
  <c r="AF484" i="4"/>
  <c r="CR484" i="4" s="1"/>
  <c r="AG513" i="4"/>
  <c r="AH513" i="4"/>
  <c r="AG553" i="4"/>
  <c r="AH553" i="4"/>
  <c r="AF306" i="4"/>
  <c r="K185" i="3" s="1"/>
  <c r="AF406" i="4"/>
  <c r="AF436" i="4"/>
  <c r="AF164" i="4"/>
  <c r="AF155" i="4"/>
  <c r="K94" i="3" s="1"/>
  <c r="CN255" i="4"/>
  <c r="J249" i="3"/>
  <c r="AM413" i="4" s="1"/>
  <c r="J261" i="3"/>
  <c r="AM433" i="4" s="1"/>
  <c r="J279" i="3"/>
  <c r="AM463" i="4" s="1"/>
  <c r="J327" i="3"/>
  <c r="AM543" i="4" s="1"/>
  <c r="CN175" i="4"/>
  <c r="J129" i="3"/>
  <c r="AM213" i="4" s="1"/>
  <c r="J225" i="3"/>
  <c r="AM373" i="4" s="1"/>
  <c r="CN502" i="4"/>
  <c r="CN523" i="4"/>
  <c r="AI183" i="4"/>
  <c r="CN441" i="4"/>
  <c r="AF353" i="4"/>
  <c r="K213" i="3" s="1"/>
  <c r="AF374" i="4"/>
  <c r="AF395" i="4"/>
  <c r="CR395" i="4" s="1"/>
  <c r="AF337" i="4"/>
  <c r="AF363" i="4"/>
  <c r="K219" i="3" s="1"/>
  <c r="AI313" i="4"/>
  <c r="CN314" i="4"/>
  <c r="CN394" i="4"/>
  <c r="J207" i="3"/>
  <c r="AM343" i="4" s="1"/>
  <c r="J177" i="3"/>
  <c r="AM293" i="4" s="1"/>
  <c r="J201" i="3"/>
  <c r="AM333" i="4" s="1"/>
  <c r="J237" i="3"/>
  <c r="AM393" i="4" s="1"/>
  <c r="CI163" i="4"/>
  <c r="X34" i="5"/>
  <c r="AF276" i="4"/>
  <c r="CR276" i="4" s="1"/>
  <c r="AF277" i="4"/>
  <c r="AI277" i="4" s="1"/>
  <c r="AF266" i="4"/>
  <c r="AF275" i="4"/>
  <c r="CN265" i="4"/>
  <c r="AF200" i="4"/>
  <c r="CR200" i="4" s="1"/>
  <c r="AF156" i="4"/>
  <c r="CR156" i="4" s="1"/>
  <c r="AF174" i="4"/>
  <c r="AF159" i="4"/>
  <c r="AI159" i="4" s="1"/>
  <c r="CN164" i="4"/>
  <c r="CN166" i="4"/>
  <c r="J105" i="3"/>
  <c r="AM173" i="4" s="1"/>
  <c r="AF435" i="4"/>
  <c r="CR435" i="4" s="1"/>
  <c r="AF488" i="4"/>
  <c r="CR488" i="4" s="1"/>
  <c r="AF544" i="4"/>
  <c r="CR544" i="4" s="1"/>
  <c r="AF545" i="4"/>
  <c r="AF546" i="4"/>
  <c r="AF434" i="4"/>
  <c r="K262" i="3" s="1"/>
  <c r="AF503" i="4"/>
  <c r="O303" i="3" s="1"/>
  <c r="P303" i="3" s="1"/>
  <c r="AF506" i="4"/>
  <c r="CR506" i="4" s="1"/>
  <c r="CN425" i="4"/>
  <c r="L256" i="3"/>
  <c r="J273" i="3"/>
  <c r="AM453" i="4" s="1"/>
  <c r="J297" i="3"/>
  <c r="AM493" i="4" s="1"/>
  <c r="J267" i="3"/>
  <c r="AM443" i="4" s="1"/>
  <c r="L333" i="3"/>
  <c r="X57" i="5"/>
  <c r="AF284" i="4"/>
  <c r="AF285" i="4"/>
  <c r="AF295" i="4"/>
  <c r="AF358" i="4"/>
  <c r="AI358" i="4" s="1"/>
  <c r="CN446" i="4"/>
  <c r="CN537" i="4"/>
  <c r="AF196" i="4"/>
  <c r="CR196" i="4" s="1"/>
  <c r="AF204" i="4"/>
  <c r="AF223" i="4"/>
  <c r="CN259" i="4"/>
  <c r="CN260" i="4"/>
  <c r="CN261" i="4"/>
  <c r="AF335" i="4"/>
  <c r="AF336" i="4"/>
  <c r="AI336" i="4" s="1"/>
  <c r="AF344" i="4"/>
  <c r="AF345" i="4"/>
  <c r="K209" i="3" s="1"/>
  <c r="AF474" i="4"/>
  <c r="CR474" i="4" s="1"/>
  <c r="CN494" i="4"/>
  <c r="AF499" i="4"/>
  <c r="CR499" i="4" s="1"/>
  <c r="CN513" i="4"/>
  <c r="CN544" i="4"/>
  <c r="CN547" i="4"/>
  <c r="CN548" i="4"/>
  <c r="CN199" i="4"/>
  <c r="CN274" i="4"/>
  <c r="CN317" i="4"/>
  <c r="CN433" i="4"/>
  <c r="CN500" i="4"/>
  <c r="CN533" i="4"/>
  <c r="AF166" i="4"/>
  <c r="K100" i="3" s="1"/>
  <c r="AF224" i="4"/>
  <c r="CR224" i="4" s="1"/>
  <c r="AF263" i="4"/>
  <c r="AF153" i="4"/>
  <c r="K93" i="3" s="1"/>
  <c r="AF178" i="4"/>
  <c r="CR178" i="4" s="1"/>
  <c r="AF225" i="4"/>
  <c r="CR225" i="4" s="1"/>
  <c r="AF226" i="4"/>
  <c r="K136" i="3" s="1"/>
  <c r="AF173" i="4"/>
  <c r="AF286" i="4"/>
  <c r="AF287" i="4"/>
  <c r="AF348" i="4"/>
  <c r="CR348" i="4" s="1"/>
  <c r="AF349" i="4"/>
  <c r="CR349" i="4" s="1"/>
  <c r="AF407" i="4"/>
  <c r="CR407" i="4" s="1"/>
  <c r="CN188" i="4"/>
  <c r="CN216" i="4"/>
  <c r="CN291" i="4"/>
  <c r="AF293" i="4"/>
  <c r="K177" i="3" s="1"/>
  <c r="CN311" i="4"/>
  <c r="CN312" i="4"/>
  <c r="CN321" i="4"/>
  <c r="CN322" i="4"/>
  <c r="CN353" i="4"/>
  <c r="CN389" i="4"/>
  <c r="CN390" i="4"/>
  <c r="CN399" i="4"/>
  <c r="CN405" i="4"/>
  <c r="CN416" i="4"/>
  <c r="CN434" i="4"/>
  <c r="CN474" i="4"/>
  <c r="AF475" i="4"/>
  <c r="AI475" i="4" s="1"/>
  <c r="AF485" i="4"/>
  <c r="CR485" i="4" s="1"/>
  <c r="AF486" i="4"/>
  <c r="CN492" i="4"/>
  <c r="AF494" i="4"/>
  <c r="AI494" i="4" s="1"/>
  <c r="AF495" i="4"/>
  <c r="CN511" i="4"/>
  <c r="CN518" i="4"/>
  <c r="CN521" i="4"/>
  <c r="CN561" i="4"/>
  <c r="CN562" i="4"/>
  <c r="AF403" i="4"/>
  <c r="K243" i="3" s="1"/>
  <c r="AF425" i="4"/>
  <c r="AI425" i="4" s="1"/>
  <c r="AF455" i="4"/>
  <c r="AF463" i="4"/>
  <c r="AF466" i="4"/>
  <c r="AF493" i="4"/>
  <c r="O297" i="3" s="1"/>
  <c r="P297" i="3" s="1"/>
  <c r="AF507" i="4"/>
  <c r="AI507" i="4" s="1"/>
  <c r="AF366" i="4"/>
  <c r="K222" i="3" s="1"/>
  <c r="CN155" i="4"/>
  <c r="CN174" i="4"/>
  <c r="AF175" i="4"/>
  <c r="CR175" i="4" s="1"/>
  <c r="AF176" i="4"/>
  <c r="CR176" i="4" s="1"/>
  <c r="AF193" i="4"/>
  <c r="K117" i="3" s="1"/>
  <c r="CN210" i="4"/>
  <c r="CN236" i="4"/>
  <c r="CN269" i="4"/>
  <c r="CN277" i="4"/>
  <c r="CN294" i="4"/>
  <c r="AF296" i="4"/>
  <c r="AF324" i="4"/>
  <c r="AF333" i="4"/>
  <c r="K201" i="3" s="1"/>
  <c r="CN338" i="4"/>
  <c r="CN344" i="4"/>
  <c r="CN347" i="4"/>
  <c r="CN348" i="4"/>
  <c r="CN354" i="4"/>
  <c r="CN355" i="4"/>
  <c r="CN364" i="4"/>
  <c r="CN366" i="4"/>
  <c r="AF394" i="4"/>
  <c r="K238" i="3" s="1"/>
  <c r="AF404" i="4"/>
  <c r="CN412" i="4"/>
  <c r="AF423" i="4"/>
  <c r="CN438" i="4"/>
  <c r="CN471" i="4"/>
  <c r="CN507" i="4"/>
  <c r="CN538" i="4"/>
  <c r="CN552" i="4"/>
  <c r="X41" i="5"/>
  <c r="X49" i="5"/>
  <c r="X53" i="5"/>
  <c r="X45" i="5"/>
  <c r="X47" i="5"/>
  <c r="X39" i="5"/>
  <c r="X51" i="5"/>
  <c r="X36" i="5"/>
  <c r="X60" i="5"/>
  <c r="X52" i="5"/>
  <c r="X32" i="5"/>
  <c r="X43" i="5"/>
  <c r="X48" i="5"/>
  <c r="X24" i="5"/>
  <c r="X44" i="5"/>
  <c r="X56" i="5"/>
  <c r="J141" i="3"/>
  <c r="AM233" i="4" s="1"/>
  <c r="J147" i="3"/>
  <c r="AM243" i="4" s="1"/>
  <c r="J153" i="3"/>
  <c r="AM253" i="4" s="1"/>
  <c r="J159" i="3"/>
  <c r="AM263" i="4" s="1"/>
  <c r="J219" i="3"/>
  <c r="AM363" i="4" s="1"/>
  <c r="J309" i="3"/>
  <c r="AM513" i="4" s="1"/>
  <c r="J321" i="3"/>
  <c r="AM533" i="4" s="1"/>
  <c r="X28" i="5"/>
  <c r="X40" i="5"/>
  <c r="J315" i="3"/>
  <c r="AM523" i="4" s="1"/>
  <c r="J285" i="3"/>
  <c r="AM473" i="4" s="1"/>
  <c r="J291" i="3"/>
  <c r="AM483" i="4" s="1"/>
  <c r="J333" i="3"/>
  <c r="AM553" i="4" s="1"/>
  <c r="X22" i="5"/>
  <c r="X59" i="5"/>
  <c r="X55" i="5"/>
  <c r="X26" i="5"/>
  <c r="X58" i="5"/>
  <c r="X54" i="5"/>
  <c r="X50" i="5"/>
  <c r="X46" i="5"/>
  <c r="X42" i="5"/>
  <c r="X38" i="5"/>
  <c r="X30" i="5"/>
  <c r="CN516" i="4"/>
  <c r="CI247" i="4"/>
  <c r="CI255" i="4"/>
  <c r="CG266" i="4"/>
  <c r="CH266" i="4" s="1"/>
  <c r="CI267" i="4"/>
  <c r="CI275" i="4"/>
  <c r="CI276" i="4"/>
  <c r="CI285" i="4"/>
  <c r="CI321" i="4"/>
  <c r="CI323" i="4"/>
  <c r="CI326" i="4"/>
  <c r="CG336" i="4"/>
  <c r="CH336" i="4" s="1"/>
  <c r="CI349" i="4"/>
  <c r="CI355" i="4"/>
  <c r="CI394" i="4"/>
  <c r="CN398" i="4"/>
  <c r="CN403" i="4"/>
  <c r="CI415" i="4"/>
  <c r="CI417" i="4"/>
  <c r="CI418" i="4"/>
  <c r="CN420" i="4"/>
  <c r="CI428" i="4"/>
  <c r="CI435" i="4"/>
  <c r="CN453" i="4"/>
  <c r="CN456" i="4"/>
  <c r="CN465" i="4"/>
  <c r="CI465" i="4"/>
  <c r="CI490" i="4"/>
  <c r="CN498" i="4"/>
  <c r="CI506" i="4"/>
  <c r="CI514" i="4"/>
  <c r="CI533" i="4"/>
  <c r="CN235" i="4"/>
  <c r="CG237" i="4"/>
  <c r="CH237" i="4" s="1"/>
  <c r="CN244" i="4"/>
  <c r="CI259" i="4"/>
  <c r="CI291" i="4"/>
  <c r="CN157" i="4"/>
  <c r="CG157" i="4"/>
  <c r="CH157" i="4" s="1"/>
  <c r="AF165" i="4"/>
  <c r="CI204" i="4"/>
  <c r="CN275" i="4"/>
  <c r="CI287" i="4"/>
  <c r="CI288" i="4"/>
  <c r="CI289" i="4"/>
  <c r="CI302" i="4"/>
  <c r="CI359" i="4"/>
  <c r="CI375" i="4"/>
  <c r="CG392" i="4"/>
  <c r="CH392" i="4" s="1"/>
  <c r="CI402" i="4"/>
  <c r="CN423" i="4"/>
  <c r="CI430" i="4"/>
  <c r="CG436" i="4"/>
  <c r="CH436" i="4" s="1"/>
  <c r="CI459" i="4"/>
  <c r="CI467" i="4"/>
  <c r="CI474" i="4"/>
  <c r="CI495" i="4"/>
  <c r="CN506" i="4"/>
  <c r="CI507" i="4"/>
  <c r="AF543" i="4"/>
  <c r="CI169" i="4"/>
  <c r="CG161" i="4"/>
  <c r="CH161" i="4" s="1"/>
  <c r="CI179" i="4"/>
  <c r="CI225" i="4"/>
  <c r="CI229" i="4"/>
  <c r="CI253" i="4"/>
  <c r="CN266" i="4"/>
  <c r="CI280" i="4"/>
  <c r="CI322" i="4"/>
  <c r="CN324" i="4"/>
  <c r="CI328" i="4"/>
  <c r="CG330" i="4"/>
  <c r="CH330" i="4" s="1"/>
  <c r="CI338" i="4"/>
  <c r="CI383" i="4"/>
  <c r="CN165" i="4"/>
  <c r="AF177" i="4"/>
  <c r="CG177" i="4"/>
  <c r="CH177" i="4" s="1"/>
  <c r="CN185" i="4"/>
  <c r="CN201" i="4"/>
  <c r="CI205" i="4"/>
  <c r="CN245" i="4"/>
  <c r="CI248" i="4"/>
  <c r="CI254" i="4"/>
  <c r="CN263" i="4"/>
  <c r="AF264" i="4"/>
  <c r="CR264" i="4" s="1"/>
  <c r="AF273" i="4"/>
  <c r="K165" i="3" s="1"/>
  <c r="CN278" i="4"/>
  <c r="CN282" i="4"/>
  <c r="AF283" i="4"/>
  <c r="CN287" i="4"/>
  <c r="CN288" i="4"/>
  <c r="CN296" i="4"/>
  <c r="CI298" i="4"/>
  <c r="AF307" i="4"/>
  <c r="CI308" i="4"/>
  <c r="CN313" i="4"/>
  <c r="AF325" i="4"/>
  <c r="CI325" i="4"/>
  <c r="CN328" i="4"/>
  <c r="CI329" i="4"/>
  <c r="CI332" i="4"/>
  <c r="AF334" i="4"/>
  <c r="AF343" i="4"/>
  <c r="AF346" i="4"/>
  <c r="CR346" i="4" s="1"/>
  <c r="CN356" i="4"/>
  <c r="CI356" i="4"/>
  <c r="CN363" i="4"/>
  <c r="AF364" i="4"/>
  <c r="AF365" i="4"/>
  <c r="K221" i="3" s="1"/>
  <c r="AF373" i="4"/>
  <c r="AF377" i="4"/>
  <c r="CI381" i="4"/>
  <c r="AF396" i="4"/>
  <c r="CI397" i="4"/>
  <c r="CN400" i="4"/>
  <c r="CN401" i="4"/>
  <c r="CN402" i="4"/>
  <c r="CI411" i="4"/>
  <c r="CN413" i="4"/>
  <c r="CN429" i="4"/>
  <c r="AI441" i="4"/>
  <c r="AF445" i="4"/>
  <c r="AI445" i="4" s="1"/>
  <c r="CN458" i="4"/>
  <c r="AF468" i="4"/>
  <c r="CR468" i="4" s="1"/>
  <c r="CN480" i="4"/>
  <c r="CN487" i="4"/>
  <c r="AF496" i="4"/>
  <c r="AF508" i="4"/>
  <c r="CI518" i="4"/>
  <c r="CI524" i="4"/>
  <c r="CI525" i="4"/>
  <c r="CN158" i="4"/>
  <c r="CN162" i="4"/>
  <c r="CN177" i="4"/>
  <c r="CN181" i="4"/>
  <c r="CN183" i="4"/>
  <c r="CI183" i="4"/>
  <c r="CG187" i="4"/>
  <c r="CH187" i="4" s="1"/>
  <c r="AF194" i="4"/>
  <c r="CI194" i="4"/>
  <c r="CI199" i="4"/>
  <c r="AF206" i="4"/>
  <c r="O124" i="3" s="1"/>
  <c r="P124" i="3" s="1"/>
  <c r="AF207" i="4"/>
  <c r="CR207" i="4" s="1"/>
  <c r="CN209" i="4"/>
  <c r="CI215" i="4"/>
  <c r="CI223" i="4"/>
  <c r="CN226" i="4"/>
  <c r="CI228" i="4"/>
  <c r="CN230" i="4"/>
  <c r="CG241" i="4"/>
  <c r="CH241" i="4" s="1"/>
  <c r="CI243" i="4"/>
  <c r="CI249" i="4"/>
  <c r="CN264" i="4"/>
  <c r="AF265" i="4"/>
  <c r="CI265" i="4"/>
  <c r="CI271" i="4"/>
  <c r="CI273" i="4"/>
  <c r="AF274" i="4"/>
  <c r="K166" i="3" s="1"/>
  <c r="CI274" i="4"/>
  <c r="CN283" i="4"/>
  <c r="CI283" i="4"/>
  <c r="CG290" i="4"/>
  <c r="CH290" i="4" s="1"/>
  <c r="AF294" i="4"/>
  <c r="AF304" i="4"/>
  <c r="CI314" i="4"/>
  <c r="AF315" i="4"/>
  <c r="CI318" i="4"/>
  <c r="AF323" i="4"/>
  <c r="K196" i="3" s="1"/>
  <c r="CN331" i="4"/>
  <c r="CN332" i="4"/>
  <c r="CG340" i="4"/>
  <c r="CH340" i="4" s="1"/>
  <c r="CN346" i="4"/>
  <c r="AF347" i="4"/>
  <c r="CI360" i="4"/>
  <c r="CN368" i="4"/>
  <c r="CI373" i="4"/>
  <c r="AF378" i="4"/>
  <c r="CR378" i="4" s="1"/>
  <c r="CI378" i="4"/>
  <c r="CN380" i="4"/>
  <c r="CN382" i="4"/>
  <c r="CN385" i="4"/>
  <c r="CN386" i="4"/>
  <c r="AF393" i="4"/>
  <c r="K237" i="3" s="1"/>
  <c r="CN397" i="4"/>
  <c r="AF405" i="4"/>
  <c r="AF433" i="4"/>
  <c r="K261" i="3" s="1"/>
  <c r="CN437" i="4"/>
  <c r="AF438" i="4"/>
  <c r="AI438" i="4" s="1"/>
  <c r="CI439" i="4"/>
  <c r="CN445" i="4"/>
  <c r="CG447" i="4"/>
  <c r="CH447" i="4" s="1"/>
  <c r="CN452" i="4"/>
  <c r="AF453" i="4"/>
  <c r="K273" i="3" s="1"/>
  <c r="AF456" i="4"/>
  <c r="CR456" i="4" s="1"/>
  <c r="CN464" i="4"/>
  <c r="CI464" i="4"/>
  <c r="AF473" i="4"/>
  <c r="CI477" i="4"/>
  <c r="AF497" i="4"/>
  <c r="AF498" i="4"/>
  <c r="AF504" i="4"/>
  <c r="CI538" i="4"/>
  <c r="CI545" i="4"/>
  <c r="CN555" i="4"/>
  <c r="CI556" i="4"/>
  <c r="CG520" i="4"/>
  <c r="CH520" i="4" s="1"/>
  <c r="CN556" i="4"/>
  <c r="CG542" i="4"/>
  <c r="CH542" i="4" s="1"/>
  <c r="CG462" i="4"/>
  <c r="CH462" i="4" s="1"/>
  <c r="CN467" i="4"/>
  <c r="CN476" i="4"/>
  <c r="CN478" i="4"/>
  <c r="CN482" i="4"/>
  <c r="CN484" i="4"/>
  <c r="CN485" i="4"/>
  <c r="CN491" i="4"/>
  <c r="CI496" i="4"/>
  <c r="AF509" i="4"/>
  <c r="CN524" i="4"/>
  <c r="CI526" i="4"/>
  <c r="CI536" i="4"/>
  <c r="CN554" i="4"/>
  <c r="CN558" i="4"/>
  <c r="CN559" i="4"/>
  <c r="CI509" i="4"/>
  <c r="CR271" i="4"/>
  <c r="AI439" i="4"/>
  <c r="AI481" i="4"/>
  <c r="AI487" i="4"/>
  <c r="AI482" i="4"/>
  <c r="CR269" i="4"/>
  <c r="CR454" i="4"/>
  <c r="AI560" i="4"/>
  <c r="AI440" i="4"/>
  <c r="AI539" i="4"/>
  <c r="AI302" i="4"/>
  <c r="AI490" i="4"/>
  <c r="AI501" i="4"/>
  <c r="AI198" i="4"/>
  <c r="CR356" i="4"/>
  <c r="AI510" i="4"/>
  <c r="AI368" i="4"/>
  <c r="AI370" i="4"/>
  <c r="AI241" i="4"/>
  <c r="AI267" i="4"/>
  <c r="AI388" i="4"/>
  <c r="AI390" i="4"/>
  <c r="AI469" i="4"/>
  <c r="AI527" i="4"/>
  <c r="AI550" i="4"/>
  <c r="AI248" i="4"/>
  <c r="AI272" i="4"/>
  <c r="CR278" i="4"/>
  <c r="CR367" i="4"/>
  <c r="CR556" i="4"/>
  <c r="CR392" i="4"/>
  <c r="CR427" i="4"/>
  <c r="CR185" i="4"/>
  <c r="CR298" i="4"/>
  <c r="AI308" i="4"/>
  <c r="AI312" i="4"/>
  <c r="AI319" i="4"/>
  <c r="AI320" i="4"/>
  <c r="AI328" i="4"/>
  <c r="AI329" i="4"/>
  <c r="CR360" i="4"/>
  <c r="AI424" i="4"/>
  <c r="CR444" i="4"/>
  <c r="CR511" i="4"/>
  <c r="AI511" i="4"/>
  <c r="CR520" i="4"/>
  <c r="AI520" i="4"/>
  <c r="CR268" i="4"/>
  <c r="AI317" i="4"/>
  <c r="AI372" i="4"/>
  <c r="CR437" i="4"/>
  <c r="AI448" i="4"/>
  <c r="AI449" i="4"/>
  <c r="CR464" i="4"/>
  <c r="AI477" i="4"/>
  <c r="CR522" i="4"/>
  <c r="AI157" i="4"/>
  <c r="CR313" i="4"/>
  <c r="AI361" i="4"/>
  <c r="CR467" i="4"/>
  <c r="AI161" i="4"/>
  <c r="AI179" i="4"/>
  <c r="AI181" i="4"/>
  <c r="AI187" i="4"/>
  <c r="AI352" i="4"/>
  <c r="CR514" i="4"/>
  <c r="AI514" i="4"/>
  <c r="CR538" i="4"/>
  <c r="CB556" i="4"/>
  <c r="CQ556" i="4" s="1"/>
  <c r="CR500" i="4"/>
  <c r="CI559" i="4"/>
  <c r="CI562" i="4"/>
  <c r="CI511" i="4"/>
  <c r="CI534" i="4"/>
  <c r="J135" i="3"/>
  <c r="AM223" i="4" s="1"/>
  <c r="J165" i="3"/>
  <c r="AM273" i="4" s="1"/>
  <c r="J171" i="3"/>
  <c r="AM283" i="4" s="1"/>
  <c r="J243" i="3"/>
  <c r="AM403" i="4" s="1"/>
  <c r="J93" i="3"/>
  <c r="AM153" i="4" s="1"/>
  <c r="J99" i="3"/>
  <c r="AM163" i="4" s="1"/>
  <c r="J189" i="3"/>
  <c r="AM313" i="4" s="1"/>
  <c r="J195" i="3"/>
  <c r="AM323" i="4" s="1"/>
  <c r="J231" i="3"/>
  <c r="AM383" i="4" s="1"/>
  <c r="J303" i="3"/>
  <c r="AM503" i="4" s="1"/>
  <c r="J117" i="3"/>
  <c r="AM193" i="4" s="1"/>
  <c r="J123" i="3"/>
  <c r="AM203" i="4" s="1"/>
  <c r="J183" i="3"/>
  <c r="AM303" i="4" s="1"/>
  <c r="J213" i="3"/>
  <c r="AM353" i="4" s="1"/>
  <c r="J255" i="3"/>
  <c r="AM423" i="4" s="1"/>
  <c r="X27" i="5"/>
  <c r="X35" i="5"/>
  <c r="X23" i="5"/>
  <c r="X31" i="5"/>
  <c r="X21" i="5"/>
  <c r="X25" i="5"/>
  <c r="X29" i="5"/>
  <c r="X33" i="5"/>
  <c r="X37" i="5"/>
  <c r="CG217" i="4"/>
  <c r="CH217" i="4" s="1"/>
  <c r="CN184" i="4"/>
  <c r="CN195" i="4"/>
  <c r="CN204" i="4"/>
  <c r="CN208" i="4"/>
  <c r="CN225" i="4"/>
  <c r="CN229" i="4"/>
  <c r="CN234" i="4"/>
  <c r="CN154" i="4"/>
  <c r="CN178" i="4"/>
  <c r="CR189" i="4"/>
  <c r="CN212" i="4"/>
  <c r="CN293" i="4"/>
  <c r="CN302" i="4"/>
  <c r="CN211" i="4"/>
  <c r="CN213" i="4"/>
  <c r="CR219" i="4"/>
  <c r="CR228" i="4"/>
  <c r="CN238" i="4"/>
  <c r="CR163" i="4"/>
  <c r="AI169" i="4"/>
  <c r="CN176" i="4"/>
  <c r="AI199" i="4"/>
  <c r="CN207" i="4"/>
  <c r="AI208" i="4"/>
  <c r="AI209" i="4"/>
  <c r="CN214" i="4"/>
  <c r="CN218" i="4"/>
  <c r="CN228" i="4"/>
  <c r="CN254" i="4"/>
  <c r="CN258" i="4"/>
  <c r="CN268" i="4"/>
  <c r="CR289" i="4"/>
  <c r="CR299" i="4"/>
  <c r="AI299" i="4"/>
  <c r="AI321" i="4"/>
  <c r="CR321" i="4"/>
  <c r="CN161" i="4"/>
  <c r="AI163" i="4"/>
  <c r="CN168" i="4"/>
  <c r="CN172" i="4"/>
  <c r="CN173" i="4"/>
  <c r="CN187" i="4"/>
  <c r="CN191" i="4"/>
  <c r="CN192" i="4"/>
  <c r="CN198" i="4"/>
  <c r="CN232" i="4"/>
  <c r="CN233" i="4"/>
  <c r="CR239" i="4"/>
  <c r="AI239" i="4"/>
  <c r="CN241" i="4"/>
  <c r="CN246" i="4"/>
  <c r="CN247" i="4"/>
  <c r="CN248" i="4"/>
  <c r="CR249" i="4"/>
  <c r="CN252" i="4"/>
  <c r="CR258" i="4"/>
  <c r="CN267" i="4"/>
  <c r="CN271" i="4"/>
  <c r="CN279" i="4"/>
  <c r="CN280" i="4"/>
  <c r="CR280" i="4"/>
  <c r="CR281" i="4"/>
  <c r="CN285" i="4"/>
  <c r="CN289" i="4"/>
  <c r="CN295" i="4"/>
  <c r="CN298" i="4"/>
  <c r="CN300" i="4"/>
  <c r="CN303" i="4"/>
  <c r="CN310" i="4"/>
  <c r="CN153" i="4"/>
  <c r="CN163" i="4"/>
  <c r="CN167" i="4"/>
  <c r="CN169" i="4"/>
  <c r="CN182" i="4"/>
  <c r="CB191" i="4"/>
  <c r="CQ191" i="4" s="1"/>
  <c r="CR183" i="4"/>
  <c r="CB184" i="4"/>
  <c r="CQ184" i="4" s="1"/>
  <c r="CN186" i="4"/>
  <c r="CD183" i="4"/>
  <c r="CN194" i="4"/>
  <c r="CN202" i="4"/>
  <c r="CN203" i="4"/>
  <c r="CN220" i="4"/>
  <c r="CN221" i="4"/>
  <c r="CN222" i="4"/>
  <c r="CN224" i="4"/>
  <c r="CN237" i="4"/>
  <c r="CN242" i="4"/>
  <c r="CN251" i="4"/>
  <c r="CR259" i="4"/>
  <c r="AI259" i="4"/>
  <c r="CN262" i="4"/>
  <c r="CN276" i="4"/>
  <c r="CN304" i="4"/>
  <c r="CN315" i="4"/>
  <c r="CN337" i="4"/>
  <c r="CN341" i="4"/>
  <c r="AI338" i="4"/>
  <c r="CR340" i="4"/>
  <c r="AI342" i="4"/>
  <c r="CN345" i="4"/>
  <c r="CN349" i="4"/>
  <c r="CN350" i="4"/>
  <c r="CR355" i="4"/>
  <c r="CN365" i="4"/>
  <c r="CN370" i="4"/>
  <c r="CN373" i="4"/>
  <c r="CN379" i="4"/>
  <c r="CR411" i="4"/>
  <c r="AI411" i="4"/>
  <c r="CN418" i="4"/>
  <c r="CR431" i="4"/>
  <c r="AI431" i="4"/>
  <c r="CN436" i="4"/>
  <c r="CN257" i="4"/>
  <c r="CN306" i="4"/>
  <c r="CN336" i="4"/>
  <c r="CN340" i="4"/>
  <c r="AI350" i="4"/>
  <c r="AI351" i="4"/>
  <c r="CN359" i="4"/>
  <c r="CR379" i="4"/>
  <c r="CN383" i="4"/>
  <c r="AI397" i="4"/>
  <c r="CN426" i="4"/>
  <c r="CR432" i="4"/>
  <c r="CN307" i="4"/>
  <c r="CN308" i="4"/>
  <c r="CR311" i="4"/>
  <c r="CN318" i="4"/>
  <c r="CN319" i="4"/>
  <c r="CN329" i="4"/>
  <c r="CN339" i="4"/>
  <c r="CN343" i="4"/>
  <c r="CN358" i="4"/>
  <c r="CN372" i="4"/>
  <c r="CN375" i="4"/>
  <c r="CR381" i="4"/>
  <c r="CR398" i="4"/>
  <c r="AI398" i="4"/>
  <c r="CR399" i="4"/>
  <c r="AI399" i="4"/>
  <c r="CI407" i="4"/>
  <c r="CN333" i="4"/>
  <c r="CN362" i="4"/>
  <c r="CN377" i="4"/>
  <c r="CN381" i="4"/>
  <c r="CN408" i="4"/>
  <c r="CR418" i="4"/>
  <c r="AI418" i="4"/>
  <c r="CN439" i="4"/>
  <c r="CI510" i="4"/>
  <c r="AI526" i="4"/>
  <c r="CI532" i="4"/>
  <c r="CN392" i="4"/>
  <c r="CN410" i="4"/>
  <c r="CN411" i="4"/>
  <c r="CN421" i="4"/>
  <c r="CN430" i="4"/>
  <c r="CN442" i="4"/>
  <c r="CN444" i="4"/>
  <c r="CN447" i="4"/>
  <c r="CR451" i="4"/>
  <c r="CN462" i="4"/>
  <c r="AI462" i="4"/>
  <c r="CN466" i="4"/>
  <c r="AI478" i="4"/>
  <c r="AI491" i="4"/>
  <c r="CN510" i="4"/>
  <c r="CN527" i="4"/>
  <c r="CN529" i="4"/>
  <c r="CR529" i="4"/>
  <c r="AI529" i="4"/>
  <c r="CR530" i="4"/>
  <c r="CR536" i="4"/>
  <c r="AI536" i="4"/>
  <c r="CB554" i="4"/>
  <c r="CQ554" i="4" s="1"/>
  <c r="CR561" i="4"/>
  <c r="AI561" i="4"/>
  <c r="CN388" i="4"/>
  <c r="CN404" i="4"/>
  <c r="CN417" i="4"/>
  <c r="CN427" i="4"/>
  <c r="CN435" i="4"/>
  <c r="CN457" i="4"/>
  <c r="CN472" i="4"/>
  <c r="CN473" i="4"/>
  <c r="CN489" i="4"/>
  <c r="CN490" i="4"/>
  <c r="CN503" i="4"/>
  <c r="CN509" i="4"/>
  <c r="CR518" i="4"/>
  <c r="CN528" i="4"/>
  <c r="CN384" i="4"/>
  <c r="CN393" i="4"/>
  <c r="CN406" i="4"/>
  <c r="CN407" i="4"/>
  <c r="CN414" i="4"/>
  <c r="CN422" i="4"/>
  <c r="AI422" i="4"/>
  <c r="CN451" i="4"/>
  <c r="CN454" i="4"/>
  <c r="AI460" i="4"/>
  <c r="CN477" i="4"/>
  <c r="CN481" i="4"/>
  <c r="AI483" i="4"/>
  <c r="CN493" i="4"/>
  <c r="CN496" i="4"/>
  <c r="CN499" i="4"/>
  <c r="CN508" i="4"/>
  <c r="CN525" i="4"/>
  <c r="CN543" i="4"/>
  <c r="CN546" i="4"/>
  <c r="CN483" i="4"/>
  <c r="CN495" i="4"/>
  <c r="CN505" i="4"/>
  <c r="CR549" i="4"/>
  <c r="AI549" i="4"/>
  <c r="CN550" i="4"/>
  <c r="CN504" i="4"/>
  <c r="AI516" i="4"/>
  <c r="CN520" i="4"/>
  <c r="CN522" i="4"/>
  <c r="AI525" i="4"/>
  <c r="CN531" i="4"/>
  <c r="CN534" i="4"/>
  <c r="CN541" i="4"/>
  <c r="CN542" i="4"/>
  <c r="AI555" i="4"/>
  <c r="CN549" i="4"/>
  <c r="CI189" i="4"/>
  <c r="CI421" i="4"/>
  <c r="CI155" i="4"/>
  <c r="CI213" i="4"/>
  <c r="CI233" i="4"/>
  <c r="CI342" i="4"/>
  <c r="CI363" i="4"/>
  <c r="CI153" i="4"/>
  <c r="CI382" i="4"/>
  <c r="CI219" i="4"/>
  <c r="CI334" i="4"/>
  <c r="CG398" i="4"/>
  <c r="CH398" i="4" s="1"/>
  <c r="CI554" i="4"/>
  <c r="CI546" i="4"/>
  <c r="CG546" i="4"/>
  <c r="CH546" i="4" s="1"/>
  <c r="CI551" i="4"/>
  <c r="CI553" i="4"/>
  <c r="CI557" i="4"/>
  <c r="CG557" i="4"/>
  <c r="CH557" i="4" s="1"/>
  <c r="CN560" i="4"/>
  <c r="CN545" i="4"/>
  <c r="CR547" i="4"/>
  <c r="AI547" i="4"/>
  <c r="CD560" i="4"/>
  <c r="CI555" i="4"/>
  <c r="CG555" i="4"/>
  <c r="CH555" i="4" s="1"/>
  <c r="CI558" i="4"/>
  <c r="AI562" i="4"/>
  <c r="CR562" i="4"/>
  <c r="CR551" i="4"/>
  <c r="AI551" i="4"/>
  <c r="CI547" i="4"/>
  <c r="CI550" i="4"/>
  <c r="CG550" i="4"/>
  <c r="CH550" i="4" s="1"/>
  <c r="CN551" i="4"/>
  <c r="CN553" i="4"/>
  <c r="CR557" i="4"/>
  <c r="CD562" i="4"/>
  <c r="CB560" i="4"/>
  <c r="CQ560" i="4" s="1"/>
  <c r="CD559" i="4"/>
  <c r="AI557" i="4"/>
  <c r="CI560" i="4"/>
  <c r="CG560" i="4"/>
  <c r="CH560" i="4" s="1"/>
  <c r="AI548" i="4"/>
  <c r="CG548" i="4"/>
  <c r="CH548" i="4" s="1"/>
  <c r="AI552" i="4"/>
  <c r="AI553" i="4"/>
  <c r="CD553" i="4"/>
  <c r="CG553" i="4" s="1"/>
  <c r="CH553" i="4" s="1"/>
  <c r="CR553" i="4"/>
  <c r="CD555" i="4"/>
  <c r="CB557" i="4"/>
  <c r="CQ557" i="4" s="1"/>
  <c r="AI558" i="4"/>
  <c r="CB558" i="4"/>
  <c r="CQ558" i="4" s="1"/>
  <c r="CD557" i="4"/>
  <c r="CB561" i="4"/>
  <c r="CQ561" i="4" s="1"/>
  <c r="AI554" i="4"/>
  <c r="CN557" i="4"/>
  <c r="CD558" i="4"/>
  <c r="CR559" i="4"/>
  <c r="AI559" i="4"/>
  <c r="CG559" i="4"/>
  <c r="CH559" i="4" s="1"/>
  <c r="CG562" i="4"/>
  <c r="CH562" i="4" s="1"/>
  <c r="CG478" i="4"/>
  <c r="CH478" i="4" s="1"/>
  <c r="CR480" i="4"/>
  <c r="AI480" i="4"/>
  <c r="CI488" i="4"/>
  <c r="CI491" i="4"/>
  <c r="CG491" i="4"/>
  <c r="CH491" i="4" s="1"/>
  <c r="CI473" i="4"/>
  <c r="CI475" i="4"/>
  <c r="CR476" i="4"/>
  <c r="AI476" i="4"/>
  <c r="CR492" i="4"/>
  <c r="AI492" i="4"/>
  <c r="CI499" i="4"/>
  <c r="CR502" i="4"/>
  <c r="AI502" i="4"/>
  <c r="CN479" i="4"/>
  <c r="CI480" i="4"/>
  <c r="CI484" i="4"/>
  <c r="CI487" i="4"/>
  <c r="CG487" i="4"/>
  <c r="CH487" i="4" s="1"/>
  <c r="CN488" i="4"/>
  <c r="CI492" i="4"/>
  <c r="CI517" i="4"/>
  <c r="CN475" i="4"/>
  <c r="CG476" i="4"/>
  <c r="CH476" i="4" s="1"/>
  <c r="CR483" i="4"/>
  <c r="CN486" i="4"/>
  <c r="CI502" i="4"/>
  <c r="AI521" i="4"/>
  <c r="CB513" i="4"/>
  <c r="CQ513" i="4" s="1"/>
  <c r="CR521" i="4"/>
  <c r="CD516" i="4"/>
  <c r="CD518" i="4"/>
  <c r="CR512" i="4"/>
  <c r="AI512" i="4"/>
  <c r="CN497" i="4"/>
  <c r="AI489" i="4"/>
  <c r="CI497" i="4"/>
  <c r="CN501" i="4"/>
  <c r="CI508" i="4"/>
  <c r="CI512" i="4"/>
  <c r="CI513" i="4"/>
  <c r="CN514" i="4"/>
  <c r="CI515" i="4"/>
  <c r="CG502" i="4"/>
  <c r="CH502" i="4" s="1"/>
  <c r="CG511" i="4"/>
  <c r="CH511" i="4" s="1"/>
  <c r="CB522" i="4"/>
  <c r="CQ522" i="4" s="1"/>
  <c r="CD521" i="4"/>
  <c r="CB520" i="4"/>
  <c r="CQ520" i="4" s="1"/>
  <c r="CD519" i="4"/>
  <c r="CB516" i="4"/>
  <c r="CQ516" i="4" s="1"/>
  <c r="CD515" i="4"/>
  <c r="CR513" i="4"/>
  <c r="CD513" i="4"/>
  <c r="AI513" i="4"/>
  <c r="CD522" i="4"/>
  <c r="CB518" i="4"/>
  <c r="CQ518" i="4" s="1"/>
  <c r="CD517" i="4"/>
  <c r="CB514" i="4"/>
  <c r="CQ514" i="4" s="1"/>
  <c r="CD514" i="4"/>
  <c r="CN519" i="4"/>
  <c r="CR519" i="4"/>
  <c r="AI519" i="4"/>
  <c r="CB521" i="4"/>
  <c r="CQ521" i="4" s="1"/>
  <c r="CI523" i="4"/>
  <c r="CB526" i="4"/>
  <c r="CQ526" i="4" s="1"/>
  <c r="CI528" i="4"/>
  <c r="CI531" i="4"/>
  <c r="CN532" i="4"/>
  <c r="CN515" i="4"/>
  <c r="CR515" i="4"/>
  <c r="AR513" i="4" s="1"/>
  <c r="AS513" i="4" s="1"/>
  <c r="AI515" i="4"/>
  <c r="CG516" i="4"/>
  <c r="CH516" i="4" s="1"/>
  <c r="CI516" i="4"/>
  <c r="CN517" i="4"/>
  <c r="CR517" i="4"/>
  <c r="AI517" i="4"/>
  <c r="CB519" i="4"/>
  <c r="CQ519" i="4" s="1"/>
  <c r="CN512" i="4"/>
  <c r="CB515" i="4"/>
  <c r="CQ515" i="4" s="1"/>
  <c r="CB517" i="4"/>
  <c r="CQ517" i="4" s="1"/>
  <c r="CD520" i="4"/>
  <c r="CR531" i="4"/>
  <c r="AI531" i="4"/>
  <c r="CN536" i="4"/>
  <c r="CI537" i="4"/>
  <c r="CI539" i="4"/>
  <c r="CG539" i="4"/>
  <c r="CH539" i="4" s="1"/>
  <c r="CN526" i="4"/>
  <c r="CR528" i="4"/>
  <c r="AI528" i="4"/>
  <c r="CN530" i="4"/>
  <c r="CR532" i="4"/>
  <c r="AI532" i="4"/>
  <c r="CR537" i="4"/>
  <c r="AI537" i="4"/>
  <c r="CN539" i="4"/>
  <c r="CN540" i="4"/>
  <c r="CR540" i="4"/>
  <c r="AI540" i="4"/>
  <c r="CG541" i="4"/>
  <c r="CH541" i="4" s="1"/>
  <c r="CI541" i="4"/>
  <c r="CG526" i="4"/>
  <c r="CH526" i="4" s="1"/>
  <c r="CG529" i="4"/>
  <c r="CH529" i="4" s="1"/>
  <c r="CG531" i="4"/>
  <c r="CH531" i="4" s="1"/>
  <c r="CR533" i="4"/>
  <c r="AI533" i="4"/>
  <c r="CN535" i="4"/>
  <c r="CD537" i="4"/>
  <c r="CI540" i="4"/>
  <c r="AI541" i="4"/>
  <c r="AI542" i="4"/>
  <c r="CI403" i="4"/>
  <c r="CI416" i="4"/>
  <c r="CI422" i="4"/>
  <c r="CG422" i="4"/>
  <c r="CH422" i="4" s="1"/>
  <c r="CG427" i="4"/>
  <c r="CH427" i="4" s="1"/>
  <c r="CI423" i="4"/>
  <c r="CI429" i="4"/>
  <c r="CI432" i="4"/>
  <c r="CR409" i="4"/>
  <c r="AI409" i="4"/>
  <c r="AI413" i="4"/>
  <c r="AI416" i="4"/>
  <c r="CR416" i="4"/>
  <c r="CI420" i="4"/>
  <c r="CI426" i="4"/>
  <c r="CG426" i="4"/>
  <c r="CH426" i="4" s="1"/>
  <c r="CI404" i="4"/>
  <c r="CI409" i="4"/>
  <c r="AI419" i="4"/>
  <c r="CR419" i="4"/>
  <c r="CI433" i="4"/>
  <c r="CI405" i="4"/>
  <c r="CI408" i="4"/>
  <c r="CG408" i="4"/>
  <c r="CH408" i="4" s="1"/>
  <c r="CN409" i="4"/>
  <c r="CG419" i="4"/>
  <c r="CH419" i="4" s="1"/>
  <c r="CI419" i="4"/>
  <c r="CI425" i="4"/>
  <c r="CI431" i="4"/>
  <c r="CG431" i="4"/>
  <c r="CH431" i="4" s="1"/>
  <c r="CI442" i="4"/>
  <c r="CI444" i="4"/>
  <c r="CI445" i="4"/>
  <c r="CI449" i="4"/>
  <c r="CR452" i="4"/>
  <c r="AI452" i="4"/>
  <c r="AI410" i="4"/>
  <c r="CN415" i="4"/>
  <c r="CR417" i="4"/>
  <c r="AI417" i="4"/>
  <c r="AI420" i="4"/>
  <c r="CN424" i="4"/>
  <c r="CI427" i="4"/>
  <c r="CR429" i="4"/>
  <c r="AI429" i="4"/>
  <c r="CN431" i="4"/>
  <c r="CI448" i="4"/>
  <c r="CG448" i="4"/>
  <c r="CH448" i="4" s="1"/>
  <c r="CN449" i="4"/>
  <c r="CN450" i="4"/>
  <c r="CI438" i="4"/>
  <c r="CI443" i="4"/>
  <c r="CI446" i="4"/>
  <c r="CN428" i="4"/>
  <c r="CR412" i="4"/>
  <c r="AI412" i="4"/>
  <c r="CG416" i="4"/>
  <c r="CH416" i="4" s="1"/>
  <c r="CN419" i="4"/>
  <c r="CR421" i="4"/>
  <c r="AI421" i="4"/>
  <c r="CG425" i="4"/>
  <c r="CH425" i="4" s="1"/>
  <c r="CN432" i="4"/>
  <c r="CN443" i="4"/>
  <c r="CR450" i="4"/>
  <c r="AI450" i="4"/>
  <c r="CI460" i="4"/>
  <c r="CI466" i="4"/>
  <c r="CN440" i="4"/>
  <c r="CR442" i="4"/>
  <c r="AI442" i="4"/>
  <c r="CI452" i="4"/>
  <c r="AI457" i="4"/>
  <c r="CI472" i="4"/>
  <c r="CG472" i="4"/>
  <c r="CH472" i="4" s="1"/>
  <c r="AI430" i="4"/>
  <c r="CG437" i="4"/>
  <c r="CH437" i="4" s="1"/>
  <c r="CR443" i="4"/>
  <c r="AI443" i="4"/>
  <c r="CR446" i="4"/>
  <c r="AI446" i="4"/>
  <c r="CN448" i="4"/>
  <c r="CG450" i="4"/>
  <c r="CH450" i="4" s="1"/>
  <c r="CI454" i="4"/>
  <c r="CN459" i="4"/>
  <c r="CG460" i="4"/>
  <c r="CH460" i="4" s="1"/>
  <c r="CI470" i="4"/>
  <c r="CN455" i="4"/>
  <c r="CN460" i="4"/>
  <c r="CN461" i="4"/>
  <c r="AI461" i="4"/>
  <c r="CN463" i="4"/>
  <c r="AI447" i="4"/>
  <c r="CG451" i="4"/>
  <c r="CH451" i="4" s="1"/>
  <c r="CI461" i="4"/>
  <c r="CN468" i="4"/>
  <c r="CN469" i="4"/>
  <c r="CN470" i="4"/>
  <c r="CR470" i="4"/>
  <c r="AI470" i="4"/>
  <c r="CG471" i="4"/>
  <c r="CH471" i="4" s="1"/>
  <c r="CI471" i="4"/>
  <c r="CI458" i="4"/>
  <c r="CI462" i="4"/>
  <c r="AI471" i="4"/>
  <c r="AI459" i="4"/>
  <c r="AI472" i="4"/>
  <c r="CN334" i="4"/>
  <c r="CN335" i="4"/>
  <c r="CN342" i="4"/>
  <c r="CI341" i="4"/>
  <c r="CG341" i="4"/>
  <c r="CH341" i="4" s="1"/>
  <c r="CI337" i="4"/>
  <c r="CG337" i="4"/>
  <c r="CH337" i="4" s="1"/>
  <c r="CN352" i="4"/>
  <c r="CI358" i="4"/>
  <c r="CN361" i="4"/>
  <c r="CI333" i="4"/>
  <c r="CI335" i="4"/>
  <c r="AI339" i="4"/>
  <c r="CI339" i="4"/>
  <c r="CI343" i="4"/>
  <c r="CI344" i="4"/>
  <c r="CI348" i="4"/>
  <c r="AI357" i="4"/>
  <c r="CN357" i="4"/>
  <c r="CR362" i="4"/>
  <c r="AI362" i="4"/>
  <c r="CI364" i="4"/>
  <c r="CI371" i="4"/>
  <c r="CN351" i="4"/>
  <c r="CI352" i="4"/>
  <c r="CI361" i="4"/>
  <c r="AI341" i="4"/>
  <c r="CN360" i="4"/>
  <c r="CG362" i="4"/>
  <c r="CH362" i="4" s="1"/>
  <c r="CI369" i="4"/>
  <c r="CN374" i="4"/>
  <c r="CR380" i="4"/>
  <c r="AI380" i="4"/>
  <c r="CI384" i="4"/>
  <c r="CI386" i="4"/>
  <c r="CI390" i="4"/>
  <c r="CI396" i="4"/>
  <c r="CN367" i="4"/>
  <c r="CI374" i="4"/>
  <c r="CI376" i="4"/>
  <c r="CI380" i="4"/>
  <c r="CI391" i="4"/>
  <c r="AI359" i="4"/>
  <c r="CN369" i="4"/>
  <c r="CR369" i="4"/>
  <c r="AI369" i="4"/>
  <c r="CI370" i="4"/>
  <c r="CG370" i="4"/>
  <c r="CH370" i="4" s="1"/>
  <c r="CR371" i="4"/>
  <c r="AI371" i="4"/>
  <c r="CN378" i="4"/>
  <c r="CG379" i="4"/>
  <c r="CH379" i="4" s="1"/>
  <c r="CR382" i="4"/>
  <c r="AI382" i="4"/>
  <c r="CR385" i="4"/>
  <c r="AI385" i="4"/>
  <c r="CN371" i="4"/>
  <c r="CN376" i="4"/>
  <c r="CG377" i="4"/>
  <c r="CH377" i="4" s="1"/>
  <c r="CI379" i="4"/>
  <c r="CI377" i="4"/>
  <c r="AI383" i="4"/>
  <c r="CI387" i="4"/>
  <c r="CI389" i="4"/>
  <c r="CI393" i="4"/>
  <c r="CI395" i="4"/>
  <c r="CR400" i="4"/>
  <c r="AI400" i="4"/>
  <c r="CG401" i="4"/>
  <c r="CH401" i="4" s="1"/>
  <c r="CI401" i="4"/>
  <c r="CG386" i="4"/>
  <c r="CH386" i="4" s="1"/>
  <c r="CN387" i="4"/>
  <c r="CR387" i="4"/>
  <c r="AI387" i="4"/>
  <c r="CG388" i="4"/>
  <c r="CH388" i="4" s="1"/>
  <c r="CI388" i="4"/>
  <c r="CR389" i="4"/>
  <c r="AI389" i="4"/>
  <c r="CG390" i="4"/>
  <c r="CH390" i="4" s="1"/>
  <c r="CN391" i="4"/>
  <c r="CR391" i="4"/>
  <c r="AI391" i="4"/>
  <c r="CN395" i="4"/>
  <c r="CN396" i="4"/>
  <c r="CI400" i="4"/>
  <c r="AI401" i="4"/>
  <c r="AI402" i="4"/>
  <c r="CN270" i="4"/>
  <c r="CN273" i="4"/>
  <c r="CI279" i="4"/>
  <c r="CN284" i="4"/>
  <c r="CI264" i="4"/>
  <c r="CI282" i="4"/>
  <c r="CI270" i="4"/>
  <c r="CR282" i="4"/>
  <c r="AI282" i="4"/>
  <c r="CI284" i="4"/>
  <c r="CN297" i="4"/>
  <c r="CR279" i="4"/>
  <c r="AI279" i="4"/>
  <c r="AI290" i="4"/>
  <c r="CI293" i="4"/>
  <c r="CI295" i="4"/>
  <c r="CR297" i="4"/>
  <c r="AI297" i="4"/>
  <c r="AI300" i="4"/>
  <c r="CI301" i="4"/>
  <c r="CR303" i="4"/>
  <c r="AI303" i="4"/>
  <c r="CI268" i="4"/>
  <c r="CN272" i="4"/>
  <c r="CI277" i="4"/>
  <c r="CN281" i="4"/>
  <c r="CN286" i="4"/>
  <c r="CR288" i="4"/>
  <c r="AI288" i="4"/>
  <c r="AI291" i="4"/>
  <c r="CI292" i="4"/>
  <c r="CN301" i="4"/>
  <c r="CI309" i="4"/>
  <c r="CG309" i="4"/>
  <c r="CH309" i="4" s="1"/>
  <c r="CI310" i="4"/>
  <c r="CI311" i="4"/>
  <c r="CR330" i="4"/>
  <c r="AI330" i="4"/>
  <c r="CR270" i="4"/>
  <c r="AI270" i="4"/>
  <c r="CI307" i="4"/>
  <c r="CG282" i="4"/>
  <c r="CH282" i="4" s="1"/>
  <c r="CN290" i="4"/>
  <c r="CN292" i="4"/>
  <c r="CI294" i="4"/>
  <c r="CR310" i="4"/>
  <c r="AI310" i="4"/>
  <c r="CI317" i="4"/>
  <c r="CR292" i="4"/>
  <c r="AI292" i="4"/>
  <c r="CN299" i="4"/>
  <c r="CR301" i="4"/>
  <c r="AI301" i="4"/>
  <c r="AI309" i="4"/>
  <c r="CN305" i="4"/>
  <c r="CI312" i="4"/>
  <c r="CI313" i="4"/>
  <c r="CI320" i="4"/>
  <c r="CR322" i="4"/>
  <c r="AI322" i="4"/>
  <c r="CN309" i="4"/>
  <c r="CI319" i="4"/>
  <c r="CG319" i="4"/>
  <c r="CH319" i="4" s="1"/>
  <c r="CN320" i="4"/>
  <c r="CN327" i="4"/>
  <c r="CR327" i="4"/>
  <c r="AI327" i="4"/>
  <c r="CN323" i="4"/>
  <c r="CN325" i="4"/>
  <c r="CN330" i="4"/>
  <c r="CI331" i="4"/>
  <c r="CR314" i="4"/>
  <c r="AI314" i="4"/>
  <c r="CN326" i="4"/>
  <c r="CG327" i="4"/>
  <c r="CH327" i="4" s="1"/>
  <c r="CN316" i="4"/>
  <c r="CR318" i="4"/>
  <c r="AI318" i="4"/>
  <c r="CR331" i="4"/>
  <c r="AI331" i="4"/>
  <c r="AI332" i="4"/>
  <c r="CG261" i="4"/>
  <c r="CH261" i="4" s="1"/>
  <c r="CI261" i="4"/>
  <c r="CI262" i="4"/>
  <c r="CG262" i="4"/>
  <c r="CH262" i="4" s="1"/>
  <c r="CN253" i="4"/>
  <c r="CN256" i="4"/>
  <c r="CG257" i="4"/>
  <c r="CH257" i="4" s="1"/>
  <c r="CI257" i="4"/>
  <c r="AI256" i="4"/>
  <c r="CI256" i="4"/>
  <c r="CR256" i="4"/>
  <c r="AI260" i="4"/>
  <c r="CI260" i="4"/>
  <c r="AI261" i="4"/>
  <c r="AI262" i="4"/>
  <c r="CN243" i="4"/>
  <c r="CN249" i="4"/>
  <c r="CN250" i="4"/>
  <c r="CG251" i="4"/>
  <c r="CH251" i="4" s="1"/>
  <c r="CI251" i="4"/>
  <c r="CI252" i="4"/>
  <c r="CG252" i="4"/>
  <c r="CH252" i="4" s="1"/>
  <c r="CI246" i="4"/>
  <c r="CR246" i="4"/>
  <c r="AI250" i="4"/>
  <c r="CI250" i="4"/>
  <c r="AI251" i="4"/>
  <c r="AI252" i="4"/>
  <c r="CI234" i="4"/>
  <c r="CI242" i="4"/>
  <c r="CG242" i="4"/>
  <c r="CH242" i="4" s="1"/>
  <c r="CG238" i="4"/>
  <c r="CH238" i="4" s="1"/>
  <c r="CI238" i="4"/>
  <c r="CN239" i="4"/>
  <c r="CN240" i="4"/>
  <c r="AI236" i="4"/>
  <c r="CI236" i="4"/>
  <c r="AI240" i="4"/>
  <c r="CI240" i="4"/>
  <c r="AI242" i="4"/>
  <c r="CN227" i="4"/>
  <c r="CN223" i="4"/>
  <c r="CI232" i="4"/>
  <c r="CG232" i="4"/>
  <c r="CH232" i="4" s="1"/>
  <c r="CN231" i="4"/>
  <c r="CI226" i="4"/>
  <c r="AI230" i="4"/>
  <c r="CI230" i="4"/>
  <c r="AI227" i="4"/>
  <c r="CG227" i="4"/>
  <c r="CH227" i="4" s="1"/>
  <c r="AI231" i="4"/>
  <c r="CG231" i="4"/>
  <c r="CH231" i="4" s="1"/>
  <c r="AI232" i="4"/>
  <c r="CI218" i="4"/>
  <c r="CG218" i="4"/>
  <c r="CH218" i="4" s="1"/>
  <c r="CN217" i="4"/>
  <c r="CI214" i="4"/>
  <c r="CN215" i="4"/>
  <c r="CN219" i="4"/>
  <c r="CG221" i="4"/>
  <c r="CH221" i="4" s="1"/>
  <c r="CI221" i="4"/>
  <c r="CI222" i="4"/>
  <c r="CG222" i="4"/>
  <c r="CH222" i="4" s="1"/>
  <c r="CI216" i="4"/>
  <c r="CI217" i="4"/>
  <c r="AI220" i="4"/>
  <c r="CI220" i="4"/>
  <c r="AI221" i="4"/>
  <c r="AI222" i="4"/>
  <c r="CG211" i="4"/>
  <c r="CH211" i="4" s="1"/>
  <c r="CI211" i="4"/>
  <c r="CI212" i="4"/>
  <c r="CG212" i="4"/>
  <c r="CH212" i="4" s="1"/>
  <c r="CN205" i="4"/>
  <c r="CN206" i="4"/>
  <c r="CI206" i="4"/>
  <c r="CG209" i="4"/>
  <c r="CH209" i="4" s="1"/>
  <c r="AI210" i="4"/>
  <c r="CI210" i="4"/>
  <c r="AI211" i="4"/>
  <c r="AI212" i="4"/>
  <c r="CN193" i="4"/>
  <c r="CI196" i="4"/>
  <c r="CN200" i="4"/>
  <c r="CI193" i="4"/>
  <c r="CI195" i="4"/>
  <c r="CN196" i="4"/>
  <c r="CN197" i="4"/>
  <c r="CI202" i="4"/>
  <c r="CG202" i="4"/>
  <c r="CH202" i="4" s="1"/>
  <c r="CI200" i="4"/>
  <c r="AI197" i="4"/>
  <c r="AI201" i="4"/>
  <c r="CG201" i="4"/>
  <c r="CH201" i="4" s="1"/>
  <c r="AI202" i="4"/>
  <c r="CG191" i="4"/>
  <c r="CH191" i="4" s="1"/>
  <c r="CI191" i="4"/>
  <c r="CI192" i="4"/>
  <c r="CG192" i="4"/>
  <c r="CH192" i="4" s="1"/>
  <c r="CI188" i="4"/>
  <c r="CG188" i="4"/>
  <c r="CH188" i="4" s="1"/>
  <c r="CI184" i="4"/>
  <c r="CN189" i="4"/>
  <c r="CN190" i="4"/>
  <c r="CD187" i="4"/>
  <c r="CB188" i="4"/>
  <c r="CQ188" i="4" s="1"/>
  <c r="CD191" i="4"/>
  <c r="CB192" i="4"/>
  <c r="CQ192" i="4" s="1"/>
  <c r="CB183" i="4"/>
  <c r="CQ183" i="4" s="1"/>
  <c r="CD184" i="4"/>
  <c r="CB185" i="4"/>
  <c r="CQ185" i="4" s="1"/>
  <c r="AI186" i="4"/>
  <c r="CI186" i="4"/>
  <c r="CD188" i="4"/>
  <c r="CB189" i="4"/>
  <c r="CQ189" i="4" s="1"/>
  <c r="AI190" i="4"/>
  <c r="CI190" i="4"/>
  <c r="CD192" i="4"/>
  <c r="CD185" i="4"/>
  <c r="CB186" i="4"/>
  <c r="CQ186" i="4" s="1"/>
  <c r="CD189" i="4"/>
  <c r="CB190" i="4"/>
  <c r="CQ190" i="4" s="1"/>
  <c r="AI191" i="4"/>
  <c r="AI184" i="4"/>
  <c r="CD186" i="4"/>
  <c r="CB187" i="4"/>
  <c r="CQ187" i="4" s="1"/>
  <c r="AI188" i="4"/>
  <c r="CD190" i="4"/>
  <c r="AI192" i="4"/>
  <c r="CI178" i="4"/>
  <c r="CG178" i="4"/>
  <c r="CH178" i="4" s="1"/>
  <c r="CI174" i="4"/>
  <c r="CI182" i="4"/>
  <c r="CG182" i="4"/>
  <c r="CH182" i="4" s="1"/>
  <c r="CN179" i="4"/>
  <c r="CN180" i="4"/>
  <c r="CI176" i="4"/>
  <c r="AI180" i="4"/>
  <c r="CI180" i="4"/>
  <c r="AI182" i="4"/>
  <c r="CI164" i="4"/>
  <c r="CI168" i="4"/>
  <c r="CG168" i="4"/>
  <c r="CH168" i="4" s="1"/>
  <c r="CN170" i="4"/>
  <c r="CG172" i="4"/>
  <c r="CH172" i="4" s="1"/>
  <c r="CI172" i="4"/>
  <c r="CN171" i="4"/>
  <c r="CI170" i="4"/>
  <c r="CR170" i="4"/>
  <c r="AI167" i="4"/>
  <c r="CG167" i="4"/>
  <c r="CH167" i="4" s="1"/>
  <c r="AI171" i="4"/>
  <c r="CG171" i="4"/>
  <c r="CH171" i="4" s="1"/>
  <c r="CI166" i="4"/>
  <c r="AI168" i="4"/>
  <c r="AI172" i="4"/>
  <c r="CG158" i="4"/>
  <c r="CH158" i="4" s="1"/>
  <c r="CI158" i="4"/>
  <c r="CN156" i="4"/>
  <c r="CI154" i="4"/>
  <c r="CG162" i="4"/>
  <c r="CH162" i="4" s="1"/>
  <c r="CI162" i="4"/>
  <c r="CN159" i="4"/>
  <c r="CN160" i="4"/>
  <c r="CI156" i="4"/>
  <c r="CI157" i="4"/>
  <c r="AI160" i="4"/>
  <c r="CI160" i="4"/>
  <c r="AI154" i="4"/>
  <c r="AI158" i="4"/>
  <c r="AI162" i="4"/>
  <c r="V52" i="5"/>
  <c r="V53" i="5"/>
  <c r="V54" i="5"/>
  <c r="V55" i="5"/>
  <c r="V56" i="5"/>
  <c r="V57" i="5"/>
  <c r="V58" i="5"/>
  <c r="V59" i="5"/>
  <c r="V60" i="5"/>
  <c r="V36" i="5"/>
  <c r="V37" i="5"/>
  <c r="V38" i="5"/>
  <c r="V39" i="5"/>
  <c r="V40" i="5"/>
  <c r="V41" i="5"/>
  <c r="V42" i="5"/>
  <c r="V43" i="5"/>
  <c r="V44" i="5"/>
  <c r="V45" i="5"/>
  <c r="V46" i="5"/>
  <c r="V47" i="5"/>
  <c r="V48" i="5"/>
  <c r="V49" i="5"/>
  <c r="V50" i="5"/>
  <c r="V51" i="5"/>
  <c r="V29" i="5"/>
  <c r="V30" i="5"/>
  <c r="V31" i="5"/>
  <c r="V32" i="5"/>
  <c r="V33" i="5"/>
  <c r="V34" i="5"/>
  <c r="V35" i="5"/>
  <c r="V22" i="5"/>
  <c r="V23" i="5"/>
  <c r="V24" i="5"/>
  <c r="V25" i="5"/>
  <c r="V26" i="5"/>
  <c r="V27" i="5"/>
  <c r="V28" i="5"/>
  <c r="V21" i="5"/>
  <c r="P77" i="4"/>
  <c r="O77" i="4"/>
  <c r="N77" i="4"/>
  <c r="P76" i="4"/>
  <c r="O76" i="4"/>
  <c r="N76" i="4"/>
  <c r="P75" i="4"/>
  <c r="O75" i="4"/>
  <c r="N75" i="4"/>
  <c r="P74" i="4"/>
  <c r="O74" i="4"/>
  <c r="N74" i="4"/>
  <c r="O86" i="3"/>
  <c r="P86" i="3" s="1"/>
  <c r="M86" i="3"/>
  <c r="L86" i="3"/>
  <c r="O85" i="3"/>
  <c r="P85" i="3" s="1"/>
  <c r="M85" i="3"/>
  <c r="L85" i="3"/>
  <c r="O84" i="3"/>
  <c r="P84" i="3" s="1"/>
  <c r="M84" i="3"/>
  <c r="L84" i="3"/>
  <c r="M83" i="3"/>
  <c r="AO81" i="3"/>
  <c r="AN81" i="3"/>
  <c r="O80" i="3"/>
  <c r="P80" i="3" s="1"/>
  <c r="M80" i="3"/>
  <c r="L80" i="3"/>
  <c r="O79" i="3"/>
  <c r="P79" i="3" s="1"/>
  <c r="M79" i="3"/>
  <c r="L79" i="3"/>
  <c r="O78" i="3"/>
  <c r="P78" i="3" s="1"/>
  <c r="M78" i="3"/>
  <c r="L78" i="3"/>
  <c r="AO75" i="3"/>
  <c r="AN75" i="3"/>
  <c r="O74" i="3"/>
  <c r="P74" i="3" s="1"/>
  <c r="M74" i="3"/>
  <c r="L74" i="3"/>
  <c r="O73" i="3"/>
  <c r="P73" i="3" s="1"/>
  <c r="M73" i="3"/>
  <c r="L73" i="3"/>
  <c r="O72" i="3"/>
  <c r="P72" i="3" s="1"/>
  <c r="M72" i="3"/>
  <c r="L72" i="3"/>
  <c r="M71" i="3"/>
  <c r="AO69" i="3"/>
  <c r="AN69" i="3"/>
  <c r="AH413" i="4" l="1"/>
  <c r="AG413" i="4"/>
  <c r="CR216" i="4"/>
  <c r="CB422" i="4"/>
  <c r="CQ422" i="4" s="1"/>
  <c r="CR524" i="4"/>
  <c r="AI523" i="4"/>
  <c r="CB523" i="4"/>
  <c r="CQ523" i="4" s="1"/>
  <c r="CB414" i="4"/>
  <c r="CQ414" i="4" s="1"/>
  <c r="CB417" i="4"/>
  <c r="CQ417" i="4" s="1"/>
  <c r="AI505" i="4"/>
  <c r="CB524" i="4"/>
  <c r="CQ524" i="4" s="1"/>
  <c r="CD523" i="4"/>
  <c r="CD524" i="4"/>
  <c r="AI524" i="4"/>
  <c r="CR408" i="4"/>
  <c r="K171" i="3"/>
  <c r="CD538" i="4"/>
  <c r="AG523" i="4"/>
  <c r="AH523" i="4"/>
  <c r="CR428" i="4"/>
  <c r="CD527" i="4"/>
  <c r="CB530" i="4"/>
  <c r="CQ530" i="4" s="1"/>
  <c r="AI465" i="4"/>
  <c r="CB532" i="4"/>
  <c r="CQ532" i="4" s="1"/>
  <c r="CR479" i="4"/>
  <c r="CD413" i="4"/>
  <c r="CD529" i="4"/>
  <c r="CB391" i="4"/>
  <c r="CQ391" i="4" s="1"/>
  <c r="CR203" i="4"/>
  <c r="AI376" i="4"/>
  <c r="CB531" i="4"/>
  <c r="CQ531" i="4" s="1"/>
  <c r="K231" i="3"/>
  <c r="CD389" i="4"/>
  <c r="AI203" i="4"/>
  <c r="CD414" i="4"/>
  <c r="K99" i="3"/>
  <c r="CD421" i="4"/>
  <c r="CD445" i="4"/>
  <c r="K172" i="3"/>
  <c r="CR284" i="4"/>
  <c r="AI326" i="4"/>
  <c r="K107" i="3"/>
  <c r="CR177" i="4"/>
  <c r="CR305" i="4"/>
  <c r="AI305" i="4"/>
  <c r="K214" i="3"/>
  <c r="CR354" i="4"/>
  <c r="AR353" i="4" s="1"/>
  <c r="AS353" i="4" s="1"/>
  <c r="AI354" i="4"/>
  <c r="CR316" i="4"/>
  <c r="AI316" i="4"/>
  <c r="CD321" i="4"/>
  <c r="K190" i="3"/>
  <c r="AI333" i="4"/>
  <c r="CR337" i="4"/>
  <c r="K203" i="3"/>
  <c r="K195" i="3"/>
  <c r="AI275" i="4"/>
  <c r="K167" i="3"/>
  <c r="K184" i="3"/>
  <c r="K179" i="3"/>
  <c r="AI294" i="4"/>
  <c r="K178" i="3"/>
  <c r="K173" i="3"/>
  <c r="AI344" i="4"/>
  <c r="K208" i="3"/>
  <c r="K207" i="3"/>
  <c r="K202" i="3"/>
  <c r="K135" i="3"/>
  <c r="AI247" i="4"/>
  <c r="AI255" i="4"/>
  <c r="K142" i="3"/>
  <c r="AI237" i="4"/>
  <c r="AI218" i="4"/>
  <c r="CR218" i="4"/>
  <c r="K131" i="3"/>
  <c r="CR217" i="4"/>
  <c r="K130" i="3"/>
  <c r="AI217" i="4"/>
  <c r="K153" i="3"/>
  <c r="CD253" i="4"/>
  <c r="CR253" i="4"/>
  <c r="CB260" i="4"/>
  <c r="CQ260" i="4" s="1"/>
  <c r="CB258" i="4"/>
  <c r="CQ258" i="4" s="1"/>
  <c r="AI253" i="4"/>
  <c r="CB256" i="4"/>
  <c r="CQ256" i="4" s="1"/>
  <c r="CD259" i="4"/>
  <c r="CD257" i="4"/>
  <c r="CD256" i="4"/>
  <c r="CB257" i="4"/>
  <c r="CQ257" i="4" s="1"/>
  <c r="CD260" i="4"/>
  <c r="CB254" i="4"/>
  <c r="CQ254" i="4" s="1"/>
  <c r="CD262" i="4"/>
  <c r="CD255" i="4"/>
  <c r="CD261" i="4"/>
  <c r="CB262" i="4"/>
  <c r="CQ262" i="4" s="1"/>
  <c r="CB253" i="4"/>
  <c r="CQ253" i="4" s="1"/>
  <c r="CB261" i="4"/>
  <c r="CQ261" i="4" s="1"/>
  <c r="CD254" i="4"/>
  <c r="CB255" i="4"/>
  <c r="CQ255" i="4" s="1"/>
  <c r="CD258" i="4"/>
  <c r="CB259" i="4"/>
  <c r="CQ259" i="4" s="1"/>
  <c r="CR215" i="4"/>
  <c r="AI215" i="4"/>
  <c r="CB242" i="4"/>
  <c r="CQ242" i="4" s="1"/>
  <c r="CB235" i="4"/>
  <c r="CQ235" i="4" s="1"/>
  <c r="CB239" i="4"/>
  <c r="CQ239" i="4" s="1"/>
  <c r="CD233" i="4"/>
  <c r="CR233" i="4"/>
  <c r="CD239" i="4"/>
  <c r="CD234" i="4"/>
  <c r="CB234" i="4"/>
  <c r="CQ234" i="4" s="1"/>
  <c r="CD238" i="4"/>
  <c r="CG235" i="4" s="1"/>
  <c r="CH235" i="4" s="1"/>
  <c r="CD242" i="4"/>
  <c r="CD235" i="4"/>
  <c r="CB236" i="4"/>
  <c r="CQ236" i="4" s="1"/>
  <c r="CD241" i="4"/>
  <c r="CB233" i="4"/>
  <c r="CQ233" i="4" s="1"/>
  <c r="CB241" i="4"/>
  <c r="CQ241" i="4" s="1"/>
  <c r="CB240" i="4"/>
  <c r="CQ240" i="4" s="1"/>
  <c r="CD237" i="4"/>
  <c r="K141" i="3"/>
  <c r="CB238" i="4"/>
  <c r="CQ238" i="4" s="1"/>
  <c r="CD236" i="4"/>
  <c r="CB237" i="4"/>
  <c r="CQ237" i="4" s="1"/>
  <c r="CD240" i="4"/>
  <c r="AI233" i="4"/>
  <c r="CR245" i="4"/>
  <c r="AI245" i="4"/>
  <c r="CR214" i="4"/>
  <c r="AR213" i="4" s="1"/>
  <c r="AS213" i="4" s="1"/>
  <c r="CD218" i="4"/>
  <c r="AI214" i="4"/>
  <c r="CB219" i="4"/>
  <c r="CQ219" i="4" s="1"/>
  <c r="K154" i="3"/>
  <c r="CR254" i="4"/>
  <c r="AI254" i="4"/>
  <c r="K148" i="3"/>
  <c r="AI244" i="4"/>
  <c r="CR244" i="4"/>
  <c r="CR234" i="4"/>
  <c r="AI234" i="4"/>
  <c r="CR238" i="4"/>
  <c r="AI238" i="4"/>
  <c r="K143" i="3"/>
  <c r="AI235" i="4"/>
  <c r="AI195" i="4"/>
  <c r="CR195" i="4"/>
  <c r="CD248" i="4"/>
  <c r="CB249" i="4"/>
  <c r="CQ249" i="4" s="1"/>
  <c r="CD252" i="4"/>
  <c r="CD249" i="4"/>
  <c r="CB250" i="4"/>
  <c r="CQ250" i="4" s="1"/>
  <c r="CB245" i="4"/>
  <c r="CQ245" i="4" s="1"/>
  <c r="K147" i="3"/>
  <c r="CD247" i="4"/>
  <c r="AI243" i="4"/>
  <c r="CD243" i="4"/>
  <c r="CR243" i="4"/>
  <c r="CD245" i="4"/>
  <c r="CB246" i="4"/>
  <c r="CQ246" i="4" s="1"/>
  <c r="CB251" i="4"/>
  <c r="CQ251" i="4" s="1"/>
  <c r="CB248" i="4"/>
  <c r="CQ248" i="4" s="1"/>
  <c r="CD251" i="4"/>
  <c r="CB244" i="4"/>
  <c r="CQ244" i="4" s="1"/>
  <c r="CD246" i="4"/>
  <c r="CB247" i="4"/>
  <c r="CQ247" i="4" s="1"/>
  <c r="CD250" i="4"/>
  <c r="CB252" i="4"/>
  <c r="CQ252" i="4" s="1"/>
  <c r="CB243" i="4"/>
  <c r="CQ243" i="4" s="1"/>
  <c r="CD244" i="4"/>
  <c r="CB215" i="4"/>
  <c r="CQ215" i="4" s="1"/>
  <c r="K129" i="3"/>
  <c r="CD214" i="4"/>
  <c r="CD221" i="4"/>
  <c r="CB218" i="4"/>
  <c r="CQ218" i="4" s="1"/>
  <c r="CD217" i="4"/>
  <c r="CB221" i="4"/>
  <c r="CQ221" i="4" s="1"/>
  <c r="CD220" i="4"/>
  <c r="CB213" i="4"/>
  <c r="CQ213" i="4" s="1"/>
  <c r="CB217" i="4"/>
  <c r="CQ217" i="4" s="1"/>
  <c r="CB222" i="4"/>
  <c r="CQ222" i="4" s="1"/>
  <c r="CD216" i="4"/>
  <c r="AI213" i="4"/>
  <c r="CB220" i="4"/>
  <c r="CQ220" i="4" s="1"/>
  <c r="CB214" i="4"/>
  <c r="CQ214" i="4" s="1"/>
  <c r="CD219" i="4"/>
  <c r="CB216" i="4"/>
  <c r="CQ216" i="4" s="1"/>
  <c r="CD215" i="4"/>
  <c r="CR213" i="4"/>
  <c r="AI257" i="4"/>
  <c r="CD222" i="4"/>
  <c r="CD213" i="4"/>
  <c r="AI194" i="4"/>
  <c r="K118" i="3"/>
  <c r="K159" i="3"/>
  <c r="CR204" i="4"/>
  <c r="K124" i="3"/>
  <c r="AI266" i="4"/>
  <c r="K160" i="3"/>
  <c r="K125" i="3"/>
  <c r="K106" i="3"/>
  <c r="CR174" i="4"/>
  <c r="K105" i="3"/>
  <c r="AI386" i="4"/>
  <c r="CD386" i="4"/>
  <c r="CG384" i="4" s="1"/>
  <c r="CH384" i="4" s="1"/>
  <c r="CB385" i="4"/>
  <c r="CQ385" i="4" s="1"/>
  <c r="CD383" i="4"/>
  <c r="AI384" i="4"/>
  <c r="CD385" i="4"/>
  <c r="CR383" i="4"/>
  <c r="CB386" i="4"/>
  <c r="CQ386" i="4" s="1"/>
  <c r="CB389" i="4"/>
  <c r="CQ389" i="4" s="1"/>
  <c r="CB384" i="4"/>
  <c r="CQ384" i="4" s="1"/>
  <c r="CD387" i="4"/>
  <c r="CD391" i="4"/>
  <c r="CD392" i="4"/>
  <c r="CB387" i="4"/>
  <c r="CQ387" i="4" s="1"/>
  <c r="CD390" i="4"/>
  <c r="CR375" i="4"/>
  <c r="CR406" i="4"/>
  <c r="K245" i="3"/>
  <c r="CR404" i="4"/>
  <c r="K244" i="3"/>
  <c r="CB388" i="4"/>
  <c r="CQ388" i="4" s="1"/>
  <c r="CB392" i="4"/>
  <c r="CQ392" i="4" s="1"/>
  <c r="CD384" i="4"/>
  <c r="CB383" i="4"/>
  <c r="CQ383" i="4" s="1"/>
  <c r="CR386" i="4"/>
  <c r="AR383" i="4" s="1"/>
  <c r="AS383" i="4" s="1"/>
  <c r="K232" i="3"/>
  <c r="CD388" i="4"/>
  <c r="K225" i="3"/>
  <c r="CR374" i="4"/>
  <c r="K226" i="3"/>
  <c r="CR364" i="4"/>
  <c r="K220" i="3"/>
  <c r="CD541" i="4"/>
  <c r="CB539" i="4"/>
  <c r="CQ539" i="4" s="1"/>
  <c r="CR413" i="4"/>
  <c r="CD533" i="4"/>
  <c r="CD415" i="4"/>
  <c r="AI426" i="4"/>
  <c r="CB421" i="4"/>
  <c r="CQ421" i="4" s="1"/>
  <c r="CB416" i="4"/>
  <c r="CQ416" i="4" s="1"/>
  <c r="CD535" i="4"/>
  <c r="CG535" i="4" s="1"/>
  <c r="CH535" i="4" s="1"/>
  <c r="CD419" i="4"/>
  <c r="CB536" i="4"/>
  <c r="CQ536" i="4" s="1"/>
  <c r="CB420" i="4"/>
  <c r="CQ420" i="4" s="1"/>
  <c r="CD539" i="4"/>
  <c r="CD532" i="4"/>
  <c r="CB533" i="4"/>
  <c r="CQ533" i="4" s="1"/>
  <c r="CR415" i="4"/>
  <c r="CB540" i="4"/>
  <c r="CQ540" i="4" s="1"/>
  <c r="CD561" i="4"/>
  <c r="CR534" i="4"/>
  <c r="AI414" i="4"/>
  <c r="CD536" i="4"/>
  <c r="CB562" i="4"/>
  <c r="CQ562" i="4" s="1"/>
  <c r="CB537" i="4"/>
  <c r="CQ537" i="4" s="1"/>
  <c r="CB559" i="4"/>
  <c r="CQ559" i="4" s="1"/>
  <c r="CB541" i="4"/>
  <c r="CQ541" i="4" s="1"/>
  <c r="CB534" i="4"/>
  <c r="CQ534" i="4" s="1"/>
  <c r="CB542" i="4"/>
  <c r="CQ542" i="4" s="1"/>
  <c r="AH533" i="4"/>
  <c r="AI535" i="4"/>
  <c r="CD531" i="4"/>
  <c r="CB535" i="4"/>
  <c r="CQ535" i="4" s="1"/>
  <c r="CD542" i="4"/>
  <c r="CB538" i="4"/>
  <c r="CQ538" i="4" s="1"/>
  <c r="CD540" i="4"/>
  <c r="CB419" i="4"/>
  <c r="CQ419" i="4" s="1"/>
  <c r="CB525" i="4"/>
  <c r="CQ525" i="4" s="1"/>
  <c r="CB413" i="4"/>
  <c r="CQ413" i="4" s="1"/>
  <c r="CD534" i="4"/>
  <c r="CG534" i="4" s="1"/>
  <c r="CH534" i="4" s="1"/>
  <c r="CB418" i="4"/>
  <c r="CQ418" i="4" s="1"/>
  <c r="CD417" i="4"/>
  <c r="CD416" i="4"/>
  <c r="CD422" i="4"/>
  <c r="CD530" i="4"/>
  <c r="CB528" i="4"/>
  <c r="CQ528" i="4" s="1"/>
  <c r="CB527" i="4"/>
  <c r="CQ527" i="4" s="1"/>
  <c r="CB553" i="4"/>
  <c r="CQ553" i="4" s="1"/>
  <c r="CB415" i="4"/>
  <c r="CQ415" i="4" s="1"/>
  <c r="CD526" i="4"/>
  <c r="CD525" i="4"/>
  <c r="CD554" i="4"/>
  <c r="CD418" i="4"/>
  <c r="AR523" i="4"/>
  <c r="AS523" i="4" s="1"/>
  <c r="CD528" i="4"/>
  <c r="CB555" i="4"/>
  <c r="CQ555" i="4" s="1"/>
  <c r="AI454" i="4"/>
  <c r="CR455" i="4"/>
  <c r="K275" i="3"/>
  <c r="CR463" i="4"/>
  <c r="CR159" i="4"/>
  <c r="CR266" i="4"/>
  <c r="CR226" i="4"/>
  <c r="CR223" i="4"/>
  <c r="CR344" i="4"/>
  <c r="CR306" i="4"/>
  <c r="AI306" i="4"/>
  <c r="AI274" i="4"/>
  <c r="CR334" i="4"/>
  <c r="CR365" i="4"/>
  <c r="O174" i="3"/>
  <c r="P174" i="3" s="1"/>
  <c r="L174" i="3"/>
  <c r="M174" i="3" s="1"/>
  <c r="CR345" i="4"/>
  <c r="CR363" i="4"/>
  <c r="CB354" i="4"/>
  <c r="CQ354" i="4" s="1"/>
  <c r="AI265" i="4"/>
  <c r="AI374" i="4"/>
  <c r="AI224" i="4"/>
  <c r="AI295" i="4"/>
  <c r="CR335" i="4"/>
  <c r="O203" i="3"/>
  <c r="P203" i="3" s="1"/>
  <c r="CR286" i="4"/>
  <c r="CR285" i="4"/>
  <c r="CG521" i="4"/>
  <c r="CH521" i="4" s="1"/>
  <c r="AR413" i="4"/>
  <c r="AS413" i="4" s="1"/>
  <c r="AR553" i="4"/>
  <c r="AS553" i="4" s="1"/>
  <c r="AR533" i="4"/>
  <c r="AS533" i="4" s="1"/>
  <c r="AI436" i="4"/>
  <c r="CR436" i="4"/>
  <c r="CR453" i="4"/>
  <c r="AR453" i="4" s="1"/>
  <c r="AS453" i="4" s="1"/>
  <c r="CG523" i="4"/>
  <c r="CH523" i="4" s="1"/>
  <c r="AI506" i="4"/>
  <c r="L334" i="3"/>
  <c r="M334" i="3" s="1"/>
  <c r="CG414" i="4"/>
  <c r="CH414" i="4" s="1"/>
  <c r="L311" i="3"/>
  <c r="M311" i="3" s="1"/>
  <c r="O311" i="3"/>
  <c r="P311" i="3" s="1"/>
  <c r="CD423" i="4"/>
  <c r="AI484" i="4"/>
  <c r="O286" i="3"/>
  <c r="P286" i="3" s="1"/>
  <c r="L286" i="3"/>
  <c r="O305" i="3"/>
  <c r="P305" i="3" s="1"/>
  <c r="CR405" i="4"/>
  <c r="O291" i="3"/>
  <c r="P291" i="3" s="1"/>
  <c r="O316" i="3"/>
  <c r="P316" i="3" s="1"/>
  <c r="L316" i="3"/>
  <c r="M316" i="3" s="1"/>
  <c r="AI497" i="4"/>
  <c r="O299" i="3"/>
  <c r="P299" i="3" s="1"/>
  <c r="L287" i="3"/>
  <c r="O287" i="3"/>
  <c r="P287" i="3" s="1"/>
  <c r="AR183" i="4"/>
  <c r="AS183" i="4" s="1"/>
  <c r="CG184" i="4"/>
  <c r="CH184" i="4" s="1"/>
  <c r="AI175" i="4"/>
  <c r="CG208" i="4"/>
  <c r="CH208" i="4" s="1"/>
  <c r="CG481" i="4"/>
  <c r="CH481" i="4" s="1"/>
  <c r="L102" i="3"/>
  <c r="M102" i="3" s="1"/>
  <c r="O102" i="3"/>
  <c r="P102" i="3" s="1"/>
  <c r="CR165" i="4"/>
  <c r="CR164" i="4"/>
  <c r="CG258" i="4"/>
  <c r="CH258" i="4" s="1"/>
  <c r="CG468" i="4"/>
  <c r="CH468" i="4" s="1"/>
  <c r="CG500" i="4"/>
  <c r="CH500" i="4" s="1"/>
  <c r="CG245" i="4"/>
  <c r="CH245" i="4" s="1"/>
  <c r="CG185" i="4"/>
  <c r="CH185" i="4" s="1"/>
  <c r="AI155" i="4"/>
  <c r="CR294" i="4"/>
  <c r="CG441" i="4"/>
  <c r="CH441" i="4" s="1"/>
  <c r="CG296" i="4"/>
  <c r="CH296" i="4" s="1"/>
  <c r="CG498" i="4"/>
  <c r="CH498" i="4" s="1"/>
  <c r="CG482" i="4"/>
  <c r="CH482" i="4" s="1"/>
  <c r="CG549" i="4"/>
  <c r="CH549" i="4" s="1"/>
  <c r="CG306" i="4"/>
  <c r="CH306" i="4" s="1"/>
  <c r="CG299" i="4"/>
  <c r="CH299" i="4" s="1"/>
  <c r="CG413" i="4"/>
  <c r="CH413" i="4" s="1"/>
  <c r="CI181" i="4"/>
  <c r="AI176" i="4"/>
  <c r="CG357" i="4"/>
  <c r="CH357" i="4" s="1"/>
  <c r="CG239" i="4"/>
  <c r="CH239" i="4" s="1"/>
  <c r="CG351" i="4"/>
  <c r="CH351" i="4" s="1"/>
  <c r="CG159" i="4"/>
  <c r="CH159" i="4" s="1"/>
  <c r="CR445" i="4"/>
  <c r="CI479" i="4"/>
  <c r="CI372" i="4"/>
  <c r="CI198" i="4"/>
  <c r="CI347" i="4"/>
  <c r="CI414" i="4"/>
  <c r="AI346" i="4"/>
  <c r="AI499" i="4"/>
  <c r="CG316" i="4"/>
  <c r="CH316" i="4" s="1"/>
  <c r="CG399" i="4"/>
  <c r="CH399" i="4" s="1"/>
  <c r="CG368" i="4"/>
  <c r="CH368" i="4" s="1"/>
  <c r="CG469" i="4"/>
  <c r="CH469" i="4" s="1"/>
  <c r="CB452" i="4"/>
  <c r="CQ452" i="4" s="1"/>
  <c r="CD452" i="4"/>
  <c r="CD447" i="4"/>
  <c r="CG486" i="4"/>
  <c r="CH486" i="4" s="1"/>
  <c r="CG207" i="4"/>
  <c r="CH207" i="4" s="1"/>
  <c r="CG501" i="4"/>
  <c r="CH501" i="4" s="1"/>
  <c r="CG350" i="4"/>
  <c r="CH350" i="4" s="1"/>
  <c r="CG346" i="4"/>
  <c r="CH346" i="4" s="1"/>
  <c r="AH483" i="4"/>
  <c r="CB317" i="4"/>
  <c r="CQ317" i="4" s="1"/>
  <c r="CD450" i="4"/>
  <c r="AI373" i="4"/>
  <c r="CD318" i="4"/>
  <c r="CD444" i="4"/>
  <c r="CB446" i="4"/>
  <c r="CQ446" i="4" s="1"/>
  <c r="CD446" i="4"/>
  <c r="AG453" i="4"/>
  <c r="AH453" i="4"/>
  <c r="AI283" i="4"/>
  <c r="CR423" i="4"/>
  <c r="AH423" i="4"/>
  <c r="CR333" i="4"/>
  <c r="CR193" i="4"/>
  <c r="AR193" i="4" s="1"/>
  <c r="AS193" i="4" s="1"/>
  <c r="CR403" i="4"/>
  <c r="CR503" i="4"/>
  <c r="AH503" i="4"/>
  <c r="AG503" i="4"/>
  <c r="CB322" i="4"/>
  <c r="CQ322" i="4" s="1"/>
  <c r="CB444" i="4"/>
  <c r="CQ444" i="4" s="1"/>
  <c r="CD319" i="4"/>
  <c r="CB315" i="4"/>
  <c r="CQ315" i="4" s="1"/>
  <c r="AI337" i="4"/>
  <c r="CB448" i="4"/>
  <c r="CQ448" i="4" s="1"/>
  <c r="CD448" i="4"/>
  <c r="CD443" i="4"/>
  <c r="CD449" i="4"/>
  <c r="CR475" i="4"/>
  <c r="AH463" i="4"/>
  <c r="AG463" i="4"/>
  <c r="AI153" i="4"/>
  <c r="AG443" i="4"/>
  <c r="AG473" i="4"/>
  <c r="AH473" i="4"/>
  <c r="AG433" i="4"/>
  <c r="AH433" i="4"/>
  <c r="AI493" i="4"/>
  <c r="AG493" i="4"/>
  <c r="AH493" i="4"/>
  <c r="AI164" i="4"/>
  <c r="CB320" i="4"/>
  <c r="CQ320" i="4" s="1"/>
  <c r="CB313" i="4"/>
  <c r="CQ313" i="4" s="1"/>
  <c r="CB451" i="4"/>
  <c r="CQ451" i="4" s="1"/>
  <c r="CB449" i="4"/>
  <c r="CQ449" i="4" s="1"/>
  <c r="AR443" i="4"/>
  <c r="AS443" i="4" s="1"/>
  <c r="CB450" i="4"/>
  <c r="CQ450" i="4" s="1"/>
  <c r="CB443" i="4"/>
  <c r="CQ443" i="4" s="1"/>
  <c r="AI406" i="4"/>
  <c r="CD451" i="4"/>
  <c r="CB447" i="4"/>
  <c r="CQ447" i="4" s="1"/>
  <c r="CR493" i="4"/>
  <c r="AH543" i="4"/>
  <c r="AG543" i="4"/>
  <c r="CR353" i="4"/>
  <c r="AG483" i="4"/>
  <c r="AH443" i="4"/>
  <c r="AI193" i="4"/>
  <c r="CR275" i="4"/>
  <c r="CB428" i="4"/>
  <c r="CQ428" i="4" s="1"/>
  <c r="AI546" i="4"/>
  <c r="CD400" i="4"/>
  <c r="CB153" i="4"/>
  <c r="CQ153" i="4" s="1"/>
  <c r="AI174" i="4"/>
  <c r="CB427" i="4"/>
  <c r="CQ427" i="4" s="1"/>
  <c r="CR546" i="4"/>
  <c r="CR155" i="4"/>
  <c r="CB162" i="4"/>
  <c r="CQ162" i="4" s="1"/>
  <c r="CD468" i="4"/>
  <c r="AI435" i="4"/>
  <c r="CB472" i="4"/>
  <c r="CQ472" i="4" s="1"/>
  <c r="CD361" i="4"/>
  <c r="CB357" i="4"/>
  <c r="CQ357" i="4" s="1"/>
  <c r="CB353" i="4"/>
  <c r="CQ353" i="4" s="1"/>
  <c r="CD354" i="4"/>
  <c r="CG354" i="4" s="1"/>
  <c r="CH354" i="4" s="1"/>
  <c r="CB356" i="4"/>
  <c r="CQ356" i="4" s="1"/>
  <c r="CB492" i="4"/>
  <c r="CQ492" i="4" s="1"/>
  <c r="AI263" i="4"/>
  <c r="CR358" i="4"/>
  <c r="CD353" i="4"/>
  <c r="CG353" i="4" s="1"/>
  <c r="CH353" i="4" s="1"/>
  <c r="CB485" i="4"/>
  <c r="CQ485" i="4" s="1"/>
  <c r="CD424" i="4"/>
  <c r="CD167" i="4"/>
  <c r="AI200" i="4"/>
  <c r="CB470" i="4"/>
  <c r="CQ470" i="4" s="1"/>
  <c r="AI466" i="4"/>
  <c r="CR438" i="4"/>
  <c r="CB429" i="4"/>
  <c r="CQ429" i="4" s="1"/>
  <c r="CB424" i="4"/>
  <c r="CQ424" i="4" s="1"/>
  <c r="AI488" i="4"/>
  <c r="AI544" i="4"/>
  <c r="AI395" i="4"/>
  <c r="AI276" i="4"/>
  <c r="AI474" i="4"/>
  <c r="CD293" i="4"/>
  <c r="CB431" i="4"/>
  <c r="CQ431" i="4" s="1"/>
  <c r="CB426" i="4"/>
  <c r="CQ426" i="4" s="1"/>
  <c r="CR425" i="4"/>
  <c r="CB157" i="4"/>
  <c r="CQ157" i="4" s="1"/>
  <c r="CB155" i="4"/>
  <c r="CQ155" i="4" s="1"/>
  <c r="CB167" i="4"/>
  <c r="CQ167" i="4" s="1"/>
  <c r="CD163" i="4"/>
  <c r="CG165" i="4" s="1"/>
  <c r="CH165" i="4" s="1"/>
  <c r="AI178" i="4"/>
  <c r="CB467" i="4"/>
  <c r="CQ467" i="4" s="1"/>
  <c r="CD463" i="4"/>
  <c r="CR466" i="4"/>
  <c r="CD427" i="4"/>
  <c r="CD432" i="4"/>
  <c r="CB487" i="4"/>
  <c r="CQ487" i="4" s="1"/>
  <c r="CR277" i="4"/>
  <c r="AI177" i="4"/>
  <c r="AI423" i="4"/>
  <c r="CR295" i="4"/>
  <c r="CD398" i="4"/>
  <c r="CB344" i="4"/>
  <c r="CQ344" i="4" s="1"/>
  <c r="CD303" i="4"/>
  <c r="CD295" i="4"/>
  <c r="CB549" i="4"/>
  <c r="CQ549" i="4" s="1"/>
  <c r="AI196" i="4"/>
  <c r="CD298" i="4"/>
  <c r="CD294" i="4"/>
  <c r="CR293" i="4"/>
  <c r="CR263" i="4"/>
  <c r="CD356" i="4"/>
  <c r="CB360" i="4"/>
  <c r="CQ360" i="4" s="1"/>
  <c r="CD362" i="4"/>
  <c r="CD359" i="4"/>
  <c r="AI349" i="4"/>
  <c r="CD355" i="4"/>
  <c r="CG355" i="4" s="1"/>
  <c r="CH355" i="4" s="1"/>
  <c r="AI353" i="4"/>
  <c r="CB231" i="4"/>
  <c r="CQ231" i="4" s="1"/>
  <c r="CD155" i="4"/>
  <c r="CB159" i="4"/>
  <c r="CQ159" i="4" s="1"/>
  <c r="AI156" i="4"/>
  <c r="CD302" i="4"/>
  <c r="CD299" i="4"/>
  <c r="CB358" i="4"/>
  <c r="CQ358" i="4" s="1"/>
  <c r="CB361" i="4"/>
  <c r="CQ361" i="4" s="1"/>
  <c r="CD358" i="4"/>
  <c r="CB362" i="4"/>
  <c r="CQ362" i="4" s="1"/>
  <c r="CB359" i="4"/>
  <c r="CQ359" i="4" s="1"/>
  <c r="CR507" i="4"/>
  <c r="AI468" i="4"/>
  <c r="CD296" i="4"/>
  <c r="AI293" i="4"/>
  <c r="CD357" i="4"/>
  <c r="CD360" i="4"/>
  <c r="CB355" i="4"/>
  <c r="CQ355" i="4" s="1"/>
  <c r="CD306" i="4"/>
  <c r="CB286" i="4"/>
  <c r="CQ286" i="4" s="1"/>
  <c r="CD469" i="4"/>
  <c r="AI463" i="4"/>
  <c r="CD467" i="4"/>
  <c r="CD495" i="4"/>
  <c r="CD209" i="4"/>
  <c r="CD300" i="4"/>
  <c r="AI284" i="4"/>
  <c r="CB339" i="4"/>
  <c r="CQ339" i="4" s="1"/>
  <c r="CB466" i="4"/>
  <c r="CQ466" i="4" s="1"/>
  <c r="CB463" i="4"/>
  <c r="CQ463" i="4" s="1"/>
  <c r="CD471" i="4"/>
  <c r="AI455" i="4"/>
  <c r="CB403" i="4"/>
  <c r="CQ403" i="4" s="1"/>
  <c r="AI405" i="4"/>
  <c r="CB498" i="4"/>
  <c r="CQ498" i="4" s="1"/>
  <c r="CR283" i="4"/>
  <c r="AI503" i="4"/>
  <c r="CD511" i="4"/>
  <c r="CD494" i="4"/>
  <c r="CB460" i="4"/>
  <c r="CQ460" i="4" s="1"/>
  <c r="CB312" i="4"/>
  <c r="CQ312" i="4" s="1"/>
  <c r="CD312" i="4"/>
  <c r="CD464" i="4"/>
  <c r="CD473" i="4"/>
  <c r="CD381" i="4"/>
  <c r="AI166" i="4"/>
  <c r="CB326" i="4"/>
  <c r="CQ326" i="4" s="1"/>
  <c r="CR307" i="4"/>
  <c r="AI335" i="4"/>
  <c r="CD470" i="4"/>
  <c r="CB469" i="4"/>
  <c r="CQ469" i="4" s="1"/>
  <c r="CB471" i="4"/>
  <c r="CQ471" i="4" s="1"/>
  <c r="CB458" i="4"/>
  <c r="CQ458" i="4" s="1"/>
  <c r="CB468" i="4"/>
  <c r="CQ468" i="4" s="1"/>
  <c r="CB474" i="4"/>
  <c r="CQ474" i="4" s="1"/>
  <c r="CD480" i="4"/>
  <c r="CD481" i="4"/>
  <c r="CB477" i="4"/>
  <c r="CQ477" i="4" s="1"/>
  <c r="AI286" i="4"/>
  <c r="CD393" i="4"/>
  <c r="AI485" i="4"/>
  <c r="CD483" i="4"/>
  <c r="CB484" i="4"/>
  <c r="CQ484" i="4" s="1"/>
  <c r="CD488" i="4"/>
  <c r="CD486" i="4"/>
  <c r="CD491" i="4"/>
  <c r="CD307" i="4"/>
  <c r="CD310" i="4"/>
  <c r="CD305" i="4"/>
  <c r="CD382" i="4"/>
  <c r="CD500" i="4"/>
  <c r="CR498" i="4"/>
  <c r="CD304" i="4"/>
  <c r="CR274" i="4"/>
  <c r="CD499" i="4"/>
  <c r="CB295" i="4"/>
  <c r="CQ295" i="4" s="1"/>
  <c r="CB331" i="4"/>
  <c r="CQ331" i="4" s="1"/>
  <c r="CR323" i="4"/>
  <c r="CB305" i="4"/>
  <c r="CQ305" i="4" s="1"/>
  <c r="CD309" i="4"/>
  <c r="CB453" i="4"/>
  <c r="CQ453" i="4" s="1"/>
  <c r="CB508" i="4"/>
  <c r="CQ508" i="4" s="1"/>
  <c r="CD394" i="4"/>
  <c r="CG394" i="4" s="1"/>
  <c r="CH394" i="4" s="1"/>
  <c r="CD405" i="4"/>
  <c r="AI495" i="4"/>
  <c r="CR495" i="4"/>
  <c r="AI456" i="4"/>
  <c r="CR494" i="4"/>
  <c r="CD176" i="4"/>
  <c r="CB332" i="4"/>
  <c r="CQ332" i="4" s="1"/>
  <c r="CD324" i="4"/>
  <c r="CB327" i="4"/>
  <c r="CQ327" i="4" s="1"/>
  <c r="CB323" i="4"/>
  <c r="CQ323" i="4" s="1"/>
  <c r="CB304" i="4"/>
  <c r="CQ304" i="4" s="1"/>
  <c r="CB381" i="4"/>
  <c r="CQ381" i="4" s="1"/>
  <c r="CD453" i="4"/>
  <c r="AI498" i="4"/>
  <c r="AI165" i="4"/>
  <c r="CB442" i="4"/>
  <c r="CQ442" i="4" s="1"/>
  <c r="CD211" i="4"/>
  <c r="CR508" i="4"/>
  <c r="CB196" i="4"/>
  <c r="CQ196" i="4" s="1"/>
  <c r="CD201" i="4"/>
  <c r="CD200" i="4"/>
  <c r="CD199" i="4"/>
  <c r="CB195" i="4"/>
  <c r="CQ195" i="4" s="1"/>
  <c r="CB199" i="4"/>
  <c r="CQ199" i="4" s="1"/>
  <c r="CD196" i="4"/>
  <c r="CB193" i="4"/>
  <c r="CQ193" i="4" s="1"/>
  <c r="CD197" i="4"/>
  <c r="CG195" i="4" s="1"/>
  <c r="CH195" i="4" s="1"/>
  <c r="CB176" i="4"/>
  <c r="CQ176" i="4" s="1"/>
  <c r="CD372" i="4"/>
  <c r="CB333" i="4"/>
  <c r="CQ333" i="4" s="1"/>
  <c r="CD160" i="4"/>
  <c r="CD159" i="4"/>
  <c r="CD157" i="4"/>
  <c r="CB178" i="4"/>
  <c r="CQ178" i="4" s="1"/>
  <c r="AI296" i="4"/>
  <c r="CB294" i="4"/>
  <c r="CQ294" i="4" s="1"/>
  <c r="AI394" i="4"/>
  <c r="CD412" i="4"/>
  <c r="CD395" i="4"/>
  <c r="AI403" i="4"/>
  <c r="CR394" i="4"/>
  <c r="CD396" i="4"/>
  <c r="CD399" i="4"/>
  <c r="CB412" i="4"/>
  <c r="CQ412" i="4" s="1"/>
  <c r="CR373" i="4"/>
  <c r="AI378" i="4"/>
  <c r="CD364" i="4"/>
  <c r="AI364" i="4"/>
  <c r="CD367" i="4"/>
  <c r="CB363" i="4"/>
  <c r="CQ363" i="4" s="1"/>
  <c r="CB345" i="4"/>
  <c r="CQ345" i="4" s="1"/>
  <c r="CB334" i="4"/>
  <c r="CQ334" i="4" s="1"/>
  <c r="CD340" i="4"/>
  <c r="CB338" i="4"/>
  <c r="CQ338" i="4" s="1"/>
  <c r="CB340" i="4"/>
  <c r="CQ340" i="4" s="1"/>
  <c r="AI334" i="4"/>
  <c r="CB336" i="4"/>
  <c r="CQ336" i="4" s="1"/>
  <c r="CD336" i="4"/>
  <c r="CD339" i="4"/>
  <c r="CB335" i="4"/>
  <c r="CQ335" i="4" s="1"/>
  <c r="CB342" i="4"/>
  <c r="CQ342" i="4" s="1"/>
  <c r="CB330" i="4"/>
  <c r="CQ330" i="4" s="1"/>
  <c r="CD328" i="4"/>
  <c r="CD332" i="4"/>
  <c r="AI323" i="4"/>
  <c r="CD292" i="4"/>
  <c r="CD287" i="4"/>
  <c r="CD290" i="4"/>
  <c r="CB288" i="4"/>
  <c r="CQ288" i="4" s="1"/>
  <c r="CD288" i="4"/>
  <c r="CB290" i="4"/>
  <c r="CQ290" i="4" s="1"/>
  <c r="CD286" i="4"/>
  <c r="CD284" i="4"/>
  <c r="CG284" i="4" s="1"/>
  <c r="CH284" i="4" s="1"/>
  <c r="CB284" i="4"/>
  <c r="CQ284" i="4" s="1"/>
  <c r="CD289" i="4"/>
  <c r="CB292" i="4"/>
  <c r="CQ292" i="4" s="1"/>
  <c r="AI393" i="4"/>
  <c r="CR393" i="4"/>
  <c r="CD401" i="4"/>
  <c r="CB393" i="4"/>
  <c r="CQ393" i="4" s="1"/>
  <c r="CB399" i="4"/>
  <c r="CQ399" i="4" s="1"/>
  <c r="CB396" i="4"/>
  <c r="CQ396" i="4" s="1"/>
  <c r="CB397" i="4"/>
  <c r="CQ397" i="4" s="1"/>
  <c r="CB394" i="4"/>
  <c r="CQ394" i="4" s="1"/>
  <c r="CB398" i="4"/>
  <c r="CQ398" i="4" s="1"/>
  <c r="CB401" i="4"/>
  <c r="CQ401" i="4" s="1"/>
  <c r="CD397" i="4"/>
  <c r="CB395" i="4"/>
  <c r="CQ395" i="4" s="1"/>
  <c r="CD402" i="4"/>
  <c r="CB400" i="4"/>
  <c r="CQ400" i="4" s="1"/>
  <c r="CR347" i="4"/>
  <c r="AI347" i="4"/>
  <c r="AI315" i="4"/>
  <c r="CR315" i="4"/>
  <c r="CB318" i="4"/>
  <c r="CQ318" i="4" s="1"/>
  <c r="CB319" i="4"/>
  <c r="CQ319" i="4" s="1"/>
  <c r="CB316" i="4"/>
  <c r="CQ316" i="4" s="1"/>
  <c r="CB314" i="4"/>
  <c r="CQ314" i="4" s="1"/>
  <c r="CD320" i="4"/>
  <c r="CD313" i="4"/>
  <c r="CD314" i="4"/>
  <c r="CD315" i="4"/>
  <c r="CD322" i="4"/>
  <c r="CB321" i="4"/>
  <c r="CQ321" i="4" s="1"/>
  <c r="CD317" i="4"/>
  <c r="CD316" i="4"/>
  <c r="CR304" i="4"/>
  <c r="CB310" i="4"/>
  <c r="CQ310" i="4" s="1"/>
  <c r="CB307" i="4"/>
  <c r="CQ307" i="4" s="1"/>
  <c r="CB309" i="4"/>
  <c r="CQ309" i="4" s="1"/>
  <c r="CB303" i="4"/>
  <c r="CQ303" i="4" s="1"/>
  <c r="CD308" i="4"/>
  <c r="CB308" i="4"/>
  <c r="CQ308" i="4" s="1"/>
  <c r="AI304" i="4"/>
  <c r="CD311" i="4"/>
  <c r="CB306" i="4"/>
  <c r="CQ306" i="4" s="1"/>
  <c r="CB311" i="4"/>
  <c r="CQ311" i="4" s="1"/>
  <c r="CR396" i="4"/>
  <c r="AI396" i="4"/>
  <c r="CR377" i="4"/>
  <c r="AI377" i="4"/>
  <c r="CD377" i="4"/>
  <c r="CB373" i="4"/>
  <c r="CQ373" i="4" s="1"/>
  <c r="CD378" i="4"/>
  <c r="CD380" i="4"/>
  <c r="CB376" i="4"/>
  <c r="CQ376" i="4" s="1"/>
  <c r="CD373" i="4"/>
  <c r="CB378" i="4"/>
  <c r="CQ378" i="4" s="1"/>
  <c r="CD374" i="4"/>
  <c r="CB379" i="4"/>
  <c r="CQ379" i="4" s="1"/>
  <c r="CD379" i="4"/>
  <c r="CD376" i="4"/>
  <c r="CD375" i="4"/>
  <c r="CB375" i="4"/>
  <c r="CQ375" i="4" s="1"/>
  <c r="CB382" i="4"/>
  <c r="CQ382" i="4" s="1"/>
  <c r="CB380" i="4"/>
  <c r="CQ380" i="4" s="1"/>
  <c r="CB377" i="4"/>
  <c r="CQ377" i="4" s="1"/>
  <c r="CR343" i="4"/>
  <c r="CD343" i="4"/>
  <c r="CD352" i="4"/>
  <c r="CB351" i="4"/>
  <c r="CQ351" i="4" s="1"/>
  <c r="CD347" i="4"/>
  <c r="CD349" i="4"/>
  <c r="CB348" i="4"/>
  <c r="CQ348" i="4" s="1"/>
  <c r="CD345" i="4"/>
  <c r="CG345" i="4" s="1"/>
  <c r="CH345" i="4" s="1"/>
  <c r="CB343" i="4"/>
  <c r="CQ343" i="4" s="1"/>
  <c r="CB350" i="4"/>
  <c r="CQ350" i="4" s="1"/>
  <c r="CB352" i="4"/>
  <c r="CQ352" i="4" s="1"/>
  <c r="CD346" i="4"/>
  <c r="AI343" i="4"/>
  <c r="CD348" i="4"/>
  <c r="CD350" i="4"/>
  <c r="CD351" i="4"/>
  <c r="CB347" i="4"/>
  <c r="CQ347" i="4" s="1"/>
  <c r="CB349" i="4"/>
  <c r="CQ349" i="4" s="1"/>
  <c r="CD344" i="4"/>
  <c r="CR325" i="4"/>
  <c r="AI325" i="4"/>
  <c r="AI307" i="4"/>
  <c r="CB402" i="4"/>
  <c r="CQ402" i="4" s="1"/>
  <c r="CD327" i="4"/>
  <c r="CD325" i="4"/>
  <c r="CD330" i="4"/>
  <c r="CD291" i="4"/>
  <c r="CB301" i="4"/>
  <c r="CQ301" i="4" s="1"/>
  <c r="CD283" i="4"/>
  <c r="CB324" i="4"/>
  <c r="CQ324" i="4" s="1"/>
  <c r="CB302" i="4"/>
  <c r="CQ302" i="4" s="1"/>
  <c r="CB299" i="4"/>
  <c r="CQ299" i="4" s="1"/>
  <c r="CR296" i="4"/>
  <c r="CB297" i="4"/>
  <c r="CQ297" i="4" s="1"/>
  <c r="CB300" i="4"/>
  <c r="CQ300" i="4" s="1"/>
  <c r="AI287" i="4"/>
  <c r="CD333" i="4"/>
  <c r="CD338" i="4"/>
  <c r="CB341" i="4"/>
  <c r="CQ341" i="4" s="1"/>
  <c r="CD341" i="4"/>
  <c r="CD337" i="4"/>
  <c r="CG335" i="4" s="1"/>
  <c r="CH335" i="4" s="1"/>
  <c r="CD404" i="4"/>
  <c r="CB404" i="4"/>
  <c r="CQ404" i="4" s="1"/>
  <c r="CD409" i="4"/>
  <c r="AI407" i="4"/>
  <c r="AI363" i="4"/>
  <c r="CR336" i="4"/>
  <c r="AI324" i="4"/>
  <c r="CB408" i="4"/>
  <c r="CQ408" i="4" s="1"/>
  <c r="CB407" i="4"/>
  <c r="CQ407" i="4" s="1"/>
  <c r="CB405" i="4"/>
  <c r="CQ405" i="4" s="1"/>
  <c r="CD403" i="4"/>
  <c r="CB410" i="4"/>
  <c r="CQ410" i="4" s="1"/>
  <c r="AI404" i="4"/>
  <c r="CB325" i="4"/>
  <c r="CQ325" i="4" s="1"/>
  <c r="CD323" i="4"/>
  <c r="CD329" i="4"/>
  <c r="CD326" i="4"/>
  <c r="CB328" i="4"/>
  <c r="CQ328" i="4" s="1"/>
  <c r="CB287" i="4"/>
  <c r="CQ287" i="4" s="1"/>
  <c r="CB291" i="4"/>
  <c r="CQ291" i="4" s="1"/>
  <c r="CB285" i="4"/>
  <c r="CQ285" i="4" s="1"/>
  <c r="CD331" i="4"/>
  <c r="CB289" i="4"/>
  <c r="CQ289" i="4" s="1"/>
  <c r="CD297" i="4"/>
  <c r="CR287" i="4"/>
  <c r="CB283" i="4"/>
  <c r="CQ283" i="4" s="1"/>
  <c r="CB296" i="4"/>
  <c r="CQ296" i="4" s="1"/>
  <c r="CD301" i="4"/>
  <c r="CR366" i="4"/>
  <c r="CD335" i="4"/>
  <c r="CD342" i="4"/>
  <c r="CB337" i="4"/>
  <c r="CQ337" i="4" s="1"/>
  <c r="CD334" i="4"/>
  <c r="AI348" i="4"/>
  <c r="CB409" i="4"/>
  <c r="CQ409" i="4" s="1"/>
  <c r="CD411" i="4"/>
  <c r="AI366" i="4"/>
  <c r="CR324" i="4"/>
  <c r="CB293" i="4"/>
  <c r="CQ293" i="4" s="1"/>
  <c r="CB368" i="4"/>
  <c r="CQ368" i="4" s="1"/>
  <c r="CB366" i="4"/>
  <c r="CQ366" i="4" s="1"/>
  <c r="CB367" i="4"/>
  <c r="CQ367" i="4" s="1"/>
  <c r="CB365" i="4"/>
  <c r="CQ365" i="4" s="1"/>
  <c r="AI365" i="4"/>
  <c r="CD370" i="4"/>
  <c r="CB369" i="4"/>
  <c r="CQ369" i="4" s="1"/>
  <c r="CD366" i="4"/>
  <c r="CG366" i="4" s="1"/>
  <c r="CH366" i="4" s="1"/>
  <c r="CD369" i="4"/>
  <c r="CD371" i="4"/>
  <c r="CD368" i="4"/>
  <c r="CD365" i="4"/>
  <c r="CG365" i="4" s="1"/>
  <c r="CH365" i="4" s="1"/>
  <c r="CB346" i="4"/>
  <c r="CQ346" i="4" s="1"/>
  <c r="CB411" i="4"/>
  <c r="CQ411" i="4" s="1"/>
  <c r="CD408" i="4"/>
  <c r="CD407" i="4"/>
  <c r="CB406" i="4"/>
  <c r="CQ406" i="4" s="1"/>
  <c r="CD410" i="4"/>
  <c r="CD406" i="4"/>
  <c r="CB371" i="4"/>
  <c r="CQ371" i="4" s="1"/>
  <c r="AI345" i="4"/>
  <c r="CB298" i="4"/>
  <c r="CQ298" i="4" s="1"/>
  <c r="CB329" i="4"/>
  <c r="CQ329" i="4" s="1"/>
  <c r="CD285" i="4"/>
  <c r="CB374" i="4"/>
  <c r="CQ374" i="4" s="1"/>
  <c r="CG395" i="4"/>
  <c r="CH395" i="4" s="1"/>
  <c r="CB370" i="4"/>
  <c r="CQ370" i="4" s="1"/>
  <c r="CB372" i="4"/>
  <c r="CQ372" i="4" s="1"/>
  <c r="CD363" i="4"/>
  <c r="AI285" i="4"/>
  <c r="CB364" i="4"/>
  <c r="CQ364" i="4" s="1"/>
  <c r="CG326" i="4"/>
  <c r="CH326" i="4" s="1"/>
  <c r="CI203" i="4"/>
  <c r="CB224" i="4"/>
  <c r="CQ224" i="4" s="1"/>
  <c r="CD223" i="4"/>
  <c r="CB223" i="4"/>
  <c r="CQ223" i="4" s="1"/>
  <c r="AI225" i="4"/>
  <c r="AI264" i="4"/>
  <c r="CB280" i="4"/>
  <c r="CQ280" i="4" s="1"/>
  <c r="CD269" i="4"/>
  <c r="CR265" i="4"/>
  <c r="CB263" i="4"/>
  <c r="CQ263" i="4" s="1"/>
  <c r="CD281" i="4"/>
  <c r="CD268" i="4"/>
  <c r="CB267" i="4"/>
  <c r="CQ267" i="4" s="1"/>
  <c r="CB270" i="4"/>
  <c r="CQ270" i="4" s="1"/>
  <c r="CB264" i="4"/>
  <c r="CQ264" i="4" s="1"/>
  <c r="CB269" i="4"/>
  <c r="CQ269" i="4" s="1"/>
  <c r="CB266" i="4"/>
  <c r="CQ266" i="4" s="1"/>
  <c r="CB271" i="4"/>
  <c r="CQ271" i="4" s="1"/>
  <c r="CD271" i="4"/>
  <c r="CB274" i="4"/>
  <c r="CQ274" i="4" s="1"/>
  <c r="CD279" i="4"/>
  <c r="CD282" i="4"/>
  <c r="CB276" i="4"/>
  <c r="CQ276" i="4" s="1"/>
  <c r="CB282" i="4"/>
  <c r="CQ282" i="4" s="1"/>
  <c r="CB277" i="4"/>
  <c r="CQ277" i="4" s="1"/>
  <c r="CB273" i="4"/>
  <c r="CQ273" i="4" s="1"/>
  <c r="CD276" i="4"/>
  <c r="CD275" i="4"/>
  <c r="CD277" i="4"/>
  <c r="CD274" i="4"/>
  <c r="CB272" i="4"/>
  <c r="CQ272" i="4" s="1"/>
  <c r="CD267" i="4"/>
  <c r="CD264" i="4"/>
  <c r="CD272" i="4"/>
  <c r="CD278" i="4"/>
  <c r="CB275" i="4"/>
  <c r="CQ275" i="4" s="1"/>
  <c r="CB268" i="4"/>
  <c r="CQ268" i="4" s="1"/>
  <c r="CD265" i="4"/>
  <c r="CD280" i="4"/>
  <c r="AI273" i="4"/>
  <c r="CR273" i="4"/>
  <c r="CB279" i="4"/>
  <c r="CQ279" i="4" s="1"/>
  <c r="CD273" i="4"/>
  <c r="CB278" i="4"/>
  <c r="CQ278" i="4" s="1"/>
  <c r="CD266" i="4"/>
  <c r="CD263" i="4"/>
  <c r="CD270" i="4"/>
  <c r="CB265" i="4"/>
  <c r="CQ265" i="4" s="1"/>
  <c r="CB281" i="4"/>
  <c r="CQ281" i="4" s="1"/>
  <c r="CD230" i="4"/>
  <c r="CB230" i="4"/>
  <c r="CQ230" i="4" s="1"/>
  <c r="CB226" i="4"/>
  <c r="CQ226" i="4" s="1"/>
  <c r="AI223" i="4"/>
  <c r="CB229" i="4"/>
  <c r="CQ229" i="4" s="1"/>
  <c r="AI226" i="4"/>
  <c r="CB232" i="4"/>
  <c r="CQ232" i="4" s="1"/>
  <c r="CB228" i="4"/>
  <c r="CQ228" i="4" s="1"/>
  <c r="CB227" i="4"/>
  <c r="CQ227" i="4" s="1"/>
  <c r="CD227" i="4"/>
  <c r="CD229" i="4"/>
  <c r="CD225" i="4"/>
  <c r="CD232" i="4"/>
  <c r="CD228" i="4"/>
  <c r="CD231" i="4"/>
  <c r="CB225" i="4"/>
  <c r="CQ225" i="4" s="1"/>
  <c r="CD226" i="4"/>
  <c r="CD224" i="4"/>
  <c r="CR206" i="4"/>
  <c r="CR194" i="4"/>
  <c r="CD210" i="4"/>
  <c r="AI206" i="4"/>
  <c r="CD203" i="4"/>
  <c r="CB200" i="4"/>
  <c r="CQ200" i="4" s="1"/>
  <c r="CD195" i="4"/>
  <c r="CD202" i="4"/>
  <c r="CD198" i="4"/>
  <c r="CB202" i="4"/>
  <c r="CQ202" i="4" s="1"/>
  <c r="CB201" i="4"/>
  <c r="CQ201" i="4" s="1"/>
  <c r="CB198" i="4"/>
  <c r="CQ198" i="4" s="1"/>
  <c r="CD208" i="4"/>
  <c r="CB205" i="4"/>
  <c r="CQ205" i="4" s="1"/>
  <c r="AI207" i="4"/>
  <c r="CB197" i="4"/>
  <c r="CQ197" i="4" s="1"/>
  <c r="CD193" i="4"/>
  <c r="CD194" i="4"/>
  <c r="CB194" i="4"/>
  <c r="CQ194" i="4" s="1"/>
  <c r="CB207" i="4"/>
  <c r="CQ207" i="4" s="1"/>
  <c r="CB206" i="4"/>
  <c r="CQ206" i="4" s="1"/>
  <c r="CD204" i="4"/>
  <c r="CB211" i="4"/>
  <c r="CQ211" i="4" s="1"/>
  <c r="CD206" i="4"/>
  <c r="CD205" i="4"/>
  <c r="CD207" i="4"/>
  <c r="CB203" i="4"/>
  <c r="CQ203" i="4" s="1"/>
  <c r="CB208" i="4"/>
  <c r="CQ208" i="4" s="1"/>
  <c r="CB204" i="4"/>
  <c r="CQ204" i="4" s="1"/>
  <c r="CB210" i="4"/>
  <c r="CQ210" i="4" s="1"/>
  <c r="CD212" i="4"/>
  <c r="CB209" i="4"/>
  <c r="CQ209" i="4" s="1"/>
  <c r="CB212" i="4"/>
  <c r="CQ212" i="4" s="1"/>
  <c r="AI204" i="4"/>
  <c r="CR173" i="4"/>
  <c r="CD182" i="4"/>
  <c r="CB179" i="4"/>
  <c r="CQ179" i="4" s="1"/>
  <c r="CD174" i="4"/>
  <c r="CB182" i="4"/>
  <c r="CQ182" i="4" s="1"/>
  <c r="CB180" i="4"/>
  <c r="CQ180" i="4" s="1"/>
  <c r="CD166" i="4"/>
  <c r="CB169" i="4"/>
  <c r="CQ169" i="4" s="1"/>
  <c r="CB165" i="4"/>
  <c r="CQ165" i="4" s="1"/>
  <c r="CD164" i="4"/>
  <c r="CD172" i="4"/>
  <c r="CB164" i="4"/>
  <c r="CQ164" i="4" s="1"/>
  <c r="CD170" i="4"/>
  <c r="CD168" i="4"/>
  <c r="CB163" i="4"/>
  <c r="CQ163" i="4" s="1"/>
  <c r="CB170" i="4"/>
  <c r="CQ170" i="4" s="1"/>
  <c r="CB166" i="4"/>
  <c r="CQ166" i="4" s="1"/>
  <c r="CB172" i="4"/>
  <c r="CQ172" i="4" s="1"/>
  <c r="CR153" i="4"/>
  <c r="CD171" i="4"/>
  <c r="CD169" i="4"/>
  <c r="CD165" i="4"/>
  <c r="CR166" i="4"/>
  <c r="CB168" i="4"/>
  <c r="CQ168" i="4" s="1"/>
  <c r="AI173" i="4"/>
  <c r="CD156" i="4"/>
  <c r="CB160" i="4"/>
  <c r="CQ160" i="4" s="1"/>
  <c r="CD153" i="4"/>
  <c r="CD154" i="4"/>
  <c r="CG155" i="4" s="1"/>
  <c r="CH155" i="4" s="1"/>
  <c r="CD180" i="4"/>
  <c r="CD179" i="4"/>
  <c r="CD178" i="4"/>
  <c r="CB175" i="4"/>
  <c r="CQ175" i="4" s="1"/>
  <c r="CD181" i="4"/>
  <c r="CB161" i="4"/>
  <c r="CQ161" i="4" s="1"/>
  <c r="CB174" i="4"/>
  <c r="CQ174" i="4" s="1"/>
  <c r="CB171" i="4"/>
  <c r="CQ171" i="4" s="1"/>
  <c r="CB156" i="4"/>
  <c r="CQ156" i="4" s="1"/>
  <c r="CD162" i="4"/>
  <c r="CD158" i="4"/>
  <c r="CD161" i="4"/>
  <c r="CB177" i="4"/>
  <c r="CQ177" i="4" s="1"/>
  <c r="CD175" i="4"/>
  <c r="CB173" i="4"/>
  <c r="CQ173" i="4" s="1"/>
  <c r="CD177" i="4"/>
  <c r="CB154" i="4"/>
  <c r="CQ154" i="4" s="1"/>
  <c r="CD173" i="4"/>
  <c r="CB181" i="4"/>
  <c r="CQ181" i="4" s="1"/>
  <c r="CB158" i="4"/>
  <c r="CQ158" i="4" s="1"/>
  <c r="CD503" i="4"/>
  <c r="CD512" i="4"/>
  <c r="AI508" i="4"/>
  <c r="CD506" i="4"/>
  <c r="CD507" i="4"/>
  <c r="CD479" i="4"/>
  <c r="CD458" i="4"/>
  <c r="CD455" i="4"/>
  <c r="CG457" i="4" s="1"/>
  <c r="CH457" i="4" s="1"/>
  <c r="CB454" i="4"/>
  <c r="CQ454" i="4" s="1"/>
  <c r="CD456" i="4"/>
  <c r="CB457" i="4"/>
  <c r="CQ457" i="4" s="1"/>
  <c r="CD460" i="4"/>
  <c r="CB462" i="4"/>
  <c r="CQ462" i="4" s="1"/>
  <c r="CD454" i="4"/>
  <c r="CB455" i="4"/>
  <c r="CQ455" i="4" s="1"/>
  <c r="CD459" i="4"/>
  <c r="CD457" i="4"/>
  <c r="CD440" i="4"/>
  <c r="CD434" i="4"/>
  <c r="CR433" i="4"/>
  <c r="CD425" i="4"/>
  <c r="CB423" i="4"/>
  <c r="CQ423" i="4" s="1"/>
  <c r="CB430" i="4"/>
  <c r="CQ430" i="4" s="1"/>
  <c r="CR545" i="4"/>
  <c r="AI545" i="4"/>
  <c r="CB434" i="4"/>
  <c r="CQ434" i="4" s="1"/>
  <c r="CB441" i="4"/>
  <c r="CQ441" i="4" s="1"/>
  <c r="CB435" i="4"/>
  <c r="CQ435" i="4" s="1"/>
  <c r="CD545" i="4"/>
  <c r="CB543" i="4"/>
  <c r="CQ543" i="4" s="1"/>
  <c r="AI509" i="4"/>
  <c r="CR509" i="4"/>
  <c r="CB509" i="4"/>
  <c r="CQ509" i="4" s="1"/>
  <c r="CB504" i="4"/>
  <c r="CQ504" i="4" s="1"/>
  <c r="CB506" i="4"/>
  <c r="CQ506" i="4" s="1"/>
  <c r="CB510" i="4"/>
  <c r="CQ510" i="4" s="1"/>
  <c r="CD504" i="4"/>
  <c r="CD510" i="4"/>
  <c r="CB512" i="4"/>
  <c r="CQ512" i="4" s="1"/>
  <c r="CB505" i="4"/>
  <c r="CQ505" i="4" s="1"/>
  <c r="CD508" i="4"/>
  <c r="CR504" i="4"/>
  <c r="CB511" i="4"/>
  <c r="CQ511" i="4" s="1"/>
  <c r="CR496" i="4"/>
  <c r="AI496" i="4"/>
  <c r="CD493" i="4"/>
  <c r="CB494" i="4"/>
  <c r="CQ494" i="4" s="1"/>
  <c r="CD501" i="4"/>
  <c r="CD502" i="4"/>
  <c r="CB493" i="4"/>
  <c r="CQ493" i="4" s="1"/>
  <c r="CB497" i="4"/>
  <c r="CQ497" i="4" s="1"/>
  <c r="CD429" i="4"/>
  <c r="CD428" i="4"/>
  <c r="CB432" i="4"/>
  <c r="CQ432" i="4" s="1"/>
  <c r="CD426" i="4"/>
  <c r="CG424" i="4" s="1"/>
  <c r="CH424" i="4" s="1"/>
  <c r="CD430" i="4"/>
  <c r="CB425" i="4"/>
  <c r="CQ425" i="4" s="1"/>
  <c r="CD431" i="4"/>
  <c r="CR486" i="4"/>
  <c r="AR483" i="4" s="1"/>
  <c r="AS483" i="4" s="1"/>
  <c r="AI486" i="4"/>
  <c r="CB486" i="4"/>
  <c r="CQ486" i="4" s="1"/>
  <c r="CB489" i="4"/>
  <c r="CQ489" i="4" s="1"/>
  <c r="CB483" i="4"/>
  <c r="CQ483" i="4" s="1"/>
  <c r="CD487" i="4"/>
  <c r="CG485" i="4" s="1"/>
  <c r="CH485" i="4" s="1"/>
  <c r="CD490" i="4"/>
  <c r="CD436" i="4"/>
  <c r="CB439" i="4"/>
  <c r="CQ439" i="4" s="1"/>
  <c r="CB499" i="4"/>
  <c r="CQ499" i="4" s="1"/>
  <c r="CD505" i="4"/>
  <c r="CB501" i="4"/>
  <c r="CQ501" i="4" s="1"/>
  <c r="CB495" i="4"/>
  <c r="CQ495" i="4" s="1"/>
  <c r="CD551" i="4"/>
  <c r="CD546" i="4"/>
  <c r="CD548" i="4"/>
  <c r="CR434" i="4"/>
  <c r="AI434" i="4"/>
  <c r="CD439" i="4"/>
  <c r="CD441" i="4"/>
  <c r="CD437" i="4"/>
  <c r="CB507" i="4"/>
  <c r="CQ507" i="4" s="1"/>
  <c r="CB503" i="4"/>
  <c r="CQ503" i="4" s="1"/>
  <c r="CD497" i="4"/>
  <c r="CD509" i="4"/>
  <c r="AI504" i="4"/>
  <c r="CD550" i="4"/>
  <c r="CD466" i="4"/>
  <c r="CD465" i="4"/>
  <c r="CD472" i="4"/>
  <c r="CB465" i="4"/>
  <c r="CQ465" i="4" s="1"/>
  <c r="AI453" i="4"/>
  <c r="CB456" i="4"/>
  <c r="CQ456" i="4" s="1"/>
  <c r="CB461" i="4"/>
  <c r="CQ461" i="4" s="1"/>
  <c r="CD461" i="4"/>
  <c r="CD438" i="4"/>
  <c r="CB438" i="4"/>
  <c r="CQ438" i="4" s="1"/>
  <c r="CB437" i="4"/>
  <c r="CQ437" i="4" s="1"/>
  <c r="CB464" i="4"/>
  <c r="CQ464" i="4" s="1"/>
  <c r="CB459" i="4"/>
  <c r="CQ459" i="4" s="1"/>
  <c r="CD462" i="4"/>
  <c r="CB436" i="4"/>
  <c r="CQ436" i="4" s="1"/>
  <c r="CB433" i="4"/>
  <c r="CQ433" i="4" s="1"/>
  <c r="CB500" i="4"/>
  <c r="CQ500" i="4" s="1"/>
  <c r="CD496" i="4"/>
  <c r="CB502" i="4"/>
  <c r="CQ502" i="4" s="1"/>
  <c r="CB496" i="4"/>
  <c r="CQ496" i="4" s="1"/>
  <c r="CD498" i="4"/>
  <c r="CD489" i="4"/>
  <c r="CB491" i="4"/>
  <c r="CQ491" i="4" s="1"/>
  <c r="CB488" i="4"/>
  <c r="CQ488" i="4" s="1"/>
  <c r="CD484" i="4"/>
  <c r="CD492" i="4"/>
  <c r="CD485" i="4"/>
  <c r="CD478" i="4"/>
  <c r="CB490" i="4"/>
  <c r="CQ490" i="4" s="1"/>
  <c r="AI433" i="4"/>
  <c r="CB445" i="4"/>
  <c r="CQ445" i="4" s="1"/>
  <c r="CR497" i="4"/>
  <c r="CD435" i="4"/>
  <c r="CD552" i="4"/>
  <c r="CG554" i="4"/>
  <c r="CH554" i="4" s="1"/>
  <c r="CD433" i="4"/>
  <c r="CB440" i="4"/>
  <c r="CQ440" i="4" s="1"/>
  <c r="CB478" i="4"/>
  <c r="CQ478" i="4" s="1"/>
  <c r="CB473" i="4"/>
  <c r="CQ473" i="4" s="1"/>
  <c r="CB479" i="4"/>
  <c r="CQ479" i="4" s="1"/>
  <c r="CR473" i="4"/>
  <c r="CB480" i="4"/>
  <c r="CQ480" i="4" s="1"/>
  <c r="CB548" i="4"/>
  <c r="CQ548" i="4" s="1"/>
  <c r="CB550" i="4"/>
  <c r="CQ550" i="4" s="1"/>
  <c r="CB545" i="4"/>
  <c r="CQ545" i="4" s="1"/>
  <c r="CD543" i="4"/>
  <c r="CD544" i="4"/>
  <c r="CR543" i="4"/>
  <c r="CG444" i="4"/>
  <c r="CH444" i="4" s="1"/>
  <c r="CD477" i="4"/>
  <c r="CG474" i="4" s="1"/>
  <c r="CH474" i="4" s="1"/>
  <c r="CD474" i="4"/>
  <c r="CD482" i="4"/>
  <c r="CD475" i="4"/>
  <c r="CD547" i="4"/>
  <c r="CD549" i="4"/>
  <c r="CB552" i="4"/>
  <c r="CQ552" i="4" s="1"/>
  <c r="CB551" i="4"/>
  <c r="CQ551" i="4" s="1"/>
  <c r="CD442" i="4"/>
  <c r="AI543" i="4"/>
  <c r="CB481" i="4"/>
  <c r="CQ481" i="4" s="1"/>
  <c r="CD476" i="4"/>
  <c r="CB482" i="4"/>
  <c r="CQ482" i="4" s="1"/>
  <c r="CB475" i="4"/>
  <c r="CQ475" i="4" s="1"/>
  <c r="AI473" i="4"/>
  <c r="CB476" i="4"/>
  <c r="CQ476" i="4" s="1"/>
  <c r="CB544" i="4"/>
  <c r="CQ544" i="4" s="1"/>
  <c r="CB547" i="4"/>
  <c r="CQ547" i="4" s="1"/>
  <c r="CB546" i="4"/>
  <c r="CQ546" i="4" s="1"/>
  <c r="CO483" i="4"/>
  <c r="AK483" i="4" s="1"/>
  <c r="CO173" i="4"/>
  <c r="AK173" i="4" s="1"/>
  <c r="CG276" i="4"/>
  <c r="CH276" i="4" s="1"/>
  <c r="CG514" i="4"/>
  <c r="CH514" i="4" s="1"/>
  <c r="CG298" i="4"/>
  <c r="CH298" i="4" s="1"/>
  <c r="CG533" i="4"/>
  <c r="CH533" i="4" s="1"/>
  <c r="CO153" i="4"/>
  <c r="AK153" i="4" s="1"/>
  <c r="CO233" i="4"/>
  <c r="AK233" i="4" s="1"/>
  <c r="CO313" i="4"/>
  <c r="AK313" i="4" s="1"/>
  <c r="CO343" i="4"/>
  <c r="AK343" i="4" s="1"/>
  <c r="CO403" i="4"/>
  <c r="AK403" i="4" s="1"/>
  <c r="CO503" i="4"/>
  <c r="AK503" i="4" s="1"/>
  <c r="CO453" i="4"/>
  <c r="AK453" i="4" s="1"/>
  <c r="CO433" i="4"/>
  <c r="AK433" i="4" s="1"/>
  <c r="CO553" i="4"/>
  <c r="AK553" i="4" s="1"/>
  <c r="CG325" i="4"/>
  <c r="CH325" i="4" s="1"/>
  <c r="CG179" i="4"/>
  <c r="CH179" i="4" s="1"/>
  <c r="CG302" i="4"/>
  <c r="CH302" i="4" s="1"/>
  <c r="CI266" i="4"/>
  <c r="CG459" i="4"/>
  <c r="CH459" i="4" s="1"/>
  <c r="CG378" i="4"/>
  <c r="CH378" i="4" s="1"/>
  <c r="CG415" i="4"/>
  <c r="CH415" i="4" s="1"/>
  <c r="CG321" i="4"/>
  <c r="CH321" i="4" s="1"/>
  <c r="CG271" i="4"/>
  <c r="CH271" i="4" s="1"/>
  <c r="CG228" i="4"/>
  <c r="CH228" i="4" s="1"/>
  <c r="CI237" i="4"/>
  <c r="CG506" i="4"/>
  <c r="CH506" i="4" s="1"/>
  <c r="CI290" i="4"/>
  <c r="CG265" i="4"/>
  <c r="CH265" i="4" s="1"/>
  <c r="CG288" i="4"/>
  <c r="CH288" i="4" s="1"/>
  <c r="CI177" i="4"/>
  <c r="CG375" i="4"/>
  <c r="CH375" i="4" s="1"/>
  <c r="CG536" i="4"/>
  <c r="CH536" i="4" s="1"/>
  <c r="CG287" i="4"/>
  <c r="CH287" i="4" s="1"/>
  <c r="CG509" i="4"/>
  <c r="CH509" i="4" s="1"/>
  <c r="CG338" i="4"/>
  <c r="CH338" i="4" s="1"/>
  <c r="CG356" i="4"/>
  <c r="CH356" i="4" s="1"/>
  <c r="CG267" i="4"/>
  <c r="CH267" i="4" s="1"/>
  <c r="CG329" i="4"/>
  <c r="CH329" i="4" s="1"/>
  <c r="CG255" i="4"/>
  <c r="CH255" i="4" s="1"/>
  <c r="CG318" i="4"/>
  <c r="CH318" i="4" s="1"/>
  <c r="CG328" i="4"/>
  <c r="CH328" i="4" s="1"/>
  <c r="CG169" i="4"/>
  <c r="CH169" i="4" s="1"/>
  <c r="CI392" i="4"/>
  <c r="CG465" i="4"/>
  <c r="CH465" i="4" s="1"/>
  <c r="CI436" i="4"/>
  <c r="CG435" i="4"/>
  <c r="CH435" i="4" s="1"/>
  <c r="CG417" i="4"/>
  <c r="CH417" i="4" s="1"/>
  <c r="CG280" i="4"/>
  <c r="CH280" i="4" s="1"/>
  <c r="CG360" i="4"/>
  <c r="CH360" i="4" s="1"/>
  <c r="CG183" i="4"/>
  <c r="CH183" i="4" s="1"/>
  <c r="CG397" i="4"/>
  <c r="CH397" i="4" s="1"/>
  <c r="CG418" i="4"/>
  <c r="CH418" i="4" s="1"/>
  <c r="CI241" i="4"/>
  <c r="CG259" i="4"/>
  <c r="CH259" i="4" s="1"/>
  <c r="CG402" i="4"/>
  <c r="CH402" i="4" s="1"/>
  <c r="CI336" i="4"/>
  <c r="CG249" i="4"/>
  <c r="CH249" i="4" s="1"/>
  <c r="CG411" i="4"/>
  <c r="CH411" i="4" s="1"/>
  <c r="CG490" i="4"/>
  <c r="CH490" i="4" s="1"/>
  <c r="CG291" i="4"/>
  <c r="CH291" i="4" s="1"/>
  <c r="CG359" i="4"/>
  <c r="CH359" i="4" s="1"/>
  <c r="CI447" i="4"/>
  <c r="CG467" i="4"/>
  <c r="CH467" i="4" s="1"/>
  <c r="CG477" i="4"/>
  <c r="CH477" i="4" s="1"/>
  <c r="CG496" i="4"/>
  <c r="CH496" i="4" s="1"/>
  <c r="CG556" i="4"/>
  <c r="CH556" i="4" s="1"/>
  <c r="CG322" i="4"/>
  <c r="CH322" i="4" s="1"/>
  <c r="CI187" i="4"/>
  <c r="CG247" i="4"/>
  <c r="CH247" i="4" s="1"/>
  <c r="CG381" i="4"/>
  <c r="CH381" i="4" s="1"/>
  <c r="CG525" i="4"/>
  <c r="CH525" i="4" s="1"/>
  <c r="CG507" i="4"/>
  <c r="CH507" i="4" s="1"/>
  <c r="CI456" i="4"/>
  <c r="CG545" i="4"/>
  <c r="CH545" i="4" s="1"/>
  <c r="CI520" i="4"/>
  <c r="CG229" i="4"/>
  <c r="CH229" i="4" s="1"/>
  <c r="CG439" i="4"/>
  <c r="CH439" i="4" s="1"/>
  <c r="CG428" i="4"/>
  <c r="CH428" i="4" s="1"/>
  <c r="CG518" i="4"/>
  <c r="CH518" i="4" s="1"/>
  <c r="CI340" i="4"/>
  <c r="CG332" i="4"/>
  <c r="CH332" i="4" s="1"/>
  <c r="CI330" i="4"/>
  <c r="CG349" i="4"/>
  <c r="CH349" i="4" s="1"/>
  <c r="CG289" i="4"/>
  <c r="CH289" i="4" s="1"/>
  <c r="CI161" i="4"/>
  <c r="CG199" i="4"/>
  <c r="CH199" i="4" s="1"/>
  <c r="CG248" i="4"/>
  <c r="CH248" i="4" s="1"/>
  <c r="CG308" i="4"/>
  <c r="CH308" i="4" s="1"/>
  <c r="CG524" i="4"/>
  <c r="CH524" i="4" s="1"/>
  <c r="CG430" i="4"/>
  <c r="CH430" i="4" s="1"/>
  <c r="CI542" i="4"/>
  <c r="CG538" i="4"/>
  <c r="CH538" i="4" s="1"/>
  <c r="CI535" i="4"/>
  <c r="CO243" i="4"/>
  <c r="AK243" i="4" s="1"/>
  <c r="CO523" i="4"/>
  <c r="AK523" i="4" s="1"/>
  <c r="CO413" i="4"/>
  <c r="AK413" i="4" s="1"/>
  <c r="CO213" i="4"/>
  <c r="AK213" i="4" s="1"/>
  <c r="CO263" i="4"/>
  <c r="AK263" i="4" s="1"/>
  <c r="CO353" i="4"/>
  <c r="AK353" i="4" s="1"/>
  <c r="CO533" i="4"/>
  <c r="AK533" i="4" s="1"/>
  <c r="CG180" i="4"/>
  <c r="CH180" i="4" s="1"/>
  <c r="CG236" i="4"/>
  <c r="CH236" i="4" s="1"/>
  <c r="CG380" i="4"/>
  <c r="CH380" i="4" s="1"/>
  <c r="CG246" i="4"/>
  <c r="CH246" i="4" s="1"/>
  <c r="CG277" i="4"/>
  <c r="CH277" i="4" s="1"/>
  <c r="CG186" i="4"/>
  <c r="CH186" i="4" s="1"/>
  <c r="CG270" i="4"/>
  <c r="CH270" i="4" s="1"/>
  <c r="CG528" i="4"/>
  <c r="CH528" i="4" s="1"/>
  <c r="CG339" i="4"/>
  <c r="CH339" i="4" s="1"/>
  <c r="CG331" i="4"/>
  <c r="CH331" i="4" s="1"/>
  <c r="CG452" i="4"/>
  <c r="CH452" i="4" s="1"/>
  <c r="CG407" i="4"/>
  <c r="CH407" i="4" s="1"/>
  <c r="CO163" i="4"/>
  <c r="AK163" i="4" s="1"/>
  <c r="CO183" i="4"/>
  <c r="AK183" i="4" s="1"/>
  <c r="CG206" i="4"/>
  <c r="CH206" i="4" s="1"/>
  <c r="CO303" i="4"/>
  <c r="AK303" i="4" s="1"/>
  <c r="CO293" i="4"/>
  <c r="AK293" i="4" s="1"/>
  <c r="CG391" i="4"/>
  <c r="CH391" i="4" s="1"/>
  <c r="CO333" i="4"/>
  <c r="AK333" i="4" s="1"/>
  <c r="CO513" i="4"/>
  <c r="AK513" i="4" s="1"/>
  <c r="CO493" i="4"/>
  <c r="AK493" i="4" s="1"/>
  <c r="CO273" i="4"/>
  <c r="AK273" i="4" s="1"/>
  <c r="CO383" i="4"/>
  <c r="AK383" i="4" s="1"/>
  <c r="CO363" i="4"/>
  <c r="AK363" i="4" s="1"/>
  <c r="CO443" i="4"/>
  <c r="AK443" i="4" s="1"/>
  <c r="CO473" i="4"/>
  <c r="AK473" i="4" s="1"/>
  <c r="CO543" i="4"/>
  <c r="AK543" i="4" s="1"/>
  <c r="CG510" i="4"/>
  <c r="CH510" i="4" s="1"/>
  <c r="CG190" i="4"/>
  <c r="CH190" i="4" s="1"/>
  <c r="CO203" i="4"/>
  <c r="AK203" i="4" s="1"/>
  <c r="CO283" i="4"/>
  <c r="AK283" i="4" s="1"/>
  <c r="CO463" i="4"/>
  <c r="AK463" i="4" s="1"/>
  <c r="CO423" i="4"/>
  <c r="AK423" i="4" s="1"/>
  <c r="CG421" i="4"/>
  <c r="CH421" i="4" s="1"/>
  <c r="CG532" i="4"/>
  <c r="CH532" i="4" s="1"/>
  <c r="CG170" i="4"/>
  <c r="CH170" i="4" s="1"/>
  <c r="CG268" i="4"/>
  <c r="CH268" i="4" s="1"/>
  <c r="CG279" i="4"/>
  <c r="CH279" i="4" s="1"/>
  <c r="CG466" i="4"/>
  <c r="CH466" i="4" s="1"/>
  <c r="CG219" i="4"/>
  <c r="CH219" i="4" s="1"/>
  <c r="CG382" i="4"/>
  <c r="CH382" i="4" s="1"/>
  <c r="CG342" i="4"/>
  <c r="CH342" i="4" s="1"/>
  <c r="CG497" i="4"/>
  <c r="CH497" i="4" s="1"/>
  <c r="CG240" i="4"/>
  <c r="CH240" i="4" s="1"/>
  <c r="CG307" i="4"/>
  <c r="CH307" i="4" s="1"/>
  <c r="CG389" i="4"/>
  <c r="CH389" i="4" s="1"/>
  <c r="CG438" i="4"/>
  <c r="CH438" i="4" s="1"/>
  <c r="CG442" i="4"/>
  <c r="CH442" i="4" s="1"/>
  <c r="CG420" i="4"/>
  <c r="CH420" i="4" s="1"/>
  <c r="CG540" i="4"/>
  <c r="CH540" i="4" s="1"/>
  <c r="CI412" i="4"/>
  <c r="CG412" i="4"/>
  <c r="CH412" i="4" s="1"/>
  <c r="CG189" i="4"/>
  <c r="CH189" i="4" s="1"/>
  <c r="CG220" i="4"/>
  <c r="CH220" i="4" s="1"/>
  <c r="CG260" i="4"/>
  <c r="CH260" i="4" s="1"/>
  <c r="CG445" i="4"/>
  <c r="CH445" i="4" s="1"/>
  <c r="CG429" i="4"/>
  <c r="CH429" i="4" s="1"/>
  <c r="CG537" i="4"/>
  <c r="CH537" i="4" s="1"/>
  <c r="CG480" i="4"/>
  <c r="CH480" i="4" s="1"/>
  <c r="CG551" i="4"/>
  <c r="CH551" i="4" s="1"/>
  <c r="CI561" i="4"/>
  <c r="CG561" i="4"/>
  <c r="CH561" i="4" s="1"/>
  <c r="CI548" i="4"/>
  <c r="CI552" i="4"/>
  <c r="CI544" i="4"/>
  <c r="CG547" i="4"/>
  <c r="CH547" i="4" s="1"/>
  <c r="CG558" i="4"/>
  <c r="CH558" i="4" s="1"/>
  <c r="CG552" i="4"/>
  <c r="CH552" i="4" s="1"/>
  <c r="CI527" i="4"/>
  <c r="CI522" i="4"/>
  <c r="CG512" i="4"/>
  <c r="CH512" i="4" s="1"/>
  <c r="CI494" i="4"/>
  <c r="CI489" i="4"/>
  <c r="CI483" i="4"/>
  <c r="CG517" i="4"/>
  <c r="CH517" i="4" s="1"/>
  <c r="CG499" i="4"/>
  <c r="CH499" i="4" s="1"/>
  <c r="CG527" i="4"/>
  <c r="CH527" i="4" s="1"/>
  <c r="CG522" i="4"/>
  <c r="CH522" i="4" s="1"/>
  <c r="CG515" i="4"/>
  <c r="CH515" i="4" s="1"/>
  <c r="CG513" i="4"/>
  <c r="CH513" i="4" s="1"/>
  <c r="CG508" i="4"/>
  <c r="CH508" i="4" s="1"/>
  <c r="CG489" i="4"/>
  <c r="CH489" i="4" s="1"/>
  <c r="CI530" i="4"/>
  <c r="CG530" i="4"/>
  <c r="CH530" i="4" s="1"/>
  <c r="CI519" i="4"/>
  <c r="CG519" i="4"/>
  <c r="CH519" i="4" s="1"/>
  <c r="CI504" i="4"/>
  <c r="CI485" i="4"/>
  <c r="CG492" i="4"/>
  <c r="CH492" i="4" s="1"/>
  <c r="CG504" i="4"/>
  <c r="CH504" i="4" s="1"/>
  <c r="CI476" i="4"/>
  <c r="CG488" i="4"/>
  <c r="CH488" i="4" s="1"/>
  <c r="CI440" i="4"/>
  <c r="CG440" i="4"/>
  <c r="CH440" i="4" s="1"/>
  <c r="CG449" i="4"/>
  <c r="CH449" i="4" s="1"/>
  <c r="CI437" i="4"/>
  <c r="CI406" i="4"/>
  <c r="CI434" i="4"/>
  <c r="CG461" i="4"/>
  <c r="CH461" i="4" s="1"/>
  <c r="CI455" i="4"/>
  <c r="CG470" i="4"/>
  <c r="CH470" i="4" s="1"/>
  <c r="CI410" i="4"/>
  <c r="CG410" i="4"/>
  <c r="CH410" i="4" s="1"/>
  <c r="CG446" i="4"/>
  <c r="CH446" i="4" s="1"/>
  <c r="CI457" i="4"/>
  <c r="CI451" i="4"/>
  <c r="CI450" i="4"/>
  <c r="CG406" i="4"/>
  <c r="CH406" i="4" s="1"/>
  <c r="CG409" i="4"/>
  <c r="CH409" i="4" s="1"/>
  <c r="CG432" i="4"/>
  <c r="CH432" i="4" s="1"/>
  <c r="CG376" i="4"/>
  <c r="CH376" i="4" s="1"/>
  <c r="CG369" i="4"/>
  <c r="CH369" i="4" s="1"/>
  <c r="CI362" i="4"/>
  <c r="CG371" i="4"/>
  <c r="CH371" i="4" s="1"/>
  <c r="CG385" i="4"/>
  <c r="CH385" i="4" s="1"/>
  <c r="CI385" i="4"/>
  <c r="CG367" i="4"/>
  <c r="CH367" i="4" s="1"/>
  <c r="CI367" i="4"/>
  <c r="CI354" i="4"/>
  <c r="CG352" i="4"/>
  <c r="CH352" i="4" s="1"/>
  <c r="CG358" i="4"/>
  <c r="CH358" i="4" s="1"/>
  <c r="CG387" i="4"/>
  <c r="CH387" i="4" s="1"/>
  <c r="CG348" i="4"/>
  <c r="CH348" i="4" s="1"/>
  <c r="CG400" i="4"/>
  <c r="CH400" i="4" s="1"/>
  <c r="CO393" i="4"/>
  <c r="AK393" i="4" s="1"/>
  <c r="CG396" i="4"/>
  <c r="CH396" i="4" s="1"/>
  <c r="CO373" i="4"/>
  <c r="AK373" i="4" s="1"/>
  <c r="CG361" i="4"/>
  <c r="CH361" i="4" s="1"/>
  <c r="CI286" i="4"/>
  <c r="CG286" i="4"/>
  <c r="CH286" i="4" s="1"/>
  <c r="CI278" i="4"/>
  <c r="CI263" i="4"/>
  <c r="CI305" i="4"/>
  <c r="CI300" i="4"/>
  <c r="CI272" i="4"/>
  <c r="CG272" i="4"/>
  <c r="CH272" i="4" s="1"/>
  <c r="CG300" i="4"/>
  <c r="CH300" i="4" s="1"/>
  <c r="CG278" i="4"/>
  <c r="CH278" i="4" s="1"/>
  <c r="CI327" i="4"/>
  <c r="CG320" i="4"/>
  <c r="CH320" i="4" s="1"/>
  <c r="CG312" i="4"/>
  <c r="CH312" i="4" s="1"/>
  <c r="CG317" i="4"/>
  <c r="CH317" i="4" s="1"/>
  <c r="CG311" i="4"/>
  <c r="CH311" i="4" s="1"/>
  <c r="CG310" i="4"/>
  <c r="CH310" i="4" s="1"/>
  <c r="CG301" i="4"/>
  <c r="CH301" i="4" s="1"/>
  <c r="CI303" i="4"/>
  <c r="CI281" i="4"/>
  <c r="CG281" i="4"/>
  <c r="CH281" i="4" s="1"/>
  <c r="CO323" i="4"/>
  <c r="AK323" i="4" s="1"/>
  <c r="CI297" i="4"/>
  <c r="CG297" i="4"/>
  <c r="CH297" i="4" s="1"/>
  <c r="CI269" i="4"/>
  <c r="CG292" i="4"/>
  <c r="CH292" i="4" s="1"/>
  <c r="CG269" i="4"/>
  <c r="CH269" i="4" s="1"/>
  <c r="CO253" i="4"/>
  <c r="AK253" i="4" s="1"/>
  <c r="CG256" i="4"/>
  <c r="CH256" i="4" s="1"/>
  <c r="CG250" i="4"/>
  <c r="CH250" i="4" s="1"/>
  <c r="CI231" i="4"/>
  <c r="CO223" i="4"/>
  <c r="AK223" i="4" s="1"/>
  <c r="CG230" i="4"/>
  <c r="CH230" i="4" s="1"/>
  <c r="CI227" i="4"/>
  <c r="CG216" i="4"/>
  <c r="CH216" i="4" s="1"/>
  <c r="CG210" i="4"/>
  <c r="CH210" i="4" s="1"/>
  <c r="CI197" i="4"/>
  <c r="CG200" i="4"/>
  <c r="CH200" i="4" s="1"/>
  <c r="CI201" i="4"/>
  <c r="CG196" i="4"/>
  <c r="CH196" i="4" s="1"/>
  <c r="CG197" i="4"/>
  <c r="CH197" i="4" s="1"/>
  <c r="CO193" i="4"/>
  <c r="AK193" i="4" s="1"/>
  <c r="CG176" i="4"/>
  <c r="CH176" i="4" s="1"/>
  <c r="CI171" i="4"/>
  <c r="CI167" i="4"/>
  <c r="CG160" i="4"/>
  <c r="CH160" i="4" s="1"/>
  <c r="J69" i="3"/>
  <c r="AM113" i="4" s="1"/>
  <c r="J81" i="3"/>
  <c r="AM133" i="4" s="1"/>
  <c r="J75" i="3"/>
  <c r="AM123" i="4" s="1"/>
  <c r="AF19" i="4"/>
  <c r="AF12" i="4"/>
  <c r="AF17" i="4"/>
  <c r="AF18" i="4"/>
  <c r="AF20" i="4"/>
  <c r="AF21" i="4"/>
  <c r="AF22" i="4"/>
  <c r="AF27" i="4"/>
  <c r="AF28" i="4"/>
  <c r="AF29" i="4"/>
  <c r="AF30" i="4"/>
  <c r="AF31" i="4"/>
  <c r="AF32" i="4"/>
  <c r="AF39" i="4"/>
  <c r="AF40" i="4"/>
  <c r="AF41" i="4"/>
  <c r="AF42" i="4"/>
  <c r="AF47" i="4"/>
  <c r="AF48" i="4"/>
  <c r="AF49" i="4"/>
  <c r="AF50" i="4"/>
  <c r="AF51" i="4"/>
  <c r="AF52" i="4"/>
  <c r="AF59" i="4"/>
  <c r="AF60" i="4"/>
  <c r="AF61" i="4"/>
  <c r="AF62" i="4"/>
  <c r="AF69" i="4"/>
  <c r="AF70" i="4"/>
  <c r="AF71" i="4"/>
  <c r="AF72" i="4"/>
  <c r="AF79" i="4"/>
  <c r="AF80" i="4"/>
  <c r="AF81" i="4"/>
  <c r="AF82" i="4"/>
  <c r="AF88" i="4"/>
  <c r="AF89" i="4"/>
  <c r="AF90" i="4"/>
  <c r="AF91" i="4"/>
  <c r="AF92" i="4"/>
  <c r="AF98" i="4"/>
  <c r="AF99" i="4"/>
  <c r="AF100" i="4"/>
  <c r="AF101" i="4"/>
  <c r="AF102" i="4"/>
  <c r="AF108" i="4"/>
  <c r="AF109" i="4"/>
  <c r="AF110" i="4"/>
  <c r="AF111" i="4"/>
  <c r="AF112" i="4"/>
  <c r="AF118" i="4"/>
  <c r="AF119" i="4"/>
  <c r="AF120" i="4"/>
  <c r="AF121" i="4"/>
  <c r="AF122" i="4"/>
  <c r="AF127" i="4"/>
  <c r="AF128" i="4"/>
  <c r="AF129" i="4"/>
  <c r="AF130" i="4"/>
  <c r="AF131" i="4"/>
  <c r="AF132" i="4"/>
  <c r="AF139" i="4"/>
  <c r="AF140" i="4"/>
  <c r="AF141" i="4"/>
  <c r="AF142" i="4"/>
  <c r="AF148" i="4"/>
  <c r="AF149" i="4"/>
  <c r="AF150" i="4"/>
  <c r="AF151" i="4"/>
  <c r="AF152" i="4"/>
  <c r="AF8" i="4"/>
  <c r="AF9" i="4"/>
  <c r="AF10" i="4"/>
  <c r="AF11" i="4"/>
  <c r="CG254" i="4" l="1"/>
  <c r="CH254" i="4" s="1"/>
  <c r="AR403" i="4"/>
  <c r="AS403" i="4" s="1"/>
  <c r="CG295" i="4"/>
  <c r="CH295" i="4" s="1"/>
  <c r="AR163" i="4"/>
  <c r="AS163" i="4" s="1"/>
  <c r="CG383" i="4"/>
  <c r="CH383" i="4" s="1"/>
  <c r="CG244" i="4"/>
  <c r="CH244" i="4" s="1"/>
  <c r="AR313" i="4"/>
  <c r="AS313" i="4" s="1"/>
  <c r="CG214" i="4"/>
  <c r="CH214" i="4" s="1"/>
  <c r="CG253" i="4"/>
  <c r="CH253" i="4" s="1"/>
  <c r="AR263" i="4"/>
  <c r="AS263" i="4" s="1"/>
  <c r="CG205" i="4"/>
  <c r="CH205" i="4" s="1"/>
  <c r="AR283" i="4"/>
  <c r="AS283" i="4" s="1"/>
  <c r="AR293" i="4"/>
  <c r="AS293" i="4" s="1"/>
  <c r="AR273" i="4"/>
  <c r="AS273" i="4" s="1"/>
  <c r="CG275" i="4"/>
  <c r="CH275" i="4" s="1"/>
  <c r="CG334" i="4"/>
  <c r="CH334" i="4" s="1"/>
  <c r="CG285" i="4"/>
  <c r="CH285" i="4" s="1"/>
  <c r="CG304" i="4"/>
  <c r="CH304" i="4" s="1"/>
  <c r="CG315" i="4"/>
  <c r="CH315" i="4" s="1"/>
  <c r="CG293" i="4"/>
  <c r="CH293" i="4" s="1"/>
  <c r="CG344" i="4"/>
  <c r="CH344" i="4" s="1"/>
  <c r="CG305" i="4"/>
  <c r="CH305" i="4" s="1"/>
  <c r="CG314" i="4"/>
  <c r="CH314" i="4" s="1"/>
  <c r="AR243" i="4"/>
  <c r="AS243" i="4" s="1"/>
  <c r="AR253" i="4"/>
  <c r="AS253" i="4" s="1"/>
  <c r="AR233" i="4"/>
  <c r="AS233" i="4" s="1"/>
  <c r="CG215" i="4"/>
  <c r="CH215" i="4" s="1"/>
  <c r="AR203" i="4"/>
  <c r="AS203" i="4" s="1"/>
  <c r="CG234" i="4"/>
  <c r="CH234" i="4" s="1"/>
  <c r="CG213" i="4"/>
  <c r="CH213" i="4" s="1"/>
  <c r="CG233" i="4"/>
  <c r="CH233" i="4" s="1"/>
  <c r="CG243" i="4"/>
  <c r="CH243" i="4" s="1"/>
  <c r="AR173" i="4"/>
  <c r="AS173" i="4" s="1"/>
  <c r="AR153" i="4"/>
  <c r="AS153" i="4" s="1"/>
  <c r="CG153" i="4"/>
  <c r="CH153" i="4" s="1"/>
  <c r="CR39" i="4"/>
  <c r="K23" i="3"/>
  <c r="CG405" i="4"/>
  <c r="CH405" i="4" s="1"/>
  <c r="CG456" i="4"/>
  <c r="CH456" i="4" s="1"/>
  <c r="CG458" i="4"/>
  <c r="CH458" i="4" s="1"/>
  <c r="CG494" i="4"/>
  <c r="CH494" i="4" s="1"/>
  <c r="AR333" i="4"/>
  <c r="AS333" i="4" s="1"/>
  <c r="AR363" i="4"/>
  <c r="AS363" i="4" s="1"/>
  <c r="CG455" i="4"/>
  <c r="CH455" i="4" s="1"/>
  <c r="AR463" i="4"/>
  <c r="AS463" i="4" s="1"/>
  <c r="CG475" i="4"/>
  <c r="CH475" i="4" s="1"/>
  <c r="CG373" i="4"/>
  <c r="CH373" i="4" s="1"/>
  <c r="CG495" i="4"/>
  <c r="CH495" i="4" s="1"/>
  <c r="CG463" i="4"/>
  <c r="CH463" i="4" s="1"/>
  <c r="CG226" i="4"/>
  <c r="CH226" i="4" s="1"/>
  <c r="AR303" i="4"/>
  <c r="AS303" i="4" s="1"/>
  <c r="AR343" i="4"/>
  <c r="AS343" i="4" s="1"/>
  <c r="CG294" i="4"/>
  <c r="CH294" i="4" s="1"/>
  <c r="CG224" i="4"/>
  <c r="CH224" i="4" s="1"/>
  <c r="CG203" i="4"/>
  <c r="CH203" i="4" s="1"/>
  <c r="O173" i="3"/>
  <c r="P173" i="3" s="1"/>
  <c r="CG364" i="4"/>
  <c r="CH364" i="4" s="1"/>
  <c r="CG303" i="4"/>
  <c r="CH303" i="4" s="1"/>
  <c r="L138" i="3"/>
  <c r="M138" i="3" s="1"/>
  <c r="O138" i="3"/>
  <c r="P138" i="3" s="1"/>
  <c r="CG225" i="4"/>
  <c r="CH225" i="4" s="1"/>
  <c r="CG263" i="4"/>
  <c r="CH263" i="4" s="1"/>
  <c r="CG264" i="4"/>
  <c r="CH264" i="4" s="1"/>
  <c r="CG313" i="4"/>
  <c r="CH313" i="4" s="1"/>
  <c r="CG324" i="4"/>
  <c r="CH324" i="4" s="1"/>
  <c r="CJ523" i="4"/>
  <c r="AJ523" i="4" s="1"/>
  <c r="AR423" i="4"/>
  <c r="AS423" i="4" s="1"/>
  <c r="AG423" i="4"/>
  <c r="CG484" i="4"/>
  <c r="CH484" i="4" s="1"/>
  <c r="CG544" i="4"/>
  <c r="CH544" i="4" s="1"/>
  <c r="CG423" i="4"/>
  <c r="CH423" i="4" s="1"/>
  <c r="CG443" i="4"/>
  <c r="CH443" i="4" s="1"/>
  <c r="CJ443" i="4" s="1"/>
  <c r="AJ443" i="4" s="1"/>
  <c r="CG454" i="4"/>
  <c r="CH454" i="4" s="1"/>
  <c r="CJ413" i="4"/>
  <c r="AJ413" i="4" s="1"/>
  <c r="CG505" i="4"/>
  <c r="CH505" i="4" s="1"/>
  <c r="CG473" i="4"/>
  <c r="CH473" i="4" s="1"/>
  <c r="CG483" i="4"/>
  <c r="CH483" i="4" s="1"/>
  <c r="CG393" i="4"/>
  <c r="CH393" i="4" s="1"/>
  <c r="L275" i="3"/>
  <c r="O275" i="3"/>
  <c r="P275" i="3" s="1"/>
  <c r="CG164" i="4"/>
  <c r="CH164" i="4" s="1"/>
  <c r="CJ183" i="4"/>
  <c r="AJ183" i="4" s="1"/>
  <c r="CG175" i="4"/>
  <c r="CH175" i="4" s="1"/>
  <c r="CG166" i="4"/>
  <c r="CH166" i="4" s="1"/>
  <c r="CG154" i="4"/>
  <c r="CH154" i="4" s="1"/>
  <c r="CG194" i="4"/>
  <c r="CH194" i="4" s="1"/>
  <c r="CG274" i="4"/>
  <c r="CH274" i="4" s="1"/>
  <c r="CG403" i="4"/>
  <c r="CH403" i="4" s="1"/>
  <c r="CG374" i="4"/>
  <c r="CH374" i="4" s="1"/>
  <c r="AR393" i="4"/>
  <c r="AS393" i="4" s="1"/>
  <c r="AR373" i="4"/>
  <c r="AS373" i="4" s="1"/>
  <c r="CG464" i="4"/>
  <c r="CH464" i="4" s="1"/>
  <c r="AR323" i="4"/>
  <c r="AS323" i="4" s="1"/>
  <c r="CG323" i="4"/>
  <c r="CH323" i="4" s="1"/>
  <c r="CG434" i="4"/>
  <c r="CH434" i="4" s="1"/>
  <c r="CG453" i="4"/>
  <c r="CH453" i="4" s="1"/>
  <c r="AR223" i="4"/>
  <c r="AS223" i="4" s="1"/>
  <c r="CG223" i="4"/>
  <c r="CH223" i="4" s="1"/>
  <c r="AR543" i="4"/>
  <c r="AS543" i="4" s="1"/>
  <c r="CG163" i="4"/>
  <c r="CH163" i="4" s="1"/>
  <c r="CG273" i="4"/>
  <c r="CH273" i="4" s="1"/>
  <c r="CG333" i="4"/>
  <c r="CH333" i="4" s="1"/>
  <c r="CG204" i="4"/>
  <c r="CH204" i="4" s="1"/>
  <c r="CG156" i="4"/>
  <c r="CH156" i="4" s="1"/>
  <c r="CJ353" i="4"/>
  <c r="AJ353" i="4" s="1"/>
  <c r="CG363" i="4"/>
  <c r="CH363" i="4" s="1"/>
  <c r="CG343" i="4"/>
  <c r="CH343" i="4" s="1"/>
  <c r="CG283" i="4"/>
  <c r="CH283" i="4" s="1"/>
  <c r="CG404" i="4"/>
  <c r="CH404" i="4" s="1"/>
  <c r="CG193" i="4"/>
  <c r="CG173" i="4"/>
  <c r="CG174" i="4"/>
  <c r="CH174" i="4" s="1"/>
  <c r="CJ553" i="4"/>
  <c r="AJ553" i="4" s="1"/>
  <c r="AR503" i="4"/>
  <c r="AS503" i="4" s="1"/>
  <c r="AR493" i="4"/>
  <c r="AS493" i="4" s="1"/>
  <c r="AR473" i="4"/>
  <c r="AS473" i="4" s="1"/>
  <c r="CG503" i="4"/>
  <c r="CH503" i="4" s="1"/>
  <c r="AR433" i="4"/>
  <c r="AS433" i="4" s="1"/>
  <c r="CG433" i="4"/>
  <c r="CG493" i="4"/>
  <c r="CG543" i="4"/>
  <c r="CJ533" i="4"/>
  <c r="AJ533" i="4" s="1"/>
  <c r="CJ383" i="4"/>
  <c r="AJ383" i="4" s="1"/>
  <c r="CJ513" i="4"/>
  <c r="AJ513" i="4" s="1"/>
  <c r="CJ253" i="4" l="1"/>
  <c r="AJ253" i="4" s="1"/>
  <c r="CJ233" i="4"/>
  <c r="AJ233" i="4" s="1"/>
  <c r="CJ213" i="4"/>
  <c r="AJ213" i="4" s="1"/>
  <c r="CJ333" i="4"/>
  <c r="AJ333" i="4" s="1"/>
  <c r="CJ313" i="4"/>
  <c r="AJ313" i="4" s="1"/>
  <c r="CJ303" i="4"/>
  <c r="AJ303" i="4" s="1"/>
  <c r="CJ243" i="4"/>
  <c r="AJ243" i="4" s="1"/>
  <c r="CJ203" i="4"/>
  <c r="AJ203" i="4" s="1"/>
  <c r="CJ373" i="4"/>
  <c r="AJ373" i="4" s="1"/>
  <c r="CJ463" i="4"/>
  <c r="AJ463" i="4" s="1"/>
  <c r="CJ483" i="4"/>
  <c r="AJ483" i="4" s="1"/>
  <c r="CJ293" i="4"/>
  <c r="AJ293" i="4" s="1"/>
  <c r="CJ423" i="4"/>
  <c r="AJ423" i="4" s="1"/>
  <c r="CJ263" i="4"/>
  <c r="AJ263" i="4" s="1"/>
  <c r="CJ323" i="4"/>
  <c r="AJ323" i="4" s="1"/>
  <c r="CJ453" i="4"/>
  <c r="AJ453" i="4" s="1"/>
  <c r="CJ283" i="4"/>
  <c r="AJ283" i="4" s="1"/>
  <c r="CJ403" i="4"/>
  <c r="AJ403" i="4" s="1"/>
  <c r="CJ503" i="4"/>
  <c r="AJ503" i="4" s="1"/>
  <c r="CJ393" i="4"/>
  <c r="AJ393" i="4" s="1"/>
  <c r="CJ473" i="4"/>
  <c r="AJ473" i="4" s="1"/>
  <c r="CJ273" i="4"/>
  <c r="AJ273" i="4" s="1"/>
  <c r="CJ223" i="4"/>
  <c r="AJ223" i="4" s="1"/>
  <c r="CJ153" i="4"/>
  <c r="AJ153" i="4" s="1"/>
  <c r="CJ163" i="4"/>
  <c r="AJ163" i="4" s="1"/>
  <c r="CJ363" i="4"/>
  <c r="AJ363" i="4" s="1"/>
  <c r="CH173" i="4"/>
  <c r="CJ173" i="4" s="1"/>
  <c r="AJ173" i="4" s="1"/>
  <c r="CJ343" i="4"/>
  <c r="AJ343" i="4" s="1"/>
  <c r="CH193" i="4"/>
  <c r="CJ193" i="4" s="1"/>
  <c r="AJ193" i="4" s="1"/>
  <c r="CH433" i="4"/>
  <c r="CJ433" i="4" s="1"/>
  <c r="AJ433" i="4" s="1"/>
  <c r="CH493" i="4"/>
  <c r="CJ493" i="4" s="1"/>
  <c r="AJ493" i="4" s="1"/>
  <c r="CH543" i="4"/>
  <c r="CJ543" i="4" s="1"/>
  <c r="AJ543" i="4" s="1"/>
  <c r="A3" i="4"/>
  <c r="N3" i="4"/>
  <c r="CL3" i="4" s="1"/>
  <c r="O3" i="4"/>
  <c r="CM3" i="4" s="1"/>
  <c r="P3" i="4"/>
  <c r="U3" i="4"/>
  <c r="AC3" i="4"/>
  <c r="AQ3" i="4"/>
  <c r="CE3" i="4"/>
  <c r="CF3" i="4" s="1"/>
  <c r="F6" i="5" l="1"/>
  <c r="I6" i="5" s="1"/>
  <c r="E33" i="6" s="1"/>
  <c r="D33" i="6"/>
  <c r="CN3" i="4"/>
  <c r="V3" i="4"/>
  <c r="AF3" i="4" s="1"/>
  <c r="AI3" i="4" s="1"/>
  <c r="CI3" i="4"/>
  <c r="AI152" i="4"/>
  <c r="AI151" i="4"/>
  <c r="AI150" i="4"/>
  <c r="AI149" i="4"/>
  <c r="AI148" i="4"/>
  <c r="AI142" i="4"/>
  <c r="AI141" i="4"/>
  <c r="AI140" i="4"/>
  <c r="AI139" i="4"/>
  <c r="AI132" i="4"/>
  <c r="AI131" i="4"/>
  <c r="AI130" i="4"/>
  <c r="AI129" i="4"/>
  <c r="AI128" i="4"/>
  <c r="AI127" i="4"/>
  <c r="AI122" i="4"/>
  <c r="AI121" i="4"/>
  <c r="AI120" i="4"/>
  <c r="AI119" i="4"/>
  <c r="AI118" i="4"/>
  <c r="AI112" i="4"/>
  <c r="AI111" i="4"/>
  <c r="AI110" i="4"/>
  <c r="AI109" i="4"/>
  <c r="AI108" i="4"/>
  <c r="AI102" i="4"/>
  <c r="AI101" i="4"/>
  <c r="AI100" i="4"/>
  <c r="AI99" i="4"/>
  <c r="AI98" i="4"/>
  <c r="AI92" i="4"/>
  <c r="AI91" i="4"/>
  <c r="AI90" i="4"/>
  <c r="AI89" i="4"/>
  <c r="AI88" i="4"/>
  <c r="AI82" i="4"/>
  <c r="AI81" i="4"/>
  <c r="AI80" i="4"/>
  <c r="AI79" i="4"/>
  <c r="AI72" i="4"/>
  <c r="AI71" i="4"/>
  <c r="AI70" i="4"/>
  <c r="AI69" i="4"/>
  <c r="AI62" i="4"/>
  <c r="AI61" i="4"/>
  <c r="AI60" i="4"/>
  <c r="AI59" i="4"/>
  <c r="AI52" i="4"/>
  <c r="AI51" i="4"/>
  <c r="AI50" i="4"/>
  <c r="AI49" i="4"/>
  <c r="AI48" i="4"/>
  <c r="AI47" i="4"/>
  <c r="AI42" i="4"/>
  <c r="AI41" i="4"/>
  <c r="AI40" i="4"/>
  <c r="AI39" i="4"/>
  <c r="AI32" i="4"/>
  <c r="AI31" i="4"/>
  <c r="AI30" i="4"/>
  <c r="AI29" i="4"/>
  <c r="AI28" i="4"/>
  <c r="AI27" i="4"/>
  <c r="AI22" i="4"/>
  <c r="AI21" i="4"/>
  <c r="AI20" i="4"/>
  <c r="AI19" i="4"/>
  <c r="AI18" i="4"/>
  <c r="AI17" i="4"/>
  <c r="AI12" i="4"/>
  <c r="AI11" i="4"/>
  <c r="AI10" i="4"/>
  <c r="AI9" i="4"/>
  <c r="AI8" i="4"/>
  <c r="CR3" i="4" l="1"/>
  <c r="F33" i="6"/>
  <c r="AQ53" i="4"/>
  <c r="AN9" i="3" l="1"/>
  <c r="AO9" i="3"/>
  <c r="AN15" i="3"/>
  <c r="AO15" i="3"/>
  <c r="AN21" i="3"/>
  <c r="AO21" i="3"/>
  <c r="AN27" i="3"/>
  <c r="AO27" i="3"/>
  <c r="AN33" i="3"/>
  <c r="AO33" i="3"/>
  <c r="AN39" i="3"/>
  <c r="AO39" i="3"/>
  <c r="AN45" i="3"/>
  <c r="AO45" i="3"/>
  <c r="AN51" i="3"/>
  <c r="AO51" i="3"/>
  <c r="AN57" i="3"/>
  <c r="AO57" i="3"/>
  <c r="AN63" i="3"/>
  <c r="AO63" i="3"/>
  <c r="AN87" i="3"/>
  <c r="AO87" i="3"/>
  <c r="AO3" i="3"/>
  <c r="AN3" i="3"/>
  <c r="J15" i="3" l="1"/>
  <c r="AM23" i="4" s="1"/>
  <c r="J3" i="3"/>
  <c r="AM3" i="4" s="1"/>
  <c r="J87" i="3"/>
  <c r="AM143" i="4" s="1"/>
  <c r="J63" i="3"/>
  <c r="AM103" i="4" s="1"/>
  <c r="J57" i="3"/>
  <c r="AM93" i="4" s="1"/>
  <c r="J51" i="3"/>
  <c r="AM83" i="4" s="1"/>
  <c r="J45" i="3"/>
  <c r="AM73" i="4" s="1"/>
  <c r="J39" i="3"/>
  <c r="AM63" i="4" s="1"/>
  <c r="J33" i="3"/>
  <c r="AM53" i="4" s="1"/>
  <c r="J27" i="3"/>
  <c r="AM43" i="4" s="1"/>
  <c r="J21" i="3"/>
  <c r="AM33" i="4" s="1"/>
  <c r="J9" i="3"/>
  <c r="AM13" i="4" s="1"/>
  <c r="AC17" i="4" l="1"/>
  <c r="AC16" i="4"/>
  <c r="AC15" i="4"/>
  <c r="AC14" i="4"/>
  <c r="AC13" i="4"/>
  <c r="AC8" i="4" l="1"/>
  <c r="AC7" i="4"/>
  <c r="AC6" i="4"/>
  <c r="AC5" i="4"/>
  <c r="AC4" i="4"/>
  <c r="P9" i="4" l="1"/>
  <c r="O9" i="4"/>
  <c r="N9" i="4"/>
  <c r="P8" i="4"/>
  <c r="O8" i="4"/>
  <c r="N8" i="4"/>
  <c r="P7" i="4"/>
  <c r="O7" i="4"/>
  <c r="N7" i="4"/>
  <c r="P6" i="4"/>
  <c r="O6" i="4"/>
  <c r="N6" i="4"/>
  <c r="L5" i="1"/>
  <c r="G5" i="1"/>
  <c r="AG183" i="4" l="1"/>
  <c r="AG213" i="4"/>
  <c r="AG163" i="4"/>
  <c r="AG203" i="4"/>
  <c r="AG363" i="4"/>
  <c r="AG383" i="4"/>
  <c r="AG253" i="4"/>
  <c r="AG193" i="4"/>
  <c r="AG153" i="4"/>
  <c r="AG343" i="4"/>
  <c r="AG293" i="4"/>
  <c r="AG373" i="4"/>
  <c r="AG233" i="4"/>
  <c r="AG243" i="4"/>
  <c r="AG393" i="4"/>
  <c r="AG403" i="4"/>
  <c r="AG263" i="4"/>
  <c r="AG273" i="4"/>
  <c r="AG283" i="4"/>
  <c r="AG313" i="4"/>
  <c r="AG323" i="4"/>
  <c r="AG333" i="4"/>
  <c r="AG173" i="4"/>
  <c r="AG223" i="4"/>
  <c r="AG303" i="4"/>
  <c r="AG353" i="4"/>
  <c r="I5" i="1"/>
  <c r="AH183" i="4" l="1"/>
  <c r="AH363" i="4"/>
  <c r="AH163" i="4"/>
  <c r="AH153" i="4"/>
  <c r="AH403" i="4"/>
  <c r="AH243" i="4"/>
  <c r="AH393" i="4"/>
  <c r="AH253" i="4"/>
  <c r="AH303" i="4"/>
  <c r="AH383" i="4"/>
  <c r="AH213" i="4"/>
  <c r="AH263" i="4"/>
  <c r="AH373" i="4"/>
  <c r="AH353" i="4"/>
  <c r="AH273" i="4"/>
  <c r="AH193" i="4"/>
  <c r="AH343" i="4"/>
  <c r="AH283" i="4"/>
  <c r="AH333" i="4"/>
  <c r="AH313" i="4"/>
  <c r="AH203" i="4"/>
  <c r="AH233" i="4"/>
  <c r="AH323" i="4"/>
  <c r="AH173" i="4"/>
  <c r="AH223" i="4"/>
  <c r="AH293" i="4"/>
  <c r="U84" i="4"/>
  <c r="V84" i="4" s="1"/>
  <c r="U85" i="4"/>
  <c r="V85" i="4" s="1"/>
  <c r="U86" i="4"/>
  <c r="V86" i="4" s="1"/>
  <c r="CE152" i="4" l="1"/>
  <c r="CF152" i="4" s="1"/>
  <c r="AC152" i="4"/>
  <c r="U152" i="4"/>
  <c r="V152" i="4" s="1"/>
  <c r="CM152" i="4"/>
  <c r="CL152" i="4"/>
  <c r="CE151" i="4"/>
  <c r="CF151" i="4" s="1"/>
  <c r="AC151" i="4"/>
  <c r="U151" i="4"/>
  <c r="V151" i="4" s="1"/>
  <c r="CM151" i="4"/>
  <c r="CL151" i="4"/>
  <c r="CE150" i="4"/>
  <c r="CF150" i="4" s="1"/>
  <c r="AC150" i="4"/>
  <c r="U150" i="4"/>
  <c r="V150" i="4" s="1"/>
  <c r="CM150" i="4"/>
  <c r="CL150" i="4"/>
  <c r="CE149" i="4"/>
  <c r="CF149" i="4" s="1"/>
  <c r="AC149" i="4"/>
  <c r="U149" i="4"/>
  <c r="V149" i="4" s="1"/>
  <c r="CM149" i="4"/>
  <c r="CL149" i="4"/>
  <c r="CE148" i="4"/>
  <c r="CF148" i="4" s="1"/>
  <c r="AC148" i="4"/>
  <c r="U148" i="4"/>
  <c r="V148" i="4" s="1"/>
  <c r="CM148" i="4"/>
  <c r="CL148" i="4"/>
  <c r="CE147" i="4"/>
  <c r="CF147" i="4" s="1"/>
  <c r="AC147" i="4"/>
  <c r="U147" i="4"/>
  <c r="V147" i="4" s="1"/>
  <c r="AF147" i="4" s="1"/>
  <c r="AI147" i="4" s="1"/>
  <c r="CM147" i="4"/>
  <c r="CL147" i="4"/>
  <c r="CE146" i="4"/>
  <c r="CF146" i="4" s="1"/>
  <c r="AC146" i="4"/>
  <c r="U146" i="4"/>
  <c r="V146" i="4" s="1"/>
  <c r="AF146" i="4" s="1"/>
  <c r="CM146" i="4"/>
  <c r="CL146" i="4"/>
  <c r="CE145" i="4"/>
  <c r="CF145" i="4" s="1"/>
  <c r="AC145" i="4"/>
  <c r="U145" i="4"/>
  <c r="V145" i="4" s="1"/>
  <c r="AF145" i="4"/>
  <c r="CM145" i="4"/>
  <c r="CL145" i="4"/>
  <c r="CE144" i="4"/>
  <c r="CF144" i="4" s="1"/>
  <c r="AC144" i="4"/>
  <c r="U144" i="4"/>
  <c r="V144" i="4" s="1"/>
  <c r="AF144" i="4"/>
  <c r="CM144" i="4"/>
  <c r="CL144" i="4"/>
  <c r="CE143" i="4"/>
  <c r="CF143" i="4" s="1"/>
  <c r="AQ143" i="4"/>
  <c r="AC143" i="4"/>
  <c r="U143" i="4"/>
  <c r="V143" i="4" s="1"/>
  <c r="AF143" i="4"/>
  <c r="K87" i="3" s="1"/>
  <c r="CM143" i="4"/>
  <c r="CL143" i="4"/>
  <c r="A143" i="4"/>
  <c r="CE142" i="4"/>
  <c r="CF142" i="4" s="1"/>
  <c r="AC142" i="4"/>
  <c r="U142" i="4"/>
  <c r="V142" i="4" s="1"/>
  <c r="CM142" i="4"/>
  <c r="CL142" i="4"/>
  <c r="CE141" i="4"/>
  <c r="CF141" i="4" s="1"/>
  <c r="AC141" i="4"/>
  <c r="U141" i="4"/>
  <c r="V141" i="4" s="1"/>
  <c r="CM141" i="4"/>
  <c r="CL141" i="4"/>
  <c r="CE140" i="4"/>
  <c r="CF140" i="4" s="1"/>
  <c r="AC140" i="4"/>
  <c r="U140" i="4"/>
  <c r="V140" i="4" s="1"/>
  <c r="CM140" i="4"/>
  <c r="CL140" i="4"/>
  <c r="CE139" i="4"/>
  <c r="CF139" i="4" s="1"/>
  <c r="AC139" i="4"/>
  <c r="U139" i="4"/>
  <c r="V139" i="4" s="1"/>
  <c r="CM139" i="4"/>
  <c r="CL139" i="4"/>
  <c r="CE138" i="4"/>
  <c r="CF138" i="4" s="1"/>
  <c r="U138" i="4"/>
  <c r="V138" i="4" s="1"/>
  <c r="AF138" i="4"/>
  <c r="CM138" i="4"/>
  <c r="CL138" i="4"/>
  <c r="CE137" i="4"/>
  <c r="CF137" i="4" s="1"/>
  <c r="U137" i="4"/>
  <c r="V137" i="4" s="1"/>
  <c r="AF137" i="4"/>
  <c r="CM137" i="4"/>
  <c r="CL137" i="4"/>
  <c r="CE136" i="4"/>
  <c r="CF136" i="4" s="1"/>
  <c r="U136" i="4"/>
  <c r="V136" i="4" s="1"/>
  <c r="AF136" i="4"/>
  <c r="CM136" i="4"/>
  <c r="CL136" i="4"/>
  <c r="CE135" i="4"/>
  <c r="CF135" i="4" s="1"/>
  <c r="U135" i="4"/>
  <c r="V135" i="4" s="1"/>
  <c r="AF135" i="4"/>
  <c r="CM135" i="4"/>
  <c r="CL135" i="4"/>
  <c r="CE134" i="4"/>
  <c r="CF134" i="4" s="1"/>
  <c r="AC134" i="4"/>
  <c r="U134" i="4"/>
  <c r="V134" i="4" s="1"/>
  <c r="AF134" i="4" s="1"/>
  <c r="CM134" i="4"/>
  <c r="CL134" i="4"/>
  <c r="CE133" i="4"/>
  <c r="CF133" i="4" s="1"/>
  <c r="AQ133" i="4"/>
  <c r="AC133" i="4"/>
  <c r="U133" i="4"/>
  <c r="V133" i="4" s="1"/>
  <c r="AF133" i="4"/>
  <c r="K81" i="3" s="1"/>
  <c r="CM133" i="4"/>
  <c r="CL133" i="4"/>
  <c r="A133" i="4"/>
  <c r="CE132" i="4"/>
  <c r="CF132" i="4" s="1"/>
  <c r="AC132" i="4"/>
  <c r="U132" i="4"/>
  <c r="V132" i="4" s="1"/>
  <c r="CM132" i="4"/>
  <c r="CL132" i="4"/>
  <c r="CE131" i="4"/>
  <c r="CF131" i="4" s="1"/>
  <c r="AC131" i="4"/>
  <c r="U131" i="4"/>
  <c r="V131" i="4" s="1"/>
  <c r="CM131" i="4"/>
  <c r="CL131" i="4"/>
  <c r="CE130" i="4"/>
  <c r="CF130" i="4" s="1"/>
  <c r="AC130" i="4"/>
  <c r="U130" i="4"/>
  <c r="V130" i="4" s="1"/>
  <c r="CM130" i="4"/>
  <c r="CL130" i="4"/>
  <c r="CE129" i="4"/>
  <c r="CF129" i="4" s="1"/>
  <c r="AC129" i="4"/>
  <c r="U129" i="4"/>
  <c r="V129" i="4" s="1"/>
  <c r="CM129" i="4"/>
  <c r="CL129" i="4"/>
  <c r="CE128" i="4"/>
  <c r="CF128" i="4" s="1"/>
  <c r="AC128" i="4"/>
  <c r="U128" i="4"/>
  <c r="V128" i="4" s="1"/>
  <c r="CM128" i="4"/>
  <c r="CL128" i="4"/>
  <c r="CE127" i="4"/>
  <c r="CF127" i="4" s="1"/>
  <c r="AC127" i="4"/>
  <c r="U127" i="4"/>
  <c r="V127" i="4" s="1"/>
  <c r="CM127" i="4"/>
  <c r="CL127" i="4"/>
  <c r="CE126" i="4"/>
  <c r="CF126" i="4" s="1"/>
  <c r="AC126" i="4"/>
  <c r="U126" i="4"/>
  <c r="V126" i="4" s="1"/>
  <c r="AF126" i="4" s="1"/>
  <c r="CM126" i="4"/>
  <c r="CL126" i="4"/>
  <c r="CE125" i="4"/>
  <c r="CF125" i="4" s="1"/>
  <c r="AC125" i="4"/>
  <c r="U125" i="4"/>
  <c r="V125" i="4" s="1"/>
  <c r="AF125" i="4"/>
  <c r="CM125" i="4"/>
  <c r="CL125" i="4"/>
  <c r="CE124" i="4"/>
  <c r="CF124" i="4" s="1"/>
  <c r="AC124" i="4"/>
  <c r="U124" i="4"/>
  <c r="V124" i="4" s="1"/>
  <c r="AF124" i="4"/>
  <c r="CM124" i="4"/>
  <c r="CL124" i="4"/>
  <c r="CE123" i="4"/>
  <c r="CF123" i="4" s="1"/>
  <c r="AQ123" i="4"/>
  <c r="AC123" i="4"/>
  <c r="U123" i="4"/>
  <c r="CM123" i="4"/>
  <c r="CL123" i="4"/>
  <c r="A123" i="4"/>
  <c r="CE122" i="4"/>
  <c r="CF122" i="4" s="1"/>
  <c r="AC122" i="4"/>
  <c r="U122" i="4"/>
  <c r="V122" i="4" s="1"/>
  <c r="CM122" i="4"/>
  <c r="CL122" i="4"/>
  <c r="CE121" i="4"/>
  <c r="CF121" i="4" s="1"/>
  <c r="AC121" i="4"/>
  <c r="U121" i="4"/>
  <c r="V121" i="4" s="1"/>
  <c r="CM121" i="4"/>
  <c r="CL121" i="4"/>
  <c r="CE120" i="4"/>
  <c r="CF120" i="4" s="1"/>
  <c r="AC120" i="4"/>
  <c r="U120" i="4"/>
  <c r="V120" i="4" s="1"/>
  <c r="CM120" i="4"/>
  <c r="CL120" i="4"/>
  <c r="CE119" i="4"/>
  <c r="CF119" i="4" s="1"/>
  <c r="AC119" i="4"/>
  <c r="U119" i="4"/>
  <c r="V119" i="4" s="1"/>
  <c r="CM119" i="4"/>
  <c r="CL119" i="4"/>
  <c r="CE118" i="4"/>
  <c r="CF118" i="4" s="1"/>
  <c r="AC118" i="4"/>
  <c r="U118" i="4"/>
  <c r="V118" i="4" s="1"/>
  <c r="CM118" i="4"/>
  <c r="CL118" i="4"/>
  <c r="CE117" i="4"/>
  <c r="CF117" i="4" s="1"/>
  <c r="AC117" i="4"/>
  <c r="U117" i="4"/>
  <c r="V117" i="4" s="1"/>
  <c r="AF117" i="4" s="1"/>
  <c r="CM117" i="4"/>
  <c r="CL117" i="4"/>
  <c r="CE116" i="4"/>
  <c r="CF116" i="4" s="1"/>
  <c r="AC116" i="4"/>
  <c r="U116" i="4"/>
  <c r="V116" i="4" s="1"/>
  <c r="AF116" i="4" s="1"/>
  <c r="K71" i="3" s="1"/>
  <c r="CM116" i="4"/>
  <c r="CL116" i="4"/>
  <c r="CE115" i="4"/>
  <c r="CF115" i="4" s="1"/>
  <c r="AC115" i="4"/>
  <c r="U115" i="4"/>
  <c r="V115" i="4" s="1"/>
  <c r="AF115" i="4"/>
  <c r="CM115" i="4"/>
  <c r="CL115" i="4"/>
  <c r="CE114" i="4"/>
  <c r="CF114" i="4" s="1"/>
  <c r="AC114" i="4"/>
  <c r="U114" i="4"/>
  <c r="V114" i="4" s="1"/>
  <c r="AF114" i="4"/>
  <c r="CM114" i="4"/>
  <c r="CL114" i="4"/>
  <c r="CE113" i="4"/>
  <c r="CF113" i="4" s="1"/>
  <c r="AQ113" i="4"/>
  <c r="AC113" i="4"/>
  <c r="U113" i="4"/>
  <c r="V113" i="4" s="1"/>
  <c r="AF113" i="4"/>
  <c r="CM113" i="4"/>
  <c r="CL113" i="4"/>
  <c r="A113" i="4"/>
  <c r="CE112" i="4"/>
  <c r="CF112" i="4" s="1"/>
  <c r="AC112" i="4"/>
  <c r="U112" i="4"/>
  <c r="V112" i="4" s="1"/>
  <c r="CM112" i="4"/>
  <c r="CL112" i="4"/>
  <c r="CE111" i="4"/>
  <c r="CF111" i="4" s="1"/>
  <c r="AC111" i="4"/>
  <c r="U111" i="4"/>
  <c r="V111" i="4" s="1"/>
  <c r="CM111" i="4"/>
  <c r="CL111" i="4"/>
  <c r="CE110" i="4"/>
  <c r="CF110" i="4" s="1"/>
  <c r="AC110" i="4"/>
  <c r="U110" i="4"/>
  <c r="V110" i="4" s="1"/>
  <c r="CM110" i="4"/>
  <c r="CL110" i="4"/>
  <c r="CE109" i="4"/>
  <c r="CF109" i="4" s="1"/>
  <c r="AC109" i="4"/>
  <c r="U109" i="4"/>
  <c r="V109" i="4" s="1"/>
  <c r="CM109" i="4"/>
  <c r="CL109" i="4"/>
  <c r="CE108" i="4"/>
  <c r="CF108" i="4" s="1"/>
  <c r="AC108" i="4"/>
  <c r="U108" i="4"/>
  <c r="V108" i="4" s="1"/>
  <c r="CM108" i="4"/>
  <c r="CL108" i="4"/>
  <c r="CE107" i="4"/>
  <c r="CF107" i="4" s="1"/>
  <c r="AC107" i="4"/>
  <c r="U107" i="4"/>
  <c r="V107" i="4" s="1"/>
  <c r="AF107" i="4"/>
  <c r="K64" i="3" s="1"/>
  <c r="CM107" i="4"/>
  <c r="CL107" i="4"/>
  <c r="CE106" i="4"/>
  <c r="CF106" i="4" s="1"/>
  <c r="AC106" i="4"/>
  <c r="U106" i="4"/>
  <c r="V106" i="4" s="1"/>
  <c r="AF106" i="4" s="1"/>
  <c r="CM106" i="4"/>
  <c r="CL106" i="4"/>
  <c r="CE105" i="4"/>
  <c r="CF105" i="4" s="1"/>
  <c r="AC105" i="4"/>
  <c r="U105" i="4"/>
  <c r="V105" i="4" s="1"/>
  <c r="AF105" i="4"/>
  <c r="CM105" i="4"/>
  <c r="CL105" i="4"/>
  <c r="CE104" i="4"/>
  <c r="CF104" i="4" s="1"/>
  <c r="AC104" i="4"/>
  <c r="U104" i="4"/>
  <c r="V104" i="4" s="1"/>
  <c r="AF104" i="4"/>
  <c r="CM104" i="4"/>
  <c r="CL104" i="4"/>
  <c r="CE103" i="4"/>
  <c r="CF103" i="4" s="1"/>
  <c r="AQ103" i="4"/>
  <c r="AC103" i="4"/>
  <c r="U103" i="4"/>
  <c r="V103" i="4" s="1"/>
  <c r="AF103" i="4"/>
  <c r="CM103" i="4"/>
  <c r="CL103" i="4"/>
  <c r="A103" i="4"/>
  <c r="CE102" i="4"/>
  <c r="CF102" i="4" s="1"/>
  <c r="AC102" i="4"/>
  <c r="U102" i="4"/>
  <c r="V102" i="4" s="1"/>
  <c r="CM102" i="4"/>
  <c r="CL102" i="4"/>
  <c r="CE101" i="4"/>
  <c r="CF101" i="4" s="1"/>
  <c r="AC101" i="4"/>
  <c r="U101" i="4"/>
  <c r="V101" i="4" s="1"/>
  <c r="CM101" i="4"/>
  <c r="CL101" i="4"/>
  <c r="CE100" i="4"/>
  <c r="CF100" i="4" s="1"/>
  <c r="AC100" i="4"/>
  <c r="U100" i="4"/>
  <c r="V100" i="4" s="1"/>
  <c r="CM100" i="4"/>
  <c r="CL100" i="4"/>
  <c r="CE99" i="4"/>
  <c r="CF99" i="4" s="1"/>
  <c r="AC99" i="4"/>
  <c r="U99" i="4"/>
  <c r="V99" i="4" s="1"/>
  <c r="CM99" i="4"/>
  <c r="CL99" i="4"/>
  <c r="CE98" i="4"/>
  <c r="CF98" i="4" s="1"/>
  <c r="AC98" i="4"/>
  <c r="U98" i="4"/>
  <c r="V98" i="4" s="1"/>
  <c r="CM98" i="4"/>
  <c r="CL98" i="4"/>
  <c r="CE97" i="4"/>
  <c r="CF97" i="4" s="1"/>
  <c r="AC97" i="4"/>
  <c r="U97" i="4"/>
  <c r="V97" i="4" s="1"/>
  <c r="AF97" i="4" s="1"/>
  <c r="AI97" i="4" s="1"/>
  <c r="CM97" i="4"/>
  <c r="CL97" i="4"/>
  <c r="CE96" i="4"/>
  <c r="CF96" i="4" s="1"/>
  <c r="AC96" i="4"/>
  <c r="U96" i="4"/>
  <c r="V96" i="4" s="1"/>
  <c r="AF96" i="4" s="1"/>
  <c r="CM96" i="4"/>
  <c r="CL96" i="4"/>
  <c r="CE95" i="4"/>
  <c r="CF95" i="4" s="1"/>
  <c r="AC95" i="4"/>
  <c r="U95" i="4"/>
  <c r="CM95" i="4"/>
  <c r="CL95" i="4"/>
  <c r="CE94" i="4"/>
  <c r="CF94" i="4" s="1"/>
  <c r="AC94" i="4"/>
  <c r="U94" i="4"/>
  <c r="AE94" i="4" s="1"/>
  <c r="AF94" i="4"/>
  <c r="CR94" i="4" s="1"/>
  <c r="CM94" i="4"/>
  <c r="CL94" i="4"/>
  <c r="CE93" i="4"/>
  <c r="CF93" i="4" s="1"/>
  <c r="AQ93" i="4"/>
  <c r="AC93" i="4"/>
  <c r="U93" i="4"/>
  <c r="AE93" i="4" s="1"/>
  <c r="AF93" i="4"/>
  <c r="CM93" i="4"/>
  <c r="CL93" i="4"/>
  <c r="A93" i="4"/>
  <c r="CE92" i="4"/>
  <c r="CF92" i="4" s="1"/>
  <c r="AC92" i="4"/>
  <c r="U92" i="4"/>
  <c r="V92" i="4" s="1"/>
  <c r="P92" i="4"/>
  <c r="O92" i="4"/>
  <c r="CM92" i="4" s="1"/>
  <c r="N92" i="4"/>
  <c r="CL92" i="4" s="1"/>
  <c r="CE91" i="4"/>
  <c r="CF91" i="4" s="1"/>
  <c r="AC91" i="4"/>
  <c r="U91" i="4"/>
  <c r="V91" i="4" s="1"/>
  <c r="P91" i="4"/>
  <c r="O91" i="4"/>
  <c r="CM91" i="4" s="1"/>
  <c r="N91" i="4"/>
  <c r="CL91" i="4" s="1"/>
  <c r="CE90" i="4"/>
  <c r="CF90" i="4" s="1"/>
  <c r="AC90" i="4"/>
  <c r="U90" i="4"/>
  <c r="V90" i="4" s="1"/>
  <c r="P90" i="4"/>
  <c r="O90" i="4"/>
  <c r="CM90" i="4" s="1"/>
  <c r="N90" i="4"/>
  <c r="CL90" i="4" s="1"/>
  <c r="CE89" i="4"/>
  <c r="CF89" i="4" s="1"/>
  <c r="AC89" i="4"/>
  <c r="U89" i="4"/>
  <c r="V89" i="4" s="1"/>
  <c r="P89" i="4"/>
  <c r="O89" i="4"/>
  <c r="CM89" i="4" s="1"/>
  <c r="N89" i="4"/>
  <c r="CL89" i="4" s="1"/>
  <c r="CE88" i="4"/>
  <c r="CF88" i="4" s="1"/>
  <c r="AC88" i="4"/>
  <c r="U88" i="4"/>
  <c r="V88" i="4" s="1"/>
  <c r="P88" i="4"/>
  <c r="O88" i="4"/>
  <c r="CM88" i="4" s="1"/>
  <c r="N88" i="4"/>
  <c r="CL88" i="4" s="1"/>
  <c r="CE87" i="4"/>
  <c r="CF87" i="4" s="1"/>
  <c r="AC87" i="4"/>
  <c r="U87" i="4"/>
  <c r="V87" i="4" s="1"/>
  <c r="AF87" i="4"/>
  <c r="P87" i="4"/>
  <c r="O87" i="4"/>
  <c r="CM87" i="4" s="1"/>
  <c r="N87" i="4"/>
  <c r="CL87" i="4" s="1"/>
  <c r="CE86" i="4"/>
  <c r="CF86" i="4" s="1"/>
  <c r="AC86" i="4"/>
  <c r="AF86" i="4"/>
  <c r="P86" i="4"/>
  <c r="O86" i="4"/>
  <c r="CM86" i="4" s="1"/>
  <c r="N86" i="4"/>
  <c r="CL86" i="4" s="1"/>
  <c r="CE85" i="4"/>
  <c r="CF85" i="4" s="1"/>
  <c r="AC85" i="4"/>
  <c r="AF85" i="4"/>
  <c r="K53" i="3" s="1"/>
  <c r="P85" i="4"/>
  <c r="O85" i="4"/>
  <c r="CM85" i="4" s="1"/>
  <c r="N85" i="4"/>
  <c r="CL85" i="4" s="1"/>
  <c r="CE84" i="4"/>
  <c r="CF84" i="4" s="1"/>
  <c r="AC84" i="4"/>
  <c r="AF84" i="4"/>
  <c r="P84" i="4"/>
  <c r="O84" i="4"/>
  <c r="CM84" i="4" s="1"/>
  <c r="N84" i="4"/>
  <c r="CL84" i="4" s="1"/>
  <c r="CE83" i="4"/>
  <c r="CF83" i="4" s="1"/>
  <c r="AQ83" i="4"/>
  <c r="AC83" i="4"/>
  <c r="U83" i="4"/>
  <c r="V83" i="4" s="1"/>
  <c r="AF83" i="4"/>
  <c r="K51" i="3" s="1"/>
  <c r="P83" i="4"/>
  <c r="O83" i="4"/>
  <c r="CM83" i="4" s="1"/>
  <c r="N83" i="4"/>
  <c r="CL83" i="4" s="1"/>
  <c r="A83" i="4"/>
  <c r="CE82" i="4"/>
  <c r="CF82" i="4" s="1"/>
  <c r="AC82" i="4"/>
  <c r="U82" i="4"/>
  <c r="V82" i="4" s="1"/>
  <c r="P82" i="4"/>
  <c r="O82" i="4"/>
  <c r="CM82" i="4" s="1"/>
  <c r="N82" i="4"/>
  <c r="CL82" i="4" s="1"/>
  <c r="CE81" i="4"/>
  <c r="CF81" i="4" s="1"/>
  <c r="AC81" i="4"/>
  <c r="U81" i="4"/>
  <c r="V81" i="4" s="1"/>
  <c r="P81" i="4"/>
  <c r="O81" i="4"/>
  <c r="CM81" i="4" s="1"/>
  <c r="N81" i="4"/>
  <c r="CL81" i="4" s="1"/>
  <c r="CE80" i="4"/>
  <c r="CF80" i="4" s="1"/>
  <c r="AC80" i="4"/>
  <c r="U80" i="4"/>
  <c r="V80" i="4" s="1"/>
  <c r="P80" i="4"/>
  <c r="O80" i="4"/>
  <c r="CM80" i="4" s="1"/>
  <c r="N80" i="4"/>
  <c r="CL80" i="4" s="1"/>
  <c r="CE79" i="4"/>
  <c r="CF79" i="4" s="1"/>
  <c r="AC79" i="4"/>
  <c r="U79" i="4"/>
  <c r="V79" i="4" s="1"/>
  <c r="P79" i="4"/>
  <c r="O79" i="4"/>
  <c r="CM79" i="4" s="1"/>
  <c r="N79" i="4"/>
  <c r="CL79" i="4" s="1"/>
  <c r="CE78" i="4"/>
  <c r="CF78" i="4" s="1"/>
  <c r="AC78" i="4"/>
  <c r="U78" i="4"/>
  <c r="V78" i="4" s="1"/>
  <c r="AF78" i="4"/>
  <c r="P78" i="4"/>
  <c r="O78" i="4"/>
  <c r="CM78" i="4" s="1"/>
  <c r="N78" i="4"/>
  <c r="CL78" i="4" s="1"/>
  <c r="CE77" i="4"/>
  <c r="CF77" i="4" s="1"/>
  <c r="AC77" i="4"/>
  <c r="U77" i="4"/>
  <c r="V77" i="4" s="1"/>
  <c r="AF77" i="4"/>
  <c r="CM77" i="4"/>
  <c r="CL77" i="4"/>
  <c r="CE76" i="4"/>
  <c r="CF76" i="4" s="1"/>
  <c r="AC76" i="4"/>
  <c r="U76" i="4"/>
  <c r="V76" i="4" s="1"/>
  <c r="AF76" i="4" s="1"/>
  <c r="CM76" i="4"/>
  <c r="CL76" i="4"/>
  <c r="CE75" i="4"/>
  <c r="CF75" i="4" s="1"/>
  <c r="AC75" i="4"/>
  <c r="U75" i="4"/>
  <c r="V75" i="4" s="1"/>
  <c r="AF75" i="4"/>
  <c r="CM75" i="4"/>
  <c r="CL75" i="4"/>
  <c r="CE74" i="4"/>
  <c r="CF74" i="4" s="1"/>
  <c r="AC74" i="4"/>
  <c r="U74" i="4"/>
  <c r="V74" i="4" s="1"/>
  <c r="AF74" i="4"/>
  <c r="K46" i="3" s="1"/>
  <c r="CM74" i="4"/>
  <c r="CL74" i="4"/>
  <c r="CE73" i="4"/>
  <c r="CF73" i="4" s="1"/>
  <c r="AQ73" i="4"/>
  <c r="AC73" i="4"/>
  <c r="U73" i="4"/>
  <c r="V73" i="4" s="1"/>
  <c r="AF73" i="4"/>
  <c r="K45" i="3" s="1"/>
  <c r="P73" i="4"/>
  <c r="O73" i="4"/>
  <c r="CM73" i="4" s="1"/>
  <c r="N73" i="4"/>
  <c r="CL73" i="4" s="1"/>
  <c r="A73" i="4"/>
  <c r="CE72" i="4"/>
  <c r="CF72" i="4" s="1"/>
  <c r="AC72" i="4"/>
  <c r="U72" i="4"/>
  <c r="V72" i="4" s="1"/>
  <c r="P72" i="4"/>
  <c r="O72" i="4"/>
  <c r="CM72" i="4" s="1"/>
  <c r="N72" i="4"/>
  <c r="CL72" i="4" s="1"/>
  <c r="CE71" i="4"/>
  <c r="CF71" i="4" s="1"/>
  <c r="AC71" i="4"/>
  <c r="U71" i="4"/>
  <c r="V71" i="4" s="1"/>
  <c r="P71" i="4"/>
  <c r="O71" i="4"/>
  <c r="CM71" i="4" s="1"/>
  <c r="N71" i="4"/>
  <c r="CL71" i="4" s="1"/>
  <c r="CE70" i="4"/>
  <c r="CF70" i="4" s="1"/>
  <c r="AC70" i="4"/>
  <c r="U70" i="4"/>
  <c r="V70" i="4" s="1"/>
  <c r="P70" i="4"/>
  <c r="O70" i="4"/>
  <c r="CM70" i="4" s="1"/>
  <c r="N70" i="4"/>
  <c r="CL70" i="4" s="1"/>
  <c r="CE69" i="4"/>
  <c r="CF69" i="4" s="1"/>
  <c r="AC69" i="4"/>
  <c r="U69" i="4"/>
  <c r="V69" i="4" s="1"/>
  <c r="P69" i="4"/>
  <c r="O69" i="4"/>
  <c r="CM69" i="4" s="1"/>
  <c r="N69" i="4"/>
  <c r="CL69" i="4" s="1"/>
  <c r="CE68" i="4"/>
  <c r="CF68" i="4" s="1"/>
  <c r="AC68" i="4"/>
  <c r="U68" i="4"/>
  <c r="V68" i="4" s="1"/>
  <c r="AF68" i="4"/>
  <c r="P68" i="4"/>
  <c r="O68" i="4"/>
  <c r="CM68" i="4" s="1"/>
  <c r="N68" i="4"/>
  <c r="CL68" i="4" s="1"/>
  <c r="CE67" i="4"/>
  <c r="CF67" i="4" s="1"/>
  <c r="AC67" i="4"/>
  <c r="U67" i="4"/>
  <c r="V67" i="4" s="1"/>
  <c r="AF67" i="4"/>
  <c r="P67" i="4"/>
  <c r="O67" i="4"/>
  <c r="CM67" i="4" s="1"/>
  <c r="N67" i="4"/>
  <c r="CL67" i="4" s="1"/>
  <c r="CE66" i="4"/>
  <c r="CF66" i="4" s="1"/>
  <c r="AC66" i="4"/>
  <c r="U66" i="4"/>
  <c r="V66" i="4" s="1"/>
  <c r="AF66" i="4"/>
  <c r="P66" i="4"/>
  <c r="O66" i="4"/>
  <c r="CM66" i="4" s="1"/>
  <c r="N66" i="4"/>
  <c r="CL66" i="4" s="1"/>
  <c r="CE65" i="4"/>
  <c r="CF65" i="4" s="1"/>
  <c r="AC65" i="4"/>
  <c r="U65" i="4"/>
  <c r="V65" i="4" s="1"/>
  <c r="AF65" i="4"/>
  <c r="K40" i="3" s="1"/>
  <c r="P65" i="4"/>
  <c r="O65" i="4"/>
  <c r="CM65" i="4" s="1"/>
  <c r="N65" i="4"/>
  <c r="CL65" i="4" s="1"/>
  <c r="CE64" i="4"/>
  <c r="CF64" i="4" s="1"/>
  <c r="AC64" i="4"/>
  <c r="U64" i="4"/>
  <c r="V64" i="4" s="1"/>
  <c r="AF64" i="4"/>
  <c r="P64" i="4"/>
  <c r="O64" i="4"/>
  <c r="CM64" i="4" s="1"/>
  <c r="N64" i="4"/>
  <c r="CL64" i="4" s="1"/>
  <c r="CE63" i="4"/>
  <c r="CF63" i="4" s="1"/>
  <c r="AQ63" i="4"/>
  <c r="AC63" i="4"/>
  <c r="U63" i="4"/>
  <c r="V63" i="4" s="1"/>
  <c r="AF63" i="4"/>
  <c r="P63" i="4"/>
  <c r="O63" i="4"/>
  <c r="CM63" i="4" s="1"/>
  <c r="N63" i="4"/>
  <c r="CL63" i="4" s="1"/>
  <c r="A63" i="4"/>
  <c r="CE62" i="4"/>
  <c r="CF62" i="4" s="1"/>
  <c r="AC62" i="4"/>
  <c r="U62" i="4"/>
  <c r="V62" i="4" s="1"/>
  <c r="P62" i="4"/>
  <c r="O62" i="4"/>
  <c r="CM62" i="4" s="1"/>
  <c r="N62" i="4"/>
  <c r="CL62" i="4" s="1"/>
  <c r="CE61" i="4"/>
  <c r="CF61" i="4" s="1"/>
  <c r="AC61" i="4"/>
  <c r="U61" i="4"/>
  <c r="V61" i="4" s="1"/>
  <c r="P61" i="4"/>
  <c r="O61" i="4"/>
  <c r="CM61" i="4" s="1"/>
  <c r="N61" i="4"/>
  <c r="CL61" i="4" s="1"/>
  <c r="CE60" i="4"/>
  <c r="CF60" i="4" s="1"/>
  <c r="AC60" i="4"/>
  <c r="U60" i="4"/>
  <c r="V60" i="4" s="1"/>
  <c r="P60" i="4"/>
  <c r="O60" i="4"/>
  <c r="CM60" i="4" s="1"/>
  <c r="N60" i="4"/>
  <c r="CL60" i="4" s="1"/>
  <c r="CE59" i="4"/>
  <c r="CF59" i="4" s="1"/>
  <c r="AC59" i="4"/>
  <c r="U59" i="4"/>
  <c r="V59" i="4" s="1"/>
  <c r="P59" i="4"/>
  <c r="O59" i="4"/>
  <c r="CM59" i="4" s="1"/>
  <c r="N59" i="4"/>
  <c r="CL59" i="4" s="1"/>
  <c r="CE58" i="4"/>
  <c r="CF58" i="4" s="1"/>
  <c r="AC58" i="4"/>
  <c r="U58" i="4"/>
  <c r="V58" i="4" s="1"/>
  <c r="AF58" i="4" s="1"/>
  <c r="P58" i="4"/>
  <c r="O58" i="4"/>
  <c r="CM58" i="4" s="1"/>
  <c r="N58" i="4"/>
  <c r="CL58" i="4" s="1"/>
  <c r="CE57" i="4"/>
  <c r="CF57" i="4" s="1"/>
  <c r="AC57" i="4"/>
  <c r="U57" i="4"/>
  <c r="V57" i="4" s="1"/>
  <c r="AF57" i="4" s="1"/>
  <c r="P57" i="4"/>
  <c r="O57" i="4"/>
  <c r="CM57" i="4" s="1"/>
  <c r="N57" i="4"/>
  <c r="CL57" i="4" s="1"/>
  <c r="CE56" i="4"/>
  <c r="CF56" i="4" s="1"/>
  <c r="AC56" i="4"/>
  <c r="U56" i="4"/>
  <c r="V56" i="4" s="1"/>
  <c r="P56" i="4"/>
  <c r="O56" i="4"/>
  <c r="CM56" i="4" s="1"/>
  <c r="N56" i="4"/>
  <c r="CL56" i="4" s="1"/>
  <c r="CE55" i="4"/>
  <c r="CF55" i="4" s="1"/>
  <c r="AC55" i="4"/>
  <c r="U55" i="4"/>
  <c r="V55" i="4" s="1"/>
  <c r="P55" i="4"/>
  <c r="O55" i="4"/>
  <c r="CM55" i="4" s="1"/>
  <c r="N55" i="4"/>
  <c r="CL55" i="4" s="1"/>
  <c r="CE54" i="4"/>
  <c r="CF54" i="4" s="1"/>
  <c r="AC54" i="4"/>
  <c r="U54" i="4"/>
  <c r="V54" i="4" s="1"/>
  <c r="P54" i="4"/>
  <c r="O54" i="4"/>
  <c r="CM54" i="4" s="1"/>
  <c r="N54" i="4"/>
  <c r="CL54" i="4" s="1"/>
  <c r="CE53" i="4"/>
  <c r="CF53" i="4" s="1"/>
  <c r="AC53" i="4"/>
  <c r="U53" i="4"/>
  <c r="V53" i="4" s="1"/>
  <c r="P53" i="4"/>
  <c r="O53" i="4"/>
  <c r="CM53" i="4" s="1"/>
  <c r="N53" i="4"/>
  <c r="CL53" i="4" s="1"/>
  <c r="A53" i="4"/>
  <c r="CE52" i="4"/>
  <c r="CF52" i="4" s="1"/>
  <c r="AC52" i="4"/>
  <c r="U52" i="4"/>
  <c r="V52" i="4" s="1"/>
  <c r="P52" i="4"/>
  <c r="O52" i="4"/>
  <c r="CM52" i="4" s="1"/>
  <c r="N52" i="4"/>
  <c r="CL52" i="4" s="1"/>
  <c r="CE51" i="4"/>
  <c r="CF51" i="4" s="1"/>
  <c r="AC51" i="4"/>
  <c r="U51" i="4"/>
  <c r="V51" i="4" s="1"/>
  <c r="P51" i="4"/>
  <c r="O51" i="4"/>
  <c r="CM51" i="4" s="1"/>
  <c r="N51" i="4"/>
  <c r="CL51" i="4" s="1"/>
  <c r="CE50" i="4"/>
  <c r="CF50" i="4" s="1"/>
  <c r="AC50" i="4"/>
  <c r="U50" i="4"/>
  <c r="V50" i="4" s="1"/>
  <c r="P50" i="4"/>
  <c r="O50" i="4"/>
  <c r="CM50" i="4" s="1"/>
  <c r="N50" i="4"/>
  <c r="CL50" i="4" s="1"/>
  <c r="CE49" i="4"/>
  <c r="CF49" i="4" s="1"/>
  <c r="AC49" i="4"/>
  <c r="U49" i="4"/>
  <c r="V49" i="4" s="1"/>
  <c r="P49" i="4"/>
  <c r="O49" i="4"/>
  <c r="CM49" i="4" s="1"/>
  <c r="N49" i="4"/>
  <c r="CL49" i="4" s="1"/>
  <c r="CE48" i="4"/>
  <c r="CF48" i="4" s="1"/>
  <c r="AC48" i="4"/>
  <c r="U48" i="4"/>
  <c r="V48" i="4" s="1"/>
  <c r="P48" i="4"/>
  <c r="O48" i="4"/>
  <c r="CM48" i="4" s="1"/>
  <c r="N48" i="4"/>
  <c r="CL48" i="4" s="1"/>
  <c r="CE47" i="4"/>
  <c r="CF47" i="4" s="1"/>
  <c r="AC47" i="4"/>
  <c r="U47" i="4"/>
  <c r="V47" i="4" s="1"/>
  <c r="P47" i="4"/>
  <c r="O47" i="4"/>
  <c r="CM47" i="4" s="1"/>
  <c r="N47" i="4"/>
  <c r="CL47" i="4" s="1"/>
  <c r="CE46" i="4"/>
  <c r="CF46" i="4" s="1"/>
  <c r="AC46" i="4"/>
  <c r="U46" i="4"/>
  <c r="V46" i="4" s="1"/>
  <c r="AF46" i="4" s="1"/>
  <c r="P46" i="4"/>
  <c r="O46" i="4"/>
  <c r="CM46" i="4" s="1"/>
  <c r="N46" i="4"/>
  <c r="CL46" i="4" s="1"/>
  <c r="CE45" i="4"/>
  <c r="CF45" i="4" s="1"/>
  <c r="AC45" i="4"/>
  <c r="U45" i="4"/>
  <c r="V45" i="4" s="1"/>
  <c r="AF45" i="4"/>
  <c r="P45" i="4"/>
  <c r="O45" i="4"/>
  <c r="CM45" i="4" s="1"/>
  <c r="N45" i="4"/>
  <c r="CL45" i="4" s="1"/>
  <c r="CE44" i="4"/>
  <c r="CF44" i="4" s="1"/>
  <c r="AC44" i="4"/>
  <c r="U44" i="4"/>
  <c r="V44" i="4" s="1"/>
  <c r="AF44" i="4"/>
  <c r="P44" i="4"/>
  <c r="O44" i="4"/>
  <c r="CM44" i="4" s="1"/>
  <c r="N44" i="4"/>
  <c r="CL44" i="4" s="1"/>
  <c r="CE43" i="4"/>
  <c r="CF43" i="4" s="1"/>
  <c r="AQ43" i="4"/>
  <c r="AC43" i="4"/>
  <c r="U43" i="4"/>
  <c r="V43" i="4" s="1"/>
  <c r="AF43" i="4"/>
  <c r="P43" i="4"/>
  <c r="O43" i="4"/>
  <c r="CM43" i="4" s="1"/>
  <c r="N43" i="4"/>
  <c r="CL43" i="4" s="1"/>
  <c r="A43" i="4"/>
  <c r="CE42" i="4"/>
  <c r="CF42" i="4" s="1"/>
  <c r="AC42" i="4"/>
  <c r="P42" i="4"/>
  <c r="O42" i="4"/>
  <c r="CM42" i="4" s="1"/>
  <c r="N42" i="4"/>
  <c r="CL42" i="4" s="1"/>
  <c r="CE41" i="4"/>
  <c r="CF41" i="4" s="1"/>
  <c r="AC41" i="4"/>
  <c r="P41" i="4"/>
  <c r="O41" i="4"/>
  <c r="CM41" i="4" s="1"/>
  <c r="N41" i="4"/>
  <c r="CL41" i="4" s="1"/>
  <c r="CE40" i="4"/>
  <c r="CF40" i="4" s="1"/>
  <c r="AC40" i="4"/>
  <c r="P40" i="4"/>
  <c r="O40" i="4"/>
  <c r="CM40" i="4" s="1"/>
  <c r="N40" i="4"/>
  <c r="CL40" i="4" s="1"/>
  <c r="CE39" i="4"/>
  <c r="CF39" i="4" s="1"/>
  <c r="AC39" i="4"/>
  <c r="P39" i="4"/>
  <c r="O39" i="4"/>
  <c r="CM39" i="4" s="1"/>
  <c r="N39" i="4"/>
  <c r="CL39" i="4" s="1"/>
  <c r="CE38" i="4"/>
  <c r="CF38" i="4" s="1"/>
  <c r="AC38" i="4"/>
  <c r="AF38" i="4"/>
  <c r="P38" i="4"/>
  <c r="O38" i="4"/>
  <c r="CM38" i="4" s="1"/>
  <c r="N38" i="4"/>
  <c r="CL38" i="4" s="1"/>
  <c r="CE37" i="4"/>
  <c r="CF37" i="4" s="1"/>
  <c r="AC37" i="4"/>
  <c r="AF37" i="4"/>
  <c r="CR37" i="4" s="1"/>
  <c r="P37" i="4"/>
  <c r="O37" i="4"/>
  <c r="CM37" i="4" s="1"/>
  <c r="N37" i="4"/>
  <c r="CL37" i="4" s="1"/>
  <c r="CE36" i="4"/>
  <c r="CF36" i="4" s="1"/>
  <c r="AC36" i="4"/>
  <c r="AF36" i="4"/>
  <c r="AI36" i="4" s="1"/>
  <c r="P36" i="4"/>
  <c r="O36" i="4"/>
  <c r="CM36" i="4" s="1"/>
  <c r="N36" i="4"/>
  <c r="CL36" i="4" s="1"/>
  <c r="CE35" i="4"/>
  <c r="CF35" i="4" s="1"/>
  <c r="AC35" i="4"/>
  <c r="P35" i="4"/>
  <c r="O35" i="4"/>
  <c r="CM35" i="4" s="1"/>
  <c r="N35" i="4"/>
  <c r="CL35" i="4" s="1"/>
  <c r="CE34" i="4"/>
  <c r="CF34" i="4" s="1"/>
  <c r="AF34" i="4"/>
  <c r="AC34" i="4"/>
  <c r="P34" i="4"/>
  <c r="O34" i="4"/>
  <c r="CM34" i="4" s="1"/>
  <c r="N34" i="4"/>
  <c r="CL34" i="4" s="1"/>
  <c r="CE33" i="4"/>
  <c r="CF33" i="4" s="1"/>
  <c r="AQ33" i="4"/>
  <c r="AC33" i="4"/>
  <c r="AF33" i="4"/>
  <c r="P33" i="4"/>
  <c r="O33" i="4"/>
  <c r="CM33" i="4" s="1"/>
  <c r="N33" i="4"/>
  <c r="CL33" i="4" s="1"/>
  <c r="A33" i="4"/>
  <c r="CE32" i="4"/>
  <c r="CF32" i="4" s="1"/>
  <c r="AC32" i="4"/>
  <c r="P32" i="4"/>
  <c r="O32" i="4"/>
  <c r="CM32" i="4" s="1"/>
  <c r="N32" i="4"/>
  <c r="CL32" i="4" s="1"/>
  <c r="CE31" i="4"/>
  <c r="CF31" i="4" s="1"/>
  <c r="AC31" i="4"/>
  <c r="P31" i="4"/>
  <c r="O31" i="4"/>
  <c r="CM31" i="4" s="1"/>
  <c r="N31" i="4"/>
  <c r="CL31" i="4" s="1"/>
  <c r="CE30" i="4"/>
  <c r="CF30" i="4" s="1"/>
  <c r="AC30" i="4"/>
  <c r="P30" i="4"/>
  <c r="O30" i="4"/>
  <c r="CM30" i="4" s="1"/>
  <c r="N30" i="4"/>
  <c r="CL30" i="4" s="1"/>
  <c r="CE29" i="4"/>
  <c r="CF29" i="4" s="1"/>
  <c r="AC29" i="4"/>
  <c r="P29" i="4"/>
  <c r="O29" i="4"/>
  <c r="CM29" i="4" s="1"/>
  <c r="N29" i="4"/>
  <c r="CL29" i="4" s="1"/>
  <c r="CE28" i="4"/>
  <c r="CF28" i="4" s="1"/>
  <c r="AC28" i="4"/>
  <c r="P28" i="4"/>
  <c r="O28" i="4"/>
  <c r="CM28" i="4" s="1"/>
  <c r="N28" i="4"/>
  <c r="CL28" i="4" s="1"/>
  <c r="CE27" i="4"/>
  <c r="CF27" i="4" s="1"/>
  <c r="AC27" i="4"/>
  <c r="P27" i="4"/>
  <c r="O27" i="4"/>
  <c r="CM27" i="4" s="1"/>
  <c r="N27" i="4"/>
  <c r="CL27" i="4" s="1"/>
  <c r="CE26" i="4"/>
  <c r="CF26" i="4" s="1"/>
  <c r="AC26" i="4"/>
  <c r="AF26" i="4"/>
  <c r="P26" i="4"/>
  <c r="O26" i="4"/>
  <c r="CM26" i="4" s="1"/>
  <c r="N26" i="4"/>
  <c r="CL26" i="4" s="1"/>
  <c r="CE25" i="4"/>
  <c r="CF25" i="4" s="1"/>
  <c r="AC25" i="4"/>
  <c r="AF25" i="4"/>
  <c r="P25" i="4"/>
  <c r="O25" i="4"/>
  <c r="CM25" i="4" s="1"/>
  <c r="N25" i="4"/>
  <c r="CL25" i="4" s="1"/>
  <c r="CE24" i="4"/>
  <c r="CF24" i="4" s="1"/>
  <c r="AC24" i="4"/>
  <c r="U24" i="4"/>
  <c r="P24" i="4"/>
  <c r="O24" i="4"/>
  <c r="CM24" i="4" s="1"/>
  <c r="N24" i="4"/>
  <c r="CL24" i="4" s="1"/>
  <c r="CE23" i="4"/>
  <c r="CF23" i="4" s="1"/>
  <c r="AQ23" i="4"/>
  <c r="AC23" i="4"/>
  <c r="U23" i="4"/>
  <c r="V23" i="4" s="1"/>
  <c r="AF23" i="4"/>
  <c r="P23" i="4"/>
  <c r="O23" i="4"/>
  <c r="CM23" i="4" s="1"/>
  <c r="N23" i="4"/>
  <c r="CL23" i="4" s="1"/>
  <c r="A23" i="4"/>
  <c r="CE22" i="4"/>
  <c r="CF22" i="4" s="1"/>
  <c r="AC22" i="4"/>
  <c r="U22" i="4"/>
  <c r="V22" i="4" s="1"/>
  <c r="P22" i="4"/>
  <c r="O22" i="4"/>
  <c r="CM22" i="4" s="1"/>
  <c r="N22" i="4"/>
  <c r="CL22" i="4" s="1"/>
  <c r="CE21" i="4"/>
  <c r="CF21" i="4" s="1"/>
  <c r="AC21" i="4"/>
  <c r="U21" i="4"/>
  <c r="V21" i="4" s="1"/>
  <c r="P21" i="4"/>
  <c r="O21" i="4"/>
  <c r="CM21" i="4" s="1"/>
  <c r="N21" i="4"/>
  <c r="CL21" i="4" s="1"/>
  <c r="CE20" i="4"/>
  <c r="CF20" i="4" s="1"/>
  <c r="AC20" i="4"/>
  <c r="U20" i="4"/>
  <c r="V20" i="4" s="1"/>
  <c r="P20" i="4"/>
  <c r="O20" i="4"/>
  <c r="CM20" i="4" s="1"/>
  <c r="N20" i="4"/>
  <c r="CL20" i="4" s="1"/>
  <c r="CE19" i="4"/>
  <c r="CF19" i="4" s="1"/>
  <c r="AC19" i="4"/>
  <c r="U19" i="4"/>
  <c r="V19" i="4" s="1"/>
  <c r="P19" i="4"/>
  <c r="O19" i="4"/>
  <c r="CM19" i="4" s="1"/>
  <c r="N19" i="4"/>
  <c r="CL19" i="4" s="1"/>
  <c r="CE18" i="4"/>
  <c r="CF18" i="4" s="1"/>
  <c r="AC18" i="4"/>
  <c r="U18" i="4"/>
  <c r="V18" i="4" s="1"/>
  <c r="P18" i="4"/>
  <c r="O18" i="4"/>
  <c r="CM18" i="4" s="1"/>
  <c r="N18" i="4"/>
  <c r="CL18" i="4" s="1"/>
  <c r="CE17" i="4"/>
  <c r="CF17" i="4" s="1"/>
  <c r="U17" i="4"/>
  <c r="V17" i="4" s="1"/>
  <c r="P17" i="4"/>
  <c r="O17" i="4"/>
  <c r="CM17" i="4" s="1"/>
  <c r="N17" i="4"/>
  <c r="CL17" i="4" s="1"/>
  <c r="CE16" i="4"/>
  <c r="CF16" i="4" s="1"/>
  <c r="U16" i="4"/>
  <c r="V16" i="4" s="1"/>
  <c r="AF16" i="4" s="1"/>
  <c r="P16" i="4"/>
  <c r="O16" i="4"/>
  <c r="CM16" i="4" s="1"/>
  <c r="N16" i="4"/>
  <c r="CL16" i="4" s="1"/>
  <c r="CE15" i="4"/>
  <c r="CF15" i="4" s="1"/>
  <c r="U15" i="4"/>
  <c r="V15" i="4" s="1"/>
  <c r="AF15" i="4"/>
  <c r="K10" i="3" s="1"/>
  <c r="P15" i="4"/>
  <c r="O15" i="4"/>
  <c r="CM15" i="4" s="1"/>
  <c r="N15" i="4"/>
  <c r="CL15" i="4" s="1"/>
  <c r="CE14" i="4"/>
  <c r="CF14" i="4" s="1"/>
  <c r="U14" i="4"/>
  <c r="V14" i="4" s="1"/>
  <c r="AF14" i="4" s="1"/>
  <c r="AI14" i="4" s="1"/>
  <c r="P14" i="4"/>
  <c r="O14" i="4"/>
  <c r="CM14" i="4" s="1"/>
  <c r="N14" i="4"/>
  <c r="CL14" i="4" s="1"/>
  <c r="CE13" i="4"/>
  <c r="CF13" i="4" s="1"/>
  <c r="AQ13" i="4"/>
  <c r="U13" i="4"/>
  <c r="V13" i="4" s="1"/>
  <c r="AF13" i="4"/>
  <c r="P13" i="4"/>
  <c r="O13" i="4"/>
  <c r="CM13" i="4" s="1"/>
  <c r="N13" i="4"/>
  <c r="CL13" i="4" s="1"/>
  <c r="A13" i="4"/>
  <c r="K16" i="3" l="1"/>
  <c r="CR26" i="4"/>
  <c r="F46" i="5"/>
  <c r="I46" i="5" s="1"/>
  <c r="E73" i="6" s="1"/>
  <c r="D46" i="6"/>
  <c r="D71" i="6"/>
  <c r="D97" i="6"/>
  <c r="F56" i="5"/>
  <c r="I56" i="5" s="1"/>
  <c r="E83" i="6" s="1"/>
  <c r="D94" i="6"/>
  <c r="D73" i="6"/>
  <c r="D62" i="6"/>
  <c r="D47" i="6"/>
  <c r="D45" i="6"/>
  <c r="D51" i="6"/>
  <c r="D76" i="6"/>
  <c r="F55" i="5"/>
  <c r="I55" i="5" s="1"/>
  <c r="E82" i="6" s="1"/>
  <c r="F45" i="5"/>
  <c r="I45" i="5" s="1"/>
  <c r="E72" i="6" s="1"/>
  <c r="D60" i="6"/>
  <c r="D53" i="6"/>
  <c r="D77" i="6"/>
  <c r="F24" i="5"/>
  <c r="I24" i="5" s="1"/>
  <c r="E51" i="6" s="1"/>
  <c r="D44" i="6"/>
  <c r="F71" i="5"/>
  <c r="I71" i="5" s="1"/>
  <c r="E98" i="6" s="1"/>
  <c r="F12" i="5"/>
  <c r="I12" i="5" s="1"/>
  <c r="E39" i="6" s="1"/>
  <c r="D49" i="6"/>
  <c r="F70" i="5"/>
  <c r="I70" i="5" s="1"/>
  <c r="E97" i="6" s="1"/>
  <c r="F52" i="5"/>
  <c r="I52" i="5" s="1"/>
  <c r="E79" i="6" s="1"/>
  <c r="F27" i="5"/>
  <c r="I27" i="5" s="1"/>
  <c r="E54" i="6" s="1"/>
  <c r="F32" i="5"/>
  <c r="I32" i="5" s="1"/>
  <c r="E59" i="6" s="1"/>
  <c r="F39" i="5"/>
  <c r="I39" i="5" s="1"/>
  <c r="E66" i="6" s="1"/>
  <c r="D90" i="6"/>
  <c r="D93" i="6"/>
  <c r="F17" i="5"/>
  <c r="I17" i="5" s="1"/>
  <c r="E44" i="6" s="1"/>
  <c r="D74" i="6"/>
  <c r="F22" i="5"/>
  <c r="I22" i="5" s="1"/>
  <c r="E49" i="6" s="1"/>
  <c r="F49" i="5"/>
  <c r="I49" i="5" s="1"/>
  <c r="E76" i="6" s="1"/>
  <c r="D84" i="6"/>
  <c r="F34" i="5"/>
  <c r="I34" i="5" s="1"/>
  <c r="E61" i="6" s="1"/>
  <c r="D98" i="6"/>
  <c r="D65" i="6"/>
  <c r="F65" i="5"/>
  <c r="I65" i="5" s="1"/>
  <c r="E92" i="6" s="1"/>
  <c r="D82" i="6"/>
  <c r="F33" i="5"/>
  <c r="I33" i="5" s="1"/>
  <c r="E60" i="6" s="1"/>
  <c r="F35" i="5"/>
  <c r="I35" i="5" s="1"/>
  <c r="E62" i="6" s="1"/>
  <c r="D78" i="6"/>
  <c r="D42" i="6"/>
  <c r="D70" i="6"/>
  <c r="D67" i="6"/>
  <c r="F64" i="5"/>
  <c r="I64" i="5" s="1"/>
  <c r="E91" i="6" s="1"/>
  <c r="F59" i="5"/>
  <c r="I59" i="5" s="1"/>
  <c r="E86" i="6" s="1"/>
  <c r="F38" i="5"/>
  <c r="I38" i="5" s="1"/>
  <c r="E65" i="6" s="1"/>
  <c r="D35" i="6"/>
  <c r="F8" i="5"/>
  <c r="I8" i="5" s="1"/>
  <c r="E35" i="6" s="1"/>
  <c r="F50" i="5"/>
  <c r="I50" i="5" s="1"/>
  <c r="E77" i="6" s="1"/>
  <c r="D96" i="6"/>
  <c r="F42" i="5"/>
  <c r="I42" i="5" s="1"/>
  <c r="E69" i="6" s="1"/>
  <c r="D58" i="6"/>
  <c r="F29" i="5"/>
  <c r="I29" i="5" s="1"/>
  <c r="E56" i="6" s="1"/>
  <c r="F69" i="5"/>
  <c r="I69" i="5" s="1"/>
  <c r="E96" i="6" s="1"/>
  <c r="F67" i="5"/>
  <c r="I67" i="5" s="1"/>
  <c r="E94" i="6" s="1"/>
  <c r="D69" i="6"/>
  <c r="D54" i="6"/>
  <c r="D57" i="6"/>
  <c r="F62" i="5"/>
  <c r="I62" i="5" s="1"/>
  <c r="E89" i="6" s="1"/>
  <c r="D89" i="6"/>
  <c r="F26" i="5"/>
  <c r="I26" i="5" s="1"/>
  <c r="E53" i="6" s="1"/>
  <c r="F19" i="5"/>
  <c r="I19" i="5" s="1"/>
  <c r="E46" i="6" s="1"/>
  <c r="D64" i="6"/>
  <c r="F60" i="5"/>
  <c r="I60" i="5" s="1"/>
  <c r="E87" i="6" s="1"/>
  <c r="D86" i="6"/>
  <c r="F18" i="5"/>
  <c r="I18" i="5" s="1"/>
  <c r="E45" i="6" s="1"/>
  <c r="D85" i="6"/>
  <c r="F15" i="5"/>
  <c r="I15" i="5" s="1"/>
  <c r="E42" i="6" s="1"/>
  <c r="D63" i="6"/>
  <c r="F31" i="5"/>
  <c r="I31" i="5" s="1"/>
  <c r="E58" i="6" s="1"/>
  <c r="F21" i="5"/>
  <c r="I21" i="5" s="1"/>
  <c r="E48" i="6" s="1"/>
  <c r="D37" i="6"/>
  <c r="D87" i="6"/>
  <c r="D75" i="6"/>
  <c r="F68" i="5"/>
  <c r="I68" i="5" s="1"/>
  <c r="E95" i="6" s="1"/>
  <c r="F16" i="5"/>
  <c r="I16" i="5" s="1"/>
  <c r="E43" i="6" s="1"/>
  <c r="F23" i="5"/>
  <c r="I23" i="5" s="1"/>
  <c r="E50" i="6" s="1"/>
  <c r="D34" i="6"/>
  <c r="F54" i="5"/>
  <c r="I54" i="5" s="1"/>
  <c r="E81" i="6" s="1"/>
  <c r="D83" i="6"/>
  <c r="D39" i="6"/>
  <c r="F51" i="5"/>
  <c r="I51" i="5" s="1"/>
  <c r="E78" i="6" s="1"/>
  <c r="F28" i="5"/>
  <c r="I28" i="5" s="1"/>
  <c r="E55" i="6" s="1"/>
  <c r="D48" i="6"/>
  <c r="F58" i="5"/>
  <c r="I58" i="5" s="1"/>
  <c r="E85" i="6" s="1"/>
  <c r="D72" i="6"/>
  <c r="D66" i="6"/>
  <c r="F57" i="5"/>
  <c r="I57" i="5" s="1"/>
  <c r="E84" i="6" s="1"/>
  <c r="F14" i="5"/>
  <c r="I14" i="5" s="1"/>
  <c r="E41" i="6" s="1"/>
  <c r="F13" i="5"/>
  <c r="I13" i="5" s="1"/>
  <c r="E40" i="6" s="1"/>
  <c r="D52" i="6"/>
  <c r="F44" i="5"/>
  <c r="I44" i="5" s="1"/>
  <c r="E71" i="6" s="1"/>
  <c r="F72" i="5"/>
  <c r="I72" i="5" s="1"/>
  <c r="E99" i="6" s="1"/>
  <c r="D56" i="6"/>
  <c r="F9" i="5"/>
  <c r="I9" i="5" s="1"/>
  <c r="D43" i="6"/>
  <c r="F11" i="5"/>
  <c r="I11" i="5" s="1"/>
  <c r="D61" i="6"/>
  <c r="D92" i="6"/>
  <c r="D99" i="6"/>
  <c r="D55" i="6"/>
  <c r="F43" i="5"/>
  <c r="I43" i="5" s="1"/>
  <c r="E70" i="6" s="1"/>
  <c r="F48" i="5"/>
  <c r="I48" i="5" s="1"/>
  <c r="E75" i="6" s="1"/>
  <c r="F10" i="5"/>
  <c r="I10" i="5" s="1"/>
  <c r="F63" i="5"/>
  <c r="I63" i="5" s="1"/>
  <c r="E90" i="6" s="1"/>
  <c r="D41" i="6"/>
  <c r="D59" i="6"/>
  <c r="F53" i="5"/>
  <c r="I53" i="5" s="1"/>
  <c r="E80" i="6" s="1"/>
  <c r="D91" i="6"/>
  <c r="F37" i="5"/>
  <c r="I37" i="5" s="1"/>
  <c r="E64" i="6" s="1"/>
  <c r="D40" i="6"/>
  <c r="D81" i="6"/>
  <c r="F30" i="5"/>
  <c r="I30" i="5" s="1"/>
  <c r="E57" i="6" s="1"/>
  <c r="F20" i="5"/>
  <c r="I20" i="5" s="1"/>
  <c r="E47" i="6" s="1"/>
  <c r="F66" i="5"/>
  <c r="I66" i="5" s="1"/>
  <c r="E93" i="6" s="1"/>
  <c r="D80" i="6"/>
  <c r="F36" i="5"/>
  <c r="I36" i="5" s="1"/>
  <c r="E63" i="6" s="1"/>
  <c r="F61" i="5"/>
  <c r="I61" i="5" s="1"/>
  <c r="E88" i="6" s="1"/>
  <c r="D88" i="6"/>
  <c r="D50" i="6"/>
  <c r="D36" i="6"/>
  <c r="D95" i="6"/>
  <c r="F47" i="5"/>
  <c r="I47" i="5" s="1"/>
  <c r="E74" i="6" s="1"/>
  <c r="F40" i="5"/>
  <c r="I40" i="5" s="1"/>
  <c r="E67" i="6" s="1"/>
  <c r="F25" i="5"/>
  <c r="I25" i="5" s="1"/>
  <c r="E52" i="6" s="1"/>
  <c r="F41" i="5"/>
  <c r="I41" i="5" s="1"/>
  <c r="E68" i="6" s="1"/>
  <c r="F7" i="5"/>
  <c r="D79" i="6"/>
  <c r="D68" i="6"/>
  <c r="D38" i="6"/>
  <c r="K9" i="3"/>
  <c r="K70" i="3"/>
  <c r="AI117" i="4"/>
  <c r="K63" i="3"/>
  <c r="K69" i="3"/>
  <c r="V123" i="4"/>
  <c r="AF123" i="4" s="1"/>
  <c r="K88" i="3"/>
  <c r="AI146" i="4"/>
  <c r="K76" i="3"/>
  <c r="AI126" i="4"/>
  <c r="K58" i="3"/>
  <c r="V95" i="4"/>
  <c r="AF95" i="4" s="1"/>
  <c r="K83" i="3"/>
  <c r="K82" i="3"/>
  <c r="K47" i="3"/>
  <c r="K52" i="3"/>
  <c r="K11" i="3"/>
  <c r="AI16" i="4"/>
  <c r="V24" i="4"/>
  <c r="AF24" i="4" s="1"/>
  <c r="K37" i="3"/>
  <c r="AI57" i="4"/>
  <c r="CR58" i="4"/>
  <c r="AI58" i="4"/>
  <c r="CR46" i="4"/>
  <c r="K28" i="3"/>
  <c r="AI46" i="4"/>
  <c r="K39" i="3"/>
  <c r="K21" i="3"/>
  <c r="K27" i="3"/>
  <c r="CR75" i="4"/>
  <c r="CR87" i="4"/>
  <c r="I7" i="5"/>
  <c r="AH63" i="4"/>
  <c r="AG63" i="4"/>
  <c r="AG73" i="4"/>
  <c r="AH73" i="4"/>
  <c r="AG113" i="4"/>
  <c r="AH113" i="4"/>
  <c r="AH43" i="4"/>
  <c r="AG43" i="4"/>
  <c r="AG13" i="4"/>
  <c r="AH13" i="4"/>
  <c r="AH83" i="4"/>
  <c r="AG83" i="4"/>
  <c r="AH103" i="4"/>
  <c r="AG103" i="4"/>
  <c r="AG133" i="4"/>
  <c r="AH133" i="4"/>
  <c r="AH143" i="4"/>
  <c r="AG143" i="4"/>
  <c r="CR115" i="4"/>
  <c r="L321" i="3"/>
  <c r="L315" i="3"/>
  <c r="M315" i="3" s="1"/>
  <c r="L309" i="3"/>
  <c r="M309" i="3" s="1"/>
  <c r="L249" i="3"/>
  <c r="M249" i="3" s="1"/>
  <c r="CN13" i="4"/>
  <c r="AF56" i="4"/>
  <c r="K36" i="3" s="1"/>
  <c r="AF54" i="4"/>
  <c r="K34" i="3" s="1"/>
  <c r="AF53" i="4"/>
  <c r="K33" i="3" s="1"/>
  <c r="CN134" i="4"/>
  <c r="CN33" i="4"/>
  <c r="CN123" i="4"/>
  <c r="CN150" i="4"/>
  <c r="X17" i="5"/>
  <c r="X20" i="5"/>
  <c r="X16" i="5"/>
  <c r="X12" i="5"/>
  <c r="X8" i="5"/>
  <c r="X13" i="5"/>
  <c r="X19" i="5"/>
  <c r="X15" i="5"/>
  <c r="X11" i="5"/>
  <c r="X7" i="5"/>
  <c r="X9" i="5"/>
  <c r="X18" i="5"/>
  <c r="X14" i="5"/>
  <c r="X10" i="5"/>
  <c r="V13" i="5"/>
  <c r="V17" i="5"/>
  <c r="V9" i="5"/>
  <c r="V7" i="5"/>
  <c r="V11" i="5"/>
  <c r="V15" i="5"/>
  <c r="V19" i="5"/>
  <c r="V8" i="5"/>
  <c r="V12" i="5"/>
  <c r="V16" i="5"/>
  <c r="V20" i="5"/>
  <c r="V10" i="5"/>
  <c r="V14" i="5"/>
  <c r="V18" i="5"/>
  <c r="CN18" i="4"/>
  <c r="CN21" i="4"/>
  <c r="CN45" i="4"/>
  <c r="CN64" i="4"/>
  <c r="CN113" i="4"/>
  <c r="CN115" i="4"/>
  <c r="CN119" i="4"/>
  <c r="CN42" i="4"/>
  <c r="CN75" i="4"/>
  <c r="CN92" i="4"/>
  <c r="CN146" i="4"/>
  <c r="CN141" i="4"/>
  <c r="CN20" i="4"/>
  <c r="CN51" i="4"/>
  <c r="CN85" i="4"/>
  <c r="CN128" i="4"/>
  <c r="CN132" i="4"/>
  <c r="CN137" i="4"/>
  <c r="CN16" i="4"/>
  <c r="CN22" i="4"/>
  <c r="CN145" i="4"/>
  <c r="CN148" i="4"/>
  <c r="CN17" i="4"/>
  <c r="CN44" i="4"/>
  <c r="CN71" i="4"/>
  <c r="CN84" i="4"/>
  <c r="CN125" i="4"/>
  <c r="CN127" i="4"/>
  <c r="CN151" i="4"/>
  <c r="CN89" i="4"/>
  <c r="CN121" i="4"/>
  <c r="CN35" i="4"/>
  <c r="CN38" i="4"/>
  <c r="CN60" i="4"/>
  <c r="CN77" i="4"/>
  <c r="CN81" i="4"/>
  <c r="CN82" i="4"/>
  <c r="CN95" i="4"/>
  <c r="CN99" i="4"/>
  <c r="CN116" i="4"/>
  <c r="CN129" i="4"/>
  <c r="CN135" i="4"/>
  <c r="CN136" i="4"/>
  <c r="CN140" i="4"/>
  <c r="CN152" i="4"/>
  <c r="CN27" i="4"/>
  <c r="CN30" i="4"/>
  <c r="CN39" i="4"/>
  <c r="CN47" i="4"/>
  <c r="CN54" i="4"/>
  <c r="CN59" i="4"/>
  <c r="CN80" i="4"/>
  <c r="CN93" i="4"/>
  <c r="CN94" i="4"/>
  <c r="CN98" i="4"/>
  <c r="CN102" i="4"/>
  <c r="CN107" i="4"/>
  <c r="CN114" i="4"/>
  <c r="CN142" i="4"/>
  <c r="CN149" i="4"/>
  <c r="CN14" i="4"/>
  <c r="CN58" i="4"/>
  <c r="CN74" i="4"/>
  <c r="CN108" i="4"/>
  <c r="CN144" i="4"/>
  <c r="CN147" i="4"/>
  <c r="CN28" i="4"/>
  <c r="CN48" i="4"/>
  <c r="CN83" i="4"/>
  <c r="CN88" i="4"/>
  <c r="CN117" i="4"/>
  <c r="CN24" i="4"/>
  <c r="CN26" i="4"/>
  <c r="CN31" i="4"/>
  <c r="CN32" i="4"/>
  <c r="CN36" i="4"/>
  <c r="CN52" i="4"/>
  <c r="CN57" i="4"/>
  <c r="CN61" i="4"/>
  <c r="CN62" i="4"/>
  <c r="CN67" i="4"/>
  <c r="CN68" i="4"/>
  <c r="CN72" i="4"/>
  <c r="CN104" i="4"/>
  <c r="CN106" i="4"/>
  <c r="CN111" i="4"/>
  <c r="CN112" i="4"/>
  <c r="CN120" i="4"/>
  <c r="CN124" i="4"/>
  <c r="CN131" i="4"/>
  <c r="CN138" i="4"/>
  <c r="CN143" i="4"/>
  <c r="CN118" i="4"/>
  <c r="CN122" i="4"/>
  <c r="CN126" i="4"/>
  <c r="CN130" i="4"/>
  <c r="CN139" i="4"/>
  <c r="CN133" i="4"/>
  <c r="CN110" i="4"/>
  <c r="CN109" i="4"/>
  <c r="CN103" i="4"/>
  <c r="CN105" i="4"/>
  <c r="CN96" i="4"/>
  <c r="CN101" i="4"/>
  <c r="CN100" i="4"/>
  <c r="CN97" i="4"/>
  <c r="CR86" i="4"/>
  <c r="CN86" i="4"/>
  <c r="CN91" i="4"/>
  <c r="CN90" i="4"/>
  <c r="CN87" i="4"/>
  <c r="CN78" i="4"/>
  <c r="CN73" i="4"/>
  <c r="CN79" i="4"/>
  <c r="CN76" i="4"/>
  <c r="CN63" i="4"/>
  <c r="CN65" i="4"/>
  <c r="CN70" i="4"/>
  <c r="CN69" i="4"/>
  <c r="CN66" i="4"/>
  <c r="CN53" i="4"/>
  <c r="CN55" i="4"/>
  <c r="CN56" i="4"/>
  <c r="CN49" i="4"/>
  <c r="CN43" i="4"/>
  <c r="CN46" i="4"/>
  <c r="CN50" i="4"/>
  <c r="CN34" i="4"/>
  <c r="CN41" i="4"/>
  <c r="CN40" i="4"/>
  <c r="CN37" i="4"/>
  <c r="CN29" i="4"/>
  <c r="CN23" i="4"/>
  <c r="CN25" i="4"/>
  <c r="CN19" i="4"/>
  <c r="CN15" i="4"/>
  <c r="G92" i="6" l="1"/>
  <c r="H92" i="6"/>
  <c r="F92" i="6"/>
  <c r="G95" i="6"/>
  <c r="H95" i="6"/>
  <c r="F95" i="6"/>
  <c r="F98" i="6"/>
  <c r="H98" i="6"/>
  <c r="G98" i="6"/>
  <c r="F93" i="6"/>
  <c r="G93" i="6"/>
  <c r="H93" i="6"/>
  <c r="F99" i="6"/>
  <c r="G99" i="6"/>
  <c r="H99" i="6"/>
  <c r="G90" i="6"/>
  <c r="H90" i="6"/>
  <c r="F90" i="6"/>
  <c r="G91" i="6"/>
  <c r="F91" i="6"/>
  <c r="H91" i="6"/>
  <c r="H96" i="6"/>
  <c r="F96" i="6"/>
  <c r="G96" i="6"/>
  <c r="H94" i="6"/>
  <c r="G94" i="6"/>
  <c r="F94" i="6"/>
  <c r="H97" i="6"/>
  <c r="F97" i="6"/>
  <c r="G97" i="6"/>
  <c r="AG93" i="4"/>
  <c r="AH93" i="4"/>
  <c r="AI95" i="4"/>
  <c r="K57" i="3"/>
  <c r="CD93" i="4"/>
  <c r="K75" i="3"/>
  <c r="AH123" i="4"/>
  <c r="AG123" i="4"/>
  <c r="AH23" i="4"/>
  <c r="K15" i="3"/>
  <c r="F55" i="6"/>
  <c r="H55" i="6"/>
  <c r="G55" i="6"/>
  <c r="F62" i="6"/>
  <c r="G62" i="6"/>
  <c r="H62" i="6"/>
  <c r="F52" i="6"/>
  <c r="G52" i="6"/>
  <c r="H52" i="6"/>
  <c r="H40" i="6"/>
  <c r="F40" i="6"/>
  <c r="G40" i="6"/>
  <c r="F68" i="6"/>
  <c r="G68" i="6"/>
  <c r="H68" i="6"/>
  <c r="G49" i="6"/>
  <c r="H49" i="6"/>
  <c r="F49" i="6"/>
  <c r="H89" i="6"/>
  <c r="F89" i="6"/>
  <c r="G89" i="6"/>
  <c r="F76" i="6"/>
  <c r="G76" i="6"/>
  <c r="H76" i="6"/>
  <c r="F60" i="6"/>
  <c r="G60" i="6"/>
  <c r="H60" i="6"/>
  <c r="F59" i="6"/>
  <c r="H59" i="6"/>
  <c r="G59" i="6"/>
  <c r="G79" i="6"/>
  <c r="F79" i="6"/>
  <c r="H79" i="6"/>
  <c r="F82" i="6"/>
  <c r="G82" i="6"/>
  <c r="H82" i="6"/>
  <c r="F71" i="6"/>
  <c r="H71" i="6"/>
  <c r="G71" i="6"/>
  <c r="F72" i="6"/>
  <c r="G72" i="6"/>
  <c r="H72" i="6"/>
  <c r="F81" i="6"/>
  <c r="H81" i="6"/>
  <c r="G81" i="6"/>
  <c r="F78" i="6"/>
  <c r="G78" i="6"/>
  <c r="H78" i="6"/>
  <c r="F35" i="6"/>
  <c r="F65" i="6"/>
  <c r="G65" i="6"/>
  <c r="H65" i="6"/>
  <c r="F70" i="6"/>
  <c r="G70" i="6"/>
  <c r="H70" i="6"/>
  <c r="F84" i="6"/>
  <c r="G84" i="6"/>
  <c r="H84" i="6"/>
  <c r="J84" i="6" s="1"/>
  <c r="F47" i="6"/>
  <c r="G83" i="6"/>
  <c r="F83" i="6"/>
  <c r="H83" i="6"/>
  <c r="J83" i="6" s="1"/>
  <c r="F50" i="6"/>
  <c r="G50" i="6"/>
  <c r="H50" i="6"/>
  <c r="F41" i="6"/>
  <c r="F39" i="6"/>
  <c r="F75" i="6"/>
  <c r="H75" i="6"/>
  <c r="G75" i="6"/>
  <c r="F42" i="6"/>
  <c r="G69" i="6"/>
  <c r="H69" i="6"/>
  <c r="F69" i="6"/>
  <c r="G85" i="6"/>
  <c r="H85" i="6"/>
  <c r="J85" i="6" s="1"/>
  <c r="F85" i="6"/>
  <c r="F46" i="6"/>
  <c r="F80" i="6"/>
  <c r="H80" i="6"/>
  <c r="G80" i="6"/>
  <c r="H61" i="6"/>
  <c r="F61" i="6"/>
  <c r="G61" i="6"/>
  <c r="F54" i="6"/>
  <c r="G54" i="6"/>
  <c r="H54" i="6"/>
  <c r="H77" i="6"/>
  <c r="G77" i="6"/>
  <c r="F77" i="6"/>
  <c r="G67" i="6"/>
  <c r="F67" i="6"/>
  <c r="H67" i="6"/>
  <c r="G57" i="6"/>
  <c r="F57" i="6"/>
  <c r="H57" i="6"/>
  <c r="H88" i="6"/>
  <c r="F88" i="6"/>
  <c r="G88" i="6"/>
  <c r="F45" i="6"/>
  <c r="F74" i="6"/>
  <c r="G74" i="6"/>
  <c r="H74" i="6"/>
  <c r="G87" i="6"/>
  <c r="H87" i="6"/>
  <c r="F87" i="6"/>
  <c r="F58" i="6"/>
  <c r="G58" i="6"/>
  <c r="H58" i="6"/>
  <c r="F44" i="6"/>
  <c r="G51" i="6"/>
  <c r="F51" i="6"/>
  <c r="H51" i="6"/>
  <c r="F64" i="6"/>
  <c r="H64" i="6"/>
  <c r="G64" i="6"/>
  <c r="G53" i="6"/>
  <c r="H53" i="6"/>
  <c r="F53" i="6"/>
  <c r="F86" i="6"/>
  <c r="G86" i="6"/>
  <c r="H86" i="6"/>
  <c r="F43" i="6"/>
  <c r="H48" i="6"/>
  <c r="F48" i="6"/>
  <c r="G48" i="6"/>
  <c r="G73" i="6"/>
  <c r="F73" i="6"/>
  <c r="H73" i="6"/>
  <c r="G63" i="6"/>
  <c r="F63" i="6"/>
  <c r="H63" i="6"/>
  <c r="F56" i="6"/>
  <c r="G56" i="6"/>
  <c r="H56" i="6"/>
  <c r="F66" i="6"/>
  <c r="G66" i="6"/>
  <c r="H66" i="6"/>
  <c r="E36" i="6"/>
  <c r="E34" i="6"/>
  <c r="E37" i="6"/>
  <c r="E38" i="6"/>
  <c r="CO43" i="4"/>
  <c r="AK43" i="4" s="1"/>
  <c r="CR53" i="4"/>
  <c r="CR127" i="4"/>
  <c r="CR79" i="4"/>
  <c r="CR102" i="4"/>
  <c r="CR91" i="4"/>
  <c r="CR27" i="4"/>
  <c r="CR21" i="4"/>
  <c r="CR73" i="4"/>
  <c r="CR139" i="4"/>
  <c r="CR77" i="4"/>
  <c r="CR36" i="4"/>
  <c r="CR22" i="4"/>
  <c r="CR40" i="4"/>
  <c r="CR56" i="4"/>
  <c r="CR82" i="4"/>
  <c r="CR140" i="4"/>
  <c r="CR19" i="4"/>
  <c r="CR66" i="4"/>
  <c r="CR141" i="4"/>
  <c r="CR150" i="4"/>
  <c r="CR136" i="4"/>
  <c r="CR120" i="4"/>
  <c r="CR51" i="4"/>
  <c r="CR59" i="4"/>
  <c r="CR13" i="4"/>
  <c r="CR41" i="4"/>
  <c r="CR54" i="4"/>
  <c r="CR90" i="4"/>
  <c r="CR48" i="4"/>
  <c r="CR98" i="4"/>
  <c r="CR63" i="4"/>
  <c r="CR106" i="4"/>
  <c r="CR62" i="4"/>
  <c r="CR23" i="4"/>
  <c r="CR78" i="4"/>
  <c r="CR104" i="4"/>
  <c r="CR100" i="4"/>
  <c r="CR92" i="4"/>
  <c r="CR20" i="4"/>
  <c r="CR110" i="4"/>
  <c r="CR72" i="4"/>
  <c r="CR50" i="4"/>
  <c r="CR109" i="4"/>
  <c r="CR121" i="4"/>
  <c r="CR30" i="4"/>
  <c r="CR101" i="4"/>
  <c r="CR57" i="4"/>
  <c r="CR99" i="4"/>
  <c r="CR71" i="4"/>
  <c r="CR25" i="4"/>
  <c r="CR69" i="4"/>
  <c r="CR89" i="4"/>
  <c r="CR76" i="4"/>
  <c r="CR146" i="4"/>
  <c r="CR128" i="4"/>
  <c r="CR114" i="4"/>
  <c r="CR111" i="4"/>
  <c r="CR97" i="4"/>
  <c r="CR143" i="4"/>
  <c r="CR129" i="4"/>
  <c r="CR112" i="4"/>
  <c r="CR96" i="4"/>
  <c r="CR80" i="4"/>
  <c r="CR117" i="4"/>
  <c r="CR142" i="4"/>
  <c r="CR64" i="4"/>
  <c r="CR34" i="4"/>
  <c r="CR74" i="4"/>
  <c r="CR132" i="4"/>
  <c r="CR18" i="4"/>
  <c r="CR118" i="4"/>
  <c r="CR38" i="4"/>
  <c r="CR108" i="4"/>
  <c r="CR70" i="4"/>
  <c r="CR49" i="4"/>
  <c r="CR151" i="4"/>
  <c r="CR81" i="4"/>
  <c r="CR29" i="4"/>
  <c r="CR149" i="4"/>
  <c r="CR122" i="4"/>
  <c r="CR28" i="4"/>
  <c r="CR42" i="4"/>
  <c r="CR32" i="4"/>
  <c r="CR137" i="4"/>
  <c r="CR16" i="4"/>
  <c r="CR144" i="4"/>
  <c r="CR131" i="4"/>
  <c r="CR138" i="4"/>
  <c r="CO143" i="4"/>
  <c r="AK143" i="4" s="1"/>
  <c r="CR147" i="4"/>
  <c r="CR134" i="4"/>
  <c r="CR124" i="4"/>
  <c r="CR93" i="4"/>
  <c r="CR68" i="4"/>
  <c r="CR47" i="4"/>
  <c r="CR44" i="4"/>
  <c r="CR33" i="4"/>
  <c r="CR14" i="4"/>
  <c r="CR84" i="4"/>
  <c r="CR83" i="4"/>
  <c r="CR119" i="4"/>
  <c r="CR43" i="4"/>
  <c r="CR61" i="4"/>
  <c r="CR67" i="4"/>
  <c r="CR88" i="4"/>
  <c r="CR116" i="4"/>
  <c r="CR31" i="4"/>
  <c r="CR52" i="4"/>
  <c r="CR60" i="4"/>
  <c r="CD30" i="4"/>
  <c r="CD32" i="4"/>
  <c r="CD29" i="4"/>
  <c r="CD31" i="4"/>
  <c r="CR113" i="4"/>
  <c r="CO33" i="4"/>
  <c r="AK33" i="4" s="1"/>
  <c r="AF35" i="4"/>
  <c r="K22" i="3" s="1"/>
  <c r="CR107" i="4"/>
  <c r="CR103" i="4"/>
  <c r="CR24" i="4"/>
  <c r="CO93" i="4"/>
  <c r="AK93" i="4" s="1"/>
  <c r="CO103" i="4"/>
  <c r="AK103" i="4" s="1"/>
  <c r="CO133" i="4"/>
  <c r="AK133" i="4" s="1"/>
  <c r="CO123" i="4"/>
  <c r="AK123" i="4" s="1"/>
  <c r="CO113" i="4"/>
  <c r="AK113" i="4" s="1"/>
  <c r="CO83" i="4"/>
  <c r="AK83" i="4" s="1"/>
  <c r="CR152" i="4"/>
  <c r="CR148" i="4"/>
  <c r="CR133" i="4"/>
  <c r="CR130" i="4"/>
  <c r="CR126" i="4"/>
  <c r="CR123" i="4"/>
  <c r="CO73" i="4"/>
  <c r="AK73" i="4" s="1"/>
  <c r="CO63" i="4"/>
  <c r="AK63" i="4" s="1"/>
  <c r="CO53" i="4"/>
  <c r="AK53" i="4" s="1"/>
  <c r="CO23" i="4"/>
  <c r="AK23" i="4" s="1"/>
  <c r="CR15" i="4"/>
  <c r="CO13" i="4"/>
  <c r="AK13" i="4" s="1"/>
  <c r="J90" i="6" l="1"/>
  <c r="J63" i="5" s="1"/>
  <c r="I90" i="6"/>
  <c r="I99" i="6"/>
  <c r="J99" i="6"/>
  <c r="AR23" i="4"/>
  <c r="I96" i="6"/>
  <c r="J96" i="6"/>
  <c r="J91" i="6"/>
  <c r="I91" i="6"/>
  <c r="J93" i="6"/>
  <c r="I93" i="6"/>
  <c r="I94" i="6"/>
  <c r="J94" i="6"/>
  <c r="I98" i="6"/>
  <c r="J98" i="6"/>
  <c r="J95" i="6"/>
  <c r="I95" i="6"/>
  <c r="J97" i="6"/>
  <c r="I97" i="6"/>
  <c r="J92" i="6"/>
  <c r="I92" i="6"/>
  <c r="H38" i="6"/>
  <c r="G38" i="6"/>
  <c r="F38" i="6"/>
  <c r="F37" i="6"/>
  <c r="J87" i="6"/>
  <c r="J60" i="5" s="1"/>
  <c r="I87" i="6"/>
  <c r="I89" i="6"/>
  <c r="J89" i="6"/>
  <c r="F34" i="6"/>
  <c r="I86" i="6"/>
  <c r="J86" i="6"/>
  <c r="F36" i="6"/>
  <c r="J88" i="6"/>
  <c r="I88" i="6"/>
  <c r="AB87" i="6"/>
  <c r="X87" i="6"/>
  <c r="X88" i="6"/>
  <c r="AB88" i="6"/>
  <c r="CR35" i="4"/>
  <c r="AG33" i="4"/>
  <c r="AH33" i="4"/>
  <c r="I74" i="6"/>
  <c r="CD22" i="4"/>
  <c r="CR17" i="4"/>
  <c r="CD19" i="4"/>
  <c r="CD21" i="4"/>
  <c r="CD20" i="4"/>
  <c r="J61" i="5" l="1"/>
  <c r="Q61" i="5" s="1"/>
  <c r="T61" i="5" s="1"/>
  <c r="J62" i="5"/>
  <c r="Q62" i="5" s="1"/>
  <c r="T62" i="5" s="1"/>
  <c r="Q63" i="5"/>
  <c r="T63" i="5" s="1"/>
  <c r="I66" i="6"/>
  <c r="I84" i="6"/>
  <c r="I57" i="6"/>
  <c r="I73" i="6"/>
  <c r="I58" i="6"/>
  <c r="I64" i="6"/>
  <c r="I70" i="6"/>
  <c r="I55" i="6"/>
  <c r="I60" i="6"/>
  <c r="AB60" i="6"/>
  <c r="X60" i="6"/>
  <c r="AB85" i="6"/>
  <c r="X85" i="6"/>
  <c r="I69" i="6"/>
  <c r="I48" i="6"/>
  <c r="I76" i="6"/>
  <c r="I80" i="6"/>
  <c r="I49" i="6"/>
  <c r="I62" i="6"/>
  <c r="I83" i="6"/>
  <c r="I78" i="6"/>
  <c r="I67" i="6"/>
  <c r="I51" i="6"/>
  <c r="I53" i="6"/>
  <c r="I68" i="6"/>
  <c r="I72" i="6"/>
  <c r="I50" i="6"/>
  <c r="I71" i="6"/>
  <c r="I77" i="6"/>
  <c r="I81" i="6"/>
  <c r="I54" i="6"/>
  <c r="I52" i="6"/>
  <c r="I56" i="6"/>
  <c r="I75" i="6"/>
  <c r="I82" i="6"/>
  <c r="I61" i="6"/>
  <c r="I79" i="6"/>
  <c r="I63" i="6"/>
  <c r="I59" i="6"/>
  <c r="J58" i="5"/>
  <c r="I85" i="6"/>
  <c r="CD39" i="4"/>
  <c r="CD41" i="4"/>
  <c r="CD42" i="4"/>
  <c r="CD40" i="4"/>
  <c r="AF55" i="4"/>
  <c r="K35" i="3" s="1"/>
  <c r="Q58" i="5" l="1"/>
  <c r="T58" i="5" s="1"/>
  <c r="I65" i="6"/>
  <c r="AG53" i="4"/>
  <c r="AH53" i="4"/>
  <c r="CD49" i="4"/>
  <c r="CR45" i="4"/>
  <c r="CD50" i="4"/>
  <c r="CD52" i="4"/>
  <c r="CD48" i="4"/>
  <c r="CD51" i="4"/>
  <c r="CD46" i="4"/>
  <c r="CD59" i="4" l="1"/>
  <c r="CD60" i="4"/>
  <c r="CD61" i="4"/>
  <c r="CD62" i="4"/>
  <c r="CR55" i="4"/>
  <c r="CD69" i="4" l="1"/>
  <c r="CD71" i="4"/>
  <c r="CD70" i="4"/>
  <c r="CD72" i="4"/>
  <c r="CR65" i="4"/>
  <c r="CD82" i="4" l="1"/>
  <c r="CD80" i="4"/>
  <c r="CD79" i="4"/>
  <c r="CD81" i="4"/>
  <c r="CD92" i="4" l="1"/>
  <c r="CD91" i="4"/>
  <c r="CR85" i="4"/>
  <c r="CD90" i="4"/>
  <c r="CD89" i="4"/>
  <c r="CD101" i="4" l="1"/>
  <c r="CD100" i="4"/>
  <c r="CR95" i="4"/>
  <c r="CD99" i="4"/>
  <c r="CD102" i="4"/>
  <c r="CD97" i="4"/>
  <c r="CD98" i="4"/>
  <c r="CD110" i="4" l="1"/>
  <c r="CD112" i="4"/>
  <c r="CR105" i="4"/>
  <c r="CD108" i="4"/>
  <c r="CD109" i="4"/>
  <c r="CD111" i="4"/>
  <c r="CD119" i="4" l="1"/>
  <c r="CD118" i="4"/>
  <c r="CD122" i="4"/>
  <c r="CD120" i="4"/>
  <c r="CD121" i="4"/>
  <c r="CD131" i="4" l="1"/>
  <c r="CD132" i="4"/>
  <c r="CD130" i="4"/>
  <c r="CR125" i="4"/>
  <c r="CD129" i="4"/>
  <c r="CR135" i="4" l="1"/>
  <c r="CD139" i="4"/>
  <c r="CD141" i="4"/>
  <c r="CD140" i="4"/>
  <c r="CD142" i="4"/>
  <c r="CD152" i="4" l="1"/>
  <c r="CD151" i="4"/>
  <c r="CD150" i="4"/>
  <c r="CD149" i="4"/>
  <c r="CR145" i="4"/>
  <c r="O92" i="3" l="1"/>
  <c r="P92" i="3" s="1"/>
  <c r="M92" i="3"/>
  <c r="O91" i="3"/>
  <c r="P91" i="3" s="1"/>
  <c r="M91" i="3"/>
  <c r="O90" i="3"/>
  <c r="P90" i="3" s="1"/>
  <c r="M90" i="3"/>
  <c r="O68" i="3"/>
  <c r="P68" i="3" s="1"/>
  <c r="M68" i="3"/>
  <c r="O67" i="3"/>
  <c r="P67" i="3" s="1"/>
  <c r="M67" i="3"/>
  <c r="O66" i="3"/>
  <c r="P66" i="3" s="1"/>
  <c r="M66" i="3"/>
  <c r="O62" i="3"/>
  <c r="P62" i="3" s="1"/>
  <c r="M62" i="3"/>
  <c r="O61" i="3"/>
  <c r="P61" i="3" s="1"/>
  <c r="M61" i="3"/>
  <c r="O60" i="3"/>
  <c r="P60" i="3" s="1"/>
  <c r="M60" i="3"/>
  <c r="O56" i="3"/>
  <c r="P56" i="3" s="1"/>
  <c r="M56" i="3"/>
  <c r="O55" i="3"/>
  <c r="P55" i="3" s="1"/>
  <c r="M55" i="3"/>
  <c r="O54" i="3"/>
  <c r="P54" i="3" s="1"/>
  <c r="M54" i="3"/>
  <c r="O50" i="3"/>
  <c r="P50" i="3" s="1"/>
  <c r="M50" i="3"/>
  <c r="O49" i="3"/>
  <c r="P49" i="3" s="1"/>
  <c r="M49" i="3"/>
  <c r="O48" i="3"/>
  <c r="P48" i="3" s="1"/>
  <c r="M48" i="3"/>
  <c r="O44" i="3"/>
  <c r="P44" i="3" s="1"/>
  <c r="M44" i="3"/>
  <c r="O43" i="3"/>
  <c r="P43" i="3" s="1"/>
  <c r="M43" i="3"/>
  <c r="O42" i="3"/>
  <c r="P42" i="3" s="1"/>
  <c r="M42" i="3"/>
  <c r="O38" i="3"/>
  <c r="P38" i="3" s="1"/>
  <c r="M38" i="3"/>
  <c r="O32" i="3"/>
  <c r="P32" i="3" s="1"/>
  <c r="M32" i="3"/>
  <c r="O31" i="3"/>
  <c r="P31" i="3" s="1"/>
  <c r="M31" i="3"/>
  <c r="O30" i="3"/>
  <c r="P30" i="3" s="1"/>
  <c r="M30" i="3"/>
  <c r="O26" i="3"/>
  <c r="P26" i="3" s="1"/>
  <c r="M26" i="3"/>
  <c r="O25" i="3"/>
  <c r="P25" i="3" s="1"/>
  <c r="M25" i="3"/>
  <c r="O24" i="3"/>
  <c r="P24" i="3" s="1"/>
  <c r="M24" i="3"/>
  <c r="O20" i="3"/>
  <c r="P20" i="3" s="1"/>
  <c r="M20" i="3"/>
  <c r="O19" i="3"/>
  <c r="P19" i="3" s="1"/>
  <c r="M19" i="3"/>
  <c r="O18" i="3"/>
  <c r="P18" i="3" s="1"/>
  <c r="M18" i="3"/>
  <c r="O14" i="3"/>
  <c r="P14" i="3" s="1"/>
  <c r="M14" i="3"/>
  <c r="O13" i="3"/>
  <c r="P13" i="3" s="1"/>
  <c r="M13" i="3"/>
  <c r="O12" i="3"/>
  <c r="P12" i="3" s="1"/>
  <c r="M12" i="3"/>
  <c r="O8" i="3"/>
  <c r="P8" i="3" s="1"/>
  <c r="O7" i="3"/>
  <c r="P7" i="3" s="1"/>
  <c r="O6" i="3"/>
  <c r="P6" i="3" s="1"/>
  <c r="X6" i="5" l="1"/>
  <c r="V6" i="5"/>
  <c r="M6" i="3" l="1"/>
  <c r="M7" i="3"/>
  <c r="M8" i="3"/>
  <c r="J3" i="6" l="1"/>
  <c r="I6" i="6" l="1"/>
  <c r="E29" i="6" s="1"/>
  <c r="CE5" i="4" l="1"/>
  <c r="CF5" i="4" s="1"/>
  <c r="CE9" i="4"/>
  <c r="CF9" i="4" s="1"/>
  <c r="CE8" i="4"/>
  <c r="CF8" i="4" s="1"/>
  <c r="CE12" i="4"/>
  <c r="CF12" i="4" s="1"/>
  <c r="CE11" i="4"/>
  <c r="CF11" i="4" s="1"/>
  <c r="CE10" i="4"/>
  <c r="CF10" i="4" s="1"/>
  <c r="CE7" i="4"/>
  <c r="CF7" i="4" s="1"/>
  <c r="CE6" i="4"/>
  <c r="CF6" i="4" s="1"/>
  <c r="CE4" i="4"/>
  <c r="CF4" i="4" s="1"/>
  <c r="AC12" i="4"/>
  <c r="AC11" i="4"/>
  <c r="AC10" i="4"/>
  <c r="AC9" i="4"/>
  <c r="U12" i="4"/>
  <c r="V12" i="4" s="1"/>
  <c r="U11" i="4"/>
  <c r="V11" i="4" s="1"/>
  <c r="U10" i="4"/>
  <c r="V10" i="4" s="1"/>
  <c r="U9" i="4"/>
  <c r="V9" i="4" s="1"/>
  <c r="U8" i="4"/>
  <c r="V8" i="4" s="1"/>
  <c r="U7" i="4"/>
  <c r="V7" i="4" s="1"/>
  <c r="AF7" i="4" s="1"/>
  <c r="U6" i="4"/>
  <c r="V6" i="4" s="1"/>
  <c r="AF6" i="4" s="1"/>
  <c r="K4" i="3" s="1"/>
  <c r="U5" i="4"/>
  <c r="V5" i="4" s="1"/>
  <c r="U4" i="4"/>
  <c r="V4" i="4" s="1"/>
  <c r="AF5" i="4"/>
  <c r="AF4" i="4"/>
  <c r="K3" i="3" s="1"/>
  <c r="P12" i="4"/>
  <c r="O12" i="4"/>
  <c r="CM12" i="4" s="1"/>
  <c r="N12" i="4"/>
  <c r="CL12" i="4" s="1"/>
  <c r="P11" i="4"/>
  <c r="O11" i="4"/>
  <c r="CM11" i="4" s="1"/>
  <c r="N11" i="4"/>
  <c r="CL11" i="4" s="1"/>
  <c r="P10" i="4"/>
  <c r="O10" i="4"/>
  <c r="CM10" i="4" s="1"/>
  <c r="N10" i="4"/>
  <c r="CL10" i="4" s="1"/>
  <c r="CM9" i="4"/>
  <c r="CL9" i="4"/>
  <c r="CM8" i="4"/>
  <c r="CL8" i="4"/>
  <c r="CM7" i="4"/>
  <c r="CL7" i="4"/>
  <c r="CM6" i="4"/>
  <c r="CL6" i="4"/>
  <c r="P5" i="4"/>
  <c r="O5" i="4"/>
  <c r="CM5" i="4" s="1"/>
  <c r="N5" i="4"/>
  <c r="CL5" i="4" s="1"/>
  <c r="P4" i="4"/>
  <c r="O4" i="4"/>
  <c r="CM4" i="4" s="1"/>
  <c r="N4" i="4"/>
  <c r="N6" i="1"/>
  <c r="N5" i="1"/>
  <c r="K5" i="3" l="1"/>
  <c r="AI7" i="4"/>
  <c r="AH3" i="4"/>
  <c r="CG6" i="4"/>
  <c r="CB5" i="4"/>
  <c r="CB4" i="4"/>
  <c r="CB3" i="4"/>
  <c r="CQ3" i="4" s="1"/>
  <c r="CL4" i="4"/>
  <c r="CN4" i="4" s="1"/>
  <c r="CN11" i="4"/>
  <c r="CN9" i="4"/>
  <c r="CN10" i="4"/>
  <c r="CN12" i="4"/>
  <c r="CN5" i="4"/>
  <c r="CN6" i="4"/>
  <c r="CN8" i="4"/>
  <c r="CN7" i="4"/>
  <c r="L6" i="1"/>
  <c r="E6" i="1"/>
  <c r="G6" i="1" s="1"/>
  <c r="I6" i="1" s="1"/>
  <c r="CO3" i="4" l="1"/>
  <c r="AK3" i="4" s="1"/>
  <c r="CR12" i="4"/>
  <c r="CR11" i="4"/>
  <c r="CR6" i="4"/>
  <c r="CR7" i="4"/>
  <c r="CR8" i="4"/>
  <c r="CD11" i="4"/>
  <c r="CD9" i="4"/>
  <c r="CD10" i="4"/>
  <c r="CD12" i="4"/>
  <c r="M5" i="1"/>
  <c r="O5" i="1"/>
  <c r="K6" i="1"/>
  <c r="M6" i="1"/>
  <c r="O6" i="1"/>
  <c r="CR5" i="4"/>
  <c r="CR9" i="4"/>
  <c r="CR10" i="4"/>
  <c r="CR4" i="4"/>
  <c r="L215" i="3" l="1"/>
  <c r="L112" i="3"/>
  <c r="M112" i="3" s="1"/>
  <c r="L209" i="3"/>
  <c r="L221" i="3"/>
  <c r="L222" i="3"/>
  <c r="M222" i="3" s="1"/>
  <c r="L119" i="3"/>
  <c r="M119" i="3" s="1"/>
  <c r="L131" i="3"/>
  <c r="L125" i="3"/>
  <c r="M125" i="3" s="1"/>
  <c r="L143" i="3"/>
  <c r="L148" i="3"/>
  <c r="M148" i="3" s="1"/>
  <c r="L154" i="3"/>
  <c r="M154" i="3" s="1"/>
  <c r="L173" i="3"/>
  <c r="M173" i="3" s="1"/>
  <c r="L107" i="3"/>
  <c r="M107" i="3" s="1"/>
  <c r="L142" i="3"/>
  <c r="M142" i="3" s="1"/>
  <c r="L245" i="3"/>
  <c r="M245" i="3" s="1"/>
  <c r="L190" i="3"/>
  <c r="M190" i="3" s="1"/>
  <c r="L167" i="3"/>
  <c r="L203" i="3"/>
  <c r="M203" i="3" s="1"/>
  <c r="L130" i="3"/>
  <c r="L179" i="3"/>
  <c r="M179" i="3" s="1"/>
  <c r="L232" i="3"/>
  <c r="L231" i="3"/>
  <c r="M231" i="3" s="1"/>
  <c r="L141" i="3"/>
  <c r="M141" i="3" s="1"/>
  <c r="L147" i="3"/>
  <c r="L111" i="3"/>
  <c r="M111" i="3" s="1"/>
  <c r="L129" i="3"/>
  <c r="M129" i="3" s="1"/>
  <c r="L153" i="3"/>
  <c r="M153" i="3" s="1"/>
  <c r="L83" i="3"/>
  <c r="O166" i="3"/>
  <c r="P166" i="3" s="1"/>
  <c r="O111" i="3"/>
  <c r="P111" i="3" s="1"/>
  <c r="O136" i="3"/>
  <c r="P136" i="3" s="1"/>
  <c r="O100" i="3"/>
  <c r="P100" i="3" s="1"/>
  <c r="O112" i="3"/>
  <c r="P112" i="3" s="1"/>
  <c r="O222" i="3"/>
  <c r="P222" i="3" s="1"/>
  <c r="O119" i="3"/>
  <c r="P119" i="3" s="1"/>
  <c r="O125" i="3"/>
  <c r="P125" i="3" s="1"/>
  <c r="O142" i="3"/>
  <c r="P142" i="3" s="1"/>
  <c r="O245" i="3"/>
  <c r="P245" i="3" s="1"/>
  <c r="O143" i="3"/>
  <c r="P143" i="3" s="1"/>
  <c r="O154" i="3"/>
  <c r="P154" i="3" s="1"/>
  <c r="O129" i="3"/>
  <c r="P129" i="3" s="1"/>
  <c r="O106" i="3"/>
  <c r="P106" i="3" s="1"/>
  <c r="O159" i="3"/>
  <c r="P159" i="3" s="1"/>
  <c r="O107" i="3"/>
  <c r="P107" i="3" s="1"/>
  <c r="O153" i="3"/>
  <c r="P153" i="3" s="1"/>
  <c r="O179" i="3"/>
  <c r="P179" i="3" s="1"/>
  <c r="O148" i="3"/>
  <c r="P148" i="3" s="1"/>
  <c r="O190" i="3"/>
  <c r="P190" i="3" s="1"/>
  <c r="O231" i="3"/>
  <c r="P231" i="3" s="1"/>
  <c r="O71" i="3"/>
  <c r="P71" i="3" s="1"/>
  <c r="O83" i="3"/>
  <c r="P83" i="3" s="1"/>
  <c r="O37" i="3"/>
  <c r="P37" i="3" s="1"/>
  <c r="O36" i="3"/>
  <c r="P36" i="3" s="1"/>
  <c r="L172" i="3"/>
  <c r="M172" i="3" s="1"/>
  <c r="L189" i="3"/>
  <c r="M189" i="3" s="1"/>
  <c r="L183" i="3"/>
  <c r="M183" i="3" s="1"/>
  <c r="L196" i="3"/>
  <c r="M196" i="3" s="1"/>
  <c r="L137" i="3"/>
  <c r="M137" i="3" s="1"/>
  <c r="L118" i="3"/>
  <c r="M118" i="3" s="1"/>
  <c r="L159" i="3"/>
  <c r="M159" i="3" s="1"/>
  <c r="L273" i="3"/>
  <c r="M273" i="3" s="1"/>
  <c r="L100" i="3"/>
  <c r="M100" i="3" s="1"/>
  <c r="L269" i="3"/>
  <c r="M269" i="3" s="1"/>
  <c r="L267" i="3"/>
  <c r="M267" i="3" s="1"/>
  <c r="L279" i="3"/>
  <c r="M279" i="3" s="1"/>
  <c r="L291" i="3"/>
  <c r="M291" i="3" s="1"/>
  <c r="L280" i="3"/>
  <c r="M280" i="3" s="1"/>
  <c r="L220" i="3"/>
  <c r="M220" i="3" s="1"/>
  <c r="L213" i="3"/>
  <c r="M213" i="3" s="1"/>
  <c r="L94" i="3"/>
  <c r="M94" i="3" s="1"/>
  <c r="L95" i="3"/>
  <c r="M95" i="3" s="1"/>
  <c r="L96" i="3"/>
  <c r="M96" i="3" s="1"/>
  <c r="L293" i="3"/>
  <c r="M293" i="3" s="1"/>
  <c r="L328" i="3"/>
  <c r="M328" i="3" s="1"/>
  <c r="L268" i="3"/>
  <c r="M268" i="3" s="1"/>
  <c r="L305" i="3"/>
  <c r="M305" i="3" s="1"/>
  <c r="L106" i="3"/>
  <c r="M106" i="3" s="1"/>
  <c r="L166" i="3"/>
  <c r="M166" i="3" s="1"/>
  <c r="L202" i="3"/>
  <c r="M202" i="3" s="1"/>
  <c r="L178" i="3"/>
  <c r="M178" i="3" s="1"/>
  <c r="L299" i="3"/>
  <c r="M299" i="3" s="1"/>
  <c r="L226" i="3"/>
  <c r="M226" i="3" s="1"/>
  <c r="L239" i="3"/>
  <c r="M239" i="3" s="1"/>
  <c r="L123" i="3"/>
  <c r="M123" i="3" s="1"/>
  <c r="L292" i="3"/>
  <c r="M292" i="3" s="1"/>
  <c r="L124" i="3"/>
  <c r="M124" i="3" s="1"/>
  <c r="L297" i="3"/>
  <c r="M297" i="3" s="1"/>
  <c r="L136" i="3"/>
  <c r="M136" i="3" s="1"/>
  <c r="L184" i="3"/>
  <c r="M184" i="3" s="1"/>
  <c r="L244" i="3"/>
  <c r="M244" i="3" s="1"/>
  <c r="L327" i="3"/>
  <c r="M327" i="3" s="1"/>
  <c r="L135" i="3"/>
  <c r="M135" i="3" s="1"/>
  <c r="L160" i="3"/>
  <c r="M160" i="3" s="1"/>
  <c r="L237" i="3"/>
  <c r="M237" i="3" s="1"/>
  <c r="L195" i="3"/>
  <c r="M195" i="3" s="1"/>
  <c r="L262" i="3"/>
  <c r="L225" i="3"/>
  <c r="M225" i="3" s="1"/>
  <c r="L208" i="3"/>
  <c r="L238" i="3"/>
  <c r="L93" i="3"/>
  <c r="M93" i="3" s="1"/>
  <c r="L261" i="3"/>
  <c r="M261" i="3" s="1"/>
  <c r="L105" i="3"/>
  <c r="M105" i="3" s="1"/>
  <c r="L177" i="3"/>
  <c r="M177" i="3" s="1"/>
  <c r="L171" i="3"/>
  <c r="M171" i="3" s="1"/>
  <c r="L303" i="3"/>
  <c r="M303" i="3" s="1"/>
  <c r="L201" i="3"/>
  <c r="M201" i="3" s="1"/>
  <c r="L219" i="3"/>
  <c r="L285" i="3"/>
  <c r="M285" i="3" s="1"/>
  <c r="L274" i="3"/>
  <c r="L304" i="3"/>
  <c r="M304" i="3" s="1"/>
  <c r="L298" i="3"/>
  <c r="M298" i="3" s="1"/>
  <c r="L99" i="3"/>
  <c r="M99" i="3" s="1"/>
  <c r="L165" i="3"/>
  <c r="M165" i="3" s="1"/>
  <c r="L207" i="3"/>
  <c r="M207" i="3" s="1"/>
  <c r="L214" i="3"/>
  <c r="M214" i="3" s="1"/>
  <c r="L281" i="3"/>
  <c r="L243" i="3"/>
  <c r="M243" i="3" s="1"/>
  <c r="L191" i="3"/>
  <c r="M191" i="3" s="1"/>
  <c r="L185" i="3"/>
  <c r="L117" i="3"/>
  <c r="M117" i="3" s="1"/>
  <c r="L255" i="3"/>
  <c r="M255" i="3" s="1"/>
  <c r="L71" i="3"/>
  <c r="L77" i="3"/>
  <c r="M77" i="3" s="1"/>
  <c r="L70" i="3"/>
  <c r="M70" i="3" s="1"/>
  <c r="O293" i="3"/>
  <c r="P293" i="3" s="1"/>
  <c r="O273" i="3"/>
  <c r="P273" i="3" s="1"/>
  <c r="O328" i="3"/>
  <c r="P328" i="3" s="1"/>
  <c r="O94" i="3"/>
  <c r="P94" i="3" s="1"/>
  <c r="O95" i="3"/>
  <c r="P95" i="3" s="1"/>
  <c r="O172" i="3"/>
  <c r="P172" i="3" s="1"/>
  <c r="O189" i="3"/>
  <c r="P189" i="3" s="1"/>
  <c r="O183" i="3"/>
  <c r="P183" i="3" s="1"/>
  <c r="O196" i="3"/>
  <c r="P196" i="3" s="1"/>
  <c r="O137" i="3"/>
  <c r="P137" i="3" s="1"/>
  <c r="O118" i="3"/>
  <c r="P118" i="3" s="1"/>
  <c r="O269" i="3"/>
  <c r="P269" i="3" s="1"/>
  <c r="O267" i="3"/>
  <c r="P267" i="3" s="1"/>
  <c r="O279" i="3"/>
  <c r="P279" i="3" s="1"/>
  <c r="O220" i="3"/>
  <c r="P220" i="3" s="1"/>
  <c r="O213" i="3"/>
  <c r="P213" i="3" s="1"/>
  <c r="O96" i="3"/>
  <c r="P96" i="3" s="1"/>
  <c r="O261" i="3"/>
  <c r="P261" i="3" s="1"/>
  <c r="O292" i="3"/>
  <c r="P292" i="3" s="1"/>
  <c r="O239" i="3"/>
  <c r="P239" i="3" s="1"/>
  <c r="O226" i="3"/>
  <c r="P226" i="3" s="1"/>
  <c r="O237" i="3"/>
  <c r="P237" i="3" s="1"/>
  <c r="O195" i="3"/>
  <c r="P195" i="3" s="1"/>
  <c r="O177" i="3"/>
  <c r="P177" i="3" s="1"/>
  <c r="O165" i="3"/>
  <c r="P165" i="3" s="1"/>
  <c r="O99" i="3"/>
  <c r="P99" i="3" s="1"/>
  <c r="O268" i="3"/>
  <c r="P268" i="3" s="1"/>
  <c r="O208" i="3"/>
  <c r="P208" i="3" s="1"/>
  <c r="O105" i="3"/>
  <c r="P105" i="3" s="1"/>
  <c r="O202" i="3"/>
  <c r="P202" i="3" s="1"/>
  <c r="O171" i="3"/>
  <c r="P171" i="3" s="1"/>
  <c r="O214" i="3"/>
  <c r="P214" i="3" s="1"/>
  <c r="O160" i="3"/>
  <c r="P160" i="3" s="1"/>
  <c r="O255" i="3"/>
  <c r="P255" i="3" s="1"/>
  <c r="O93" i="3"/>
  <c r="P93" i="3" s="1"/>
  <c r="O185" i="3"/>
  <c r="P185" i="3" s="1"/>
  <c r="O117" i="3"/>
  <c r="P117" i="3" s="1"/>
  <c r="O238" i="3"/>
  <c r="P238" i="3" s="1"/>
  <c r="O304" i="3"/>
  <c r="P304" i="3" s="1"/>
  <c r="O219" i="3"/>
  <c r="P219" i="3" s="1"/>
  <c r="O201" i="3"/>
  <c r="P201" i="3" s="1"/>
  <c r="O184" i="3"/>
  <c r="P184" i="3" s="1"/>
  <c r="O207" i="3"/>
  <c r="P207" i="3" s="1"/>
  <c r="O135" i="3"/>
  <c r="P135" i="3" s="1"/>
  <c r="O327" i="3"/>
  <c r="P327" i="3" s="1"/>
  <c r="O123" i="3"/>
  <c r="P123" i="3" s="1"/>
  <c r="O191" i="3"/>
  <c r="P191" i="3" s="1"/>
  <c r="O225" i="3"/>
  <c r="P225" i="3" s="1"/>
  <c r="O178" i="3"/>
  <c r="P178" i="3" s="1"/>
  <c r="O244" i="3"/>
  <c r="P244" i="3" s="1"/>
  <c r="O243" i="3"/>
  <c r="P243" i="3" s="1"/>
  <c r="O285" i="3"/>
  <c r="P285" i="3" s="1"/>
  <c r="O298" i="3"/>
  <c r="P298" i="3" s="1"/>
  <c r="O77" i="3"/>
  <c r="P77" i="3" s="1"/>
  <c r="O70" i="3"/>
  <c r="P70" i="3" s="1"/>
  <c r="O81" i="3"/>
  <c r="P81" i="3" s="1"/>
  <c r="O75" i="3"/>
  <c r="P75" i="3" s="1"/>
  <c r="O82" i="3"/>
  <c r="P82" i="3" s="1"/>
  <c r="O76" i="3"/>
  <c r="P76" i="3" s="1"/>
  <c r="O69" i="3"/>
  <c r="P69" i="3" s="1"/>
  <c r="AI76" i="4"/>
  <c r="AI6" i="4"/>
  <c r="AI25" i="4"/>
  <c r="AI34" i="4"/>
  <c r="AI84" i="4"/>
  <c r="AI144" i="4"/>
  <c r="AI37" i="4"/>
  <c r="AI44" i="4"/>
  <c r="AI55" i="4"/>
  <c r="AI68" i="4"/>
  <c r="AI96" i="4"/>
  <c r="AI107" i="4"/>
  <c r="AI64" i="4"/>
  <c r="AI77" i="4"/>
  <c r="AI105" i="4"/>
  <c r="AI137" i="4"/>
  <c r="AI125" i="4"/>
  <c r="AI38" i="4"/>
  <c r="AI35" i="4"/>
  <c r="AI106" i="4"/>
  <c r="AI145" i="4"/>
  <c r="AI85" i="4"/>
  <c r="AI45" i="4"/>
  <c r="AI63" i="4"/>
  <c r="AI75" i="4"/>
  <c r="AI103" i="4"/>
  <c r="AI134" i="4"/>
  <c r="AI65" i="4"/>
  <c r="AI78" i="4"/>
  <c r="AI124" i="4"/>
  <c r="AI143" i="4"/>
  <c r="AI56" i="4"/>
  <c r="AI116" i="4"/>
  <c r="AI33" i="4"/>
  <c r="AI13" i="4"/>
  <c r="AI54" i="4"/>
  <c r="AI67" i="4"/>
  <c r="AI93" i="4"/>
  <c r="AI136" i="4"/>
  <c r="AI26" i="4"/>
  <c r="AI74" i="4"/>
  <c r="AI104" i="4"/>
  <c r="AI15" i="4"/>
  <c r="AI83" i="4"/>
  <c r="AI43" i="4"/>
  <c r="AI113" i="4"/>
  <c r="AI24" i="4"/>
  <c r="AI138" i="4"/>
  <c r="AI53" i="4"/>
  <c r="AI66" i="4"/>
  <c r="AI86" i="4"/>
  <c r="AI115" i="4"/>
  <c r="AI23" i="4"/>
  <c r="AI73" i="4"/>
  <c r="AI94" i="4"/>
  <c r="AI133" i="4"/>
  <c r="AI123" i="4"/>
  <c r="AI135" i="4"/>
  <c r="AI114" i="4"/>
  <c r="AI87" i="4"/>
  <c r="CD38" i="4"/>
  <c r="CD78" i="4"/>
  <c r="CD77" i="4"/>
  <c r="CD107" i="4"/>
  <c r="CD138" i="4"/>
  <c r="CD137" i="4"/>
  <c r="AI4" i="4"/>
  <c r="CD3" i="4"/>
  <c r="AI5" i="4"/>
  <c r="L81" i="3"/>
  <c r="M81" i="3" s="1"/>
  <c r="L75" i="3"/>
  <c r="M75" i="3" s="1"/>
  <c r="L82" i="3"/>
  <c r="M82" i="3" s="1"/>
  <c r="L69" i="3"/>
  <c r="M69" i="3" s="1"/>
  <c r="L76" i="3"/>
  <c r="M76" i="3" s="1"/>
  <c r="CD18" i="4"/>
  <c r="CD37" i="4"/>
  <c r="CD36" i="4"/>
  <c r="CD76" i="4"/>
  <c r="CD96" i="4"/>
  <c r="CD28" i="4"/>
  <c r="CD58" i="4"/>
  <c r="CD143" i="4"/>
  <c r="CD6" i="4"/>
  <c r="CD4" i="4"/>
  <c r="CD8" i="4"/>
  <c r="CD16" i="4"/>
  <c r="CD15" i="4"/>
  <c r="CD24" i="4"/>
  <c r="CD23" i="4"/>
  <c r="CD14" i="4"/>
  <c r="CD27" i="4"/>
  <c r="CD25" i="4"/>
  <c r="CD13" i="4"/>
  <c r="CD26" i="4"/>
  <c r="CD17" i="4"/>
  <c r="CD34" i="4"/>
  <c r="CD35" i="4"/>
  <c r="CD33" i="4"/>
  <c r="CD47" i="4"/>
  <c r="CD43" i="4"/>
  <c r="CD44" i="4"/>
  <c r="CD45" i="4"/>
  <c r="CD56" i="4"/>
  <c r="CD55" i="4"/>
  <c r="CD53" i="4"/>
  <c r="CD57" i="4"/>
  <c r="CD54" i="4"/>
  <c r="CD63" i="4"/>
  <c r="CD67" i="4"/>
  <c r="CD65" i="4"/>
  <c r="CD66" i="4"/>
  <c r="CD64" i="4"/>
  <c r="CD68" i="4"/>
  <c r="CD74" i="4"/>
  <c r="CD75" i="4"/>
  <c r="CD73" i="4"/>
  <c r="CD88" i="4"/>
  <c r="CD87" i="4"/>
  <c r="CD83" i="4"/>
  <c r="CD85" i="4"/>
  <c r="CD84" i="4"/>
  <c r="CD86" i="4"/>
  <c r="CD94" i="4"/>
  <c r="CD95" i="4"/>
  <c r="CD104" i="4"/>
  <c r="CD103" i="4"/>
  <c r="CD105" i="4"/>
  <c r="CD106" i="4"/>
  <c r="CD114" i="4"/>
  <c r="CD113" i="4"/>
  <c r="CD115" i="4"/>
  <c r="CD117" i="4"/>
  <c r="CD116" i="4"/>
  <c r="CD128" i="4"/>
  <c r="CD123" i="4"/>
  <c r="CD125" i="4"/>
  <c r="CD124" i="4"/>
  <c r="CD127" i="4"/>
  <c r="CD126" i="4"/>
  <c r="CD133" i="4"/>
  <c r="CD136" i="4"/>
  <c r="CD135" i="4"/>
  <c r="CD134" i="4"/>
  <c r="CD144" i="4"/>
  <c r="CD148" i="4"/>
  <c r="CD146" i="4"/>
  <c r="CD147" i="4"/>
  <c r="CD145" i="4"/>
  <c r="CD7" i="4"/>
  <c r="CD5" i="4"/>
  <c r="A1" i="5"/>
  <c r="CG3" i="4" l="1"/>
  <c r="CH3" i="4" s="1"/>
  <c r="L57" i="3" l="1"/>
  <c r="L89" i="3"/>
  <c r="L40" i="3"/>
  <c r="L51" i="3"/>
  <c r="L64" i="3"/>
  <c r="L4" i="3"/>
  <c r="M4" i="3" s="1"/>
  <c r="L63" i="3"/>
  <c r="L27" i="3"/>
  <c r="L3" i="3"/>
  <c r="M3" i="3" s="1"/>
  <c r="L47" i="3"/>
  <c r="L88" i="3"/>
  <c r="L28" i="3"/>
  <c r="L39" i="3"/>
  <c r="L58" i="3"/>
  <c r="L46" i="3"/>
  <c r="L34" i="3"/>
  <c r="L33" i="3"/>
  <c r="L9" i="3"/>
  <c r="L41" i="3"/>
  <c r="L52" i="3"/>
  <c r="L16" i="3"/>
  <c r="L45" i="3"/>
  <c r="L21" i="3"/>
  <c r="L87" i="3"/>
  <c r="L15" i="3"/>
  <c r="CB147" i="4"/>
  <c r="CQ147" i="4" s="1"/>
  <c r="CB152" i="4"/>
  <c r="CQ152" i="4" s="1"/>
  <c r="CB146" i="4"/>
  <c r="CQ146" i="4" s="1"/>
  <c r="CB144" i="4"/>
  <c r="CQ144" i="4" s="1"/>
  <c r="CB150" i="4"/>
  <c r="CQ150" i="4" s="1"/>
  <c r="CB149" i="4"/>
  <c r="CQ149" i="4" s="1"/>
  <c r="CB145" i="4"/>
  <c r="CQ145" i="4" s="1"/>
  <c r="CB148" i="4"/>
  <c r="CQ148" i="4" s="1"/>
  <c r="CB151" i="4"/>
  <c r="CQ151" i="4" s="1"/>
  <c r="CB143" i="4"/>
  <c r="CQ143" i="4" s="1"/>
  <c r="CB130" i="4"/>
  <c r="CQ130" i="4" s="1"/>
  <c r="CB126" i="4"/>
  <c r="CQ126" i="4" s="1"/>
  <c r="CB132" i="4"/>
  <c r="CQ132" i="4" s="1"/>
  <c r="CB123" i="4"/>
  <c r="CQ123" i="4" s="1"/>
  <c r="CB131" i="4"/>
  <c r="CQ131" i="4" s="1"/>
  <c r="CB125" i="4"/>
  <c r="CQ125" i="4" s="1"/>
  <c r="CB127" i="4"/>
  <c r="CQ127" i="4" s="1"/>
  <c r="CB124" i="4"/>
  <c r="CQ124" i="4" s="1"/>
  <c r="CB129" i="4"/>
  <c r="CQ129" i="4" s="1"/>
  <c r="CB128" i="4"/>
  <c r="CQ128" i="4" s="1"/>
  <c r="AR123" i="4"/>
  <c r="G45" i="6" s="1"/>
  <c r="CB112" i="4"/>
  <c r="CQ112" i="4" s="1"/>
  <c r="CB111" i="4"/>
  <c r="CQ111" i="4" s="1"/>
  <c r="CB103" i="4"/>
  <c r="CQ103" i="4" s="1"/>
  <c r="CB107" i="4"/>
  <c r="CQ107" i="4" s="1"/>
  <c r="CB105" i="4"/>
  <c r="CQ105" i="4" s="1"/>
  <c r="CB106" i="4"/>
  <c r="CQ106" i="4" s="1"/>
  <c r="CB104" i="4"/>
  <c r="CQ104" i="4" s="1"/>
  <c r="CB108" i="4"/>
  <c r="CQ108" i="4" s="1"/>
  <c r="CB109" i="4"/>
  <c r="CQ109" i="4" s="1"/>
  <c r="CB110" i="4"/>
  <c r="CQ110" i="4" s="1"/>
  <c r="CB118" i="4"/>
  <c r="CQ118" i="4" s="1"/>
  <c r="CB113" i="4"/>
  <c r="CQ113" i="4" s="1"/>
  <c r="CB119" i="4"/>
  <c r="CQ119" i="4" s="1"/>
  <c r="CB114" i="4"/>
  <c r="CQ114" i="4" s="1"/>
  <c r="CB122" i="4"/>
  <c r="CQ122" i="4" s="1"/>
  <c r="CB120" i="4"/>
  <c r="CQ120" i="4" s="1"/>
  <c r="CB116" i="4"/>
  <c r="CQ116" i="4" s="1"/>
  <c r="CB117" i="4"/>
  <c r="CQ117" i="4" s="1"/>
  <c r="CB121" i="4"/>
  <c r="CQ121" i="4" s="1"/>
  <c r="CB115" i="4"/>
  <c r="CQ115" i="4" s="1"/>
  <c r="CB139" i="4"/>
  <c r="CQ139" i="4" s="1"/>
  <c r="CB135" i="4"/>
  <c r="CQ135" i="4" s="1"/>
  <c r="CB137" i="4"/>
  <c r="CQ137" i="4" s="1"/>
  <c r="CB133" i="4"/>
  <c r="CQ133" i="4" s="1"/>
  <c r="CB134" i="4"/>
  <c r="CQ134" i="4" s="1"/>
  <c r="CB136" i="4"/>
  <c r="CQ136" i="4" s="1"/>
  <c r="CB142" i="4"/>
  <c r="CQ142" i="4" s="1"/>
  <c r="CB138" i="4"/>
  <c r="CQ138" i="4" s="1"/>
  <c r="CB140" i="4"/>
  <c r="CQ140" i="4" s="1"/>
  <c r="CB141" i="4"/>
  <c r="CQ141" i="4" s="1"/>
  <c r="CB102" i="4"/>
  <c r="CQ102" i="4" s="1"/>
  <c r="CB94" i="4"/>
  <c r="CQ94" i="4" s="1"/>
  <c r="AR93" i="4"/>
  <c r="G42" i="6" s="1"/>
  <c r="CB97" i="4"/>
  <c r="CQ97" i="4" s="1"/>
  <c r="CB101" i="4"/>
  <c r="CQ101" i="4" s="1"/>
  <c r="CB93" i="4"/>
  <c r="CQ93" i="4" s="1"/>
  <c r="CB99" i="4"/>
  <c r="CQ99" i="4" s="1"/>
  <c r="CB96" i="4"/>
  <c r="CQ96" i="4" s="1"/>
  <c r="CB100" i="4"/>
  <c r="CQ100" i="4" s="1"/>
  <c r="CB98" i="4"/>
  <c r="CQ98" i="4" s="1"/>
  <c r="CB95" i="4"/>
  <c r="CQ95" i="4" s="1"/>
  <c r="CB68" i="4"/>
  <c r="CQ68" i="4" s="1"/>
  <c r="CB69" i="4"/>
  <c r="CQ69" i="4" s="1"/>
  <c r="CB65" i="4"/>
  <c r="CQ65" i="4" s="1"/>
  <c r="CB71" i="4"/>
  <c r="CQ71" i="4" s="1"/>
  <c r="CB67" i="4"/>
  <c r="CQ67" i="4" s="1"/>
  <c r="CB66" i="4"/>
  <c r="CQ66" i="4" s="1"/>
  <c r="CB64" i="4"/>
  <c r="CQ64" i="4" s="1"/>
  <c r="CB70" i="4"/>
  <c r="CQ70" i="4" s="1"/>
  <c r="CB72" i="4"/>
  <c r="CQ72" i="4" s="1"/>
  <c r="CB63" i="4"/>
  <c r="CQ63" i="4" s="1"/>
  <c r="AR63" i="4"/>
  <c r="G39" i="6" s="1"/>
  <c r="CB81" i="4"/>
  <c r="CQ81" i="4" s="1"/>
  <c r="CB79" i="4"/>
  <c r="CQ79" i="4" s="1"/>
  <c r="CB77" i="4"/>
  <c r="CQ77" i="4" s="1"/>
  <c r="CB80" i="4"/>
  <c r="CQ80" i="4" s="1"/>
  <c r="AR73" i="4"/>
  <c r="CB73" i="4"/>
  <c r="CQ73" i="4" s="1"/>
  <c r="CB82" i="4"/>
  <c r="CQ82" i="4" s="1"/>
  <c r="CB74" i="4"/>
  <c r="CQ74" i="4" s="1"/>
  <c r="CB78" i="4"/>
  <c r="CQ78" i="4" s="1"/>
  <c r="CB75" i="4"/>
  <c r="CQ75" i="4" s="1"/>
  <c r="CB76" i="4"/>
  <c r="CQ76" i="4" s="1"/>
  <c r="CB61" i="4"/>
  <c r="CQ61" i="4" s="1"/>
  <c r="CB56" i="4"/>
  <c r="CQ56" i="4" s="1"/>
  <c r="CB58" i="4"/>
  <c r="CQ58" i="4" s="1"/>
  <c r="CB60" i="4"/>
  <c r="CQ60" i="4" s="1"/>
  <c r="CB55" i="4"/>
  <c r="CQ55" i="4" s="1"/>
  <c r="CB57" i="4"/>
  <c r="CQ57" i="4" s="1"/>
  <c r="CB54" i="4"/>
  <c r="CQ54" i="4" s="1"/>
  <c r="CB62" i="4"/>
  <c r="CQ62" i="4" s="1"/>
  <c r="CB59" i="4"/>
  <c r="CQ59" i="4" s="1"/>
  <c r="CB53" i="4"/>
  <c r="CQ53" i="4" s="1"/>
  <c r="CB47" i="4"/>
  <c r="CQ47" i="4" s="1"/>
  <c r="CB51" i="4"/>
  <c r="CQ51" i="4" s="1"/>
  <c r="CB52" i="4"/>
  <c r="CQ52" i="4" s="1"/>
  <c r="CB45" i="4"/>
  <c r="CQ45" i="4" s="1"/>
  <c r="CB48" i="4"/>
  <c r="CQ48" i="4" s="1"/>
  <c r="CB50" i="4"/>
  <c r="CQ50" i="4" s="1"/>
  <c r="CB49" i="4"/>
  <c r="CQ49" i="4" s="1"/>
  <c r="CB46" i="4"/>
  <c r="CQ46" i="4" s="1"/>
  <c r="CB44" i="4"/>
  <c r="CQ44" i="4" s="1"/>
  <c r="CB43" i="4"/>
  <c r="CQ43" i="4" s="1"/>
  <c r="CB32" i="4"/>
  <c r="CQ32" i="4" s="1"/>
  <c r="CB23" i="4"/>
  <c r="CB27" i="4"/>
  <c r="CQ27" i="4" s="1"/>
  <c r="CB29" i="4"/>
  <c r="CQ29" i="4" s="1"/>
  <c r="CB31" i="4"/>
  <c r="CQ31" i="4" s="1"/>
  <c r="CB25" i="4"/>
  <c r="CQ25" i="4" s="1"/>
  <c r="CB30" i="4"/>
  <c r="CQ30" i="4" s="1"/>
  <c r="CB26" i="4"/>
  <c r="CQ26" i="4" s="1"/>
  <c r="CB24" i="4"/>
  <c r="CQ24" i="4" s="1"/>
  <c r="CB28" i="4"/>
  <c r="CQ28" i="4" s="1"/>
  <c r="CB34" i="4"/>
  <c r="CQ34" i="4" s="1"/>
  <c r="CB35" i="4"/>
  <c r="CQ35" i="4" s="1"/>
  <c r="CB39" i="4"/>
  <c r="CQ39" i="4" s="1"/>
  <c r="CB38" i="4"/>
  <c r="CQ38" i="4" s="1"/>
  <c r="CB42" i="4"/>
  <c r="CQ42" i="4" s="1"/>
  <c r="CB41" i="4"/>
  <c r="CQ41" i="4" s="1"/>
  <c r="CB37" i="4"/>
  <c r="CQ37" i="4" s="1"/>
  <c r="CB36" i="4"/>
  <c r="CQ36" i="4" s="1"/>
  <c r="CB33" i="4"/>
  <c r="CQ33" i="4" s="1"/>
  <c r="CB40" i="4"/>
  <c r="CQ40" i="4" s="1"/>
  <c r="CB22" i="4"/>
  <c r="CQ22" i="4" s="1"/>
  <c r="CB14" i="4"/>
  <c r="CQ14" i="4" s="1"/>
  <c r="CB19" i="4"/>
  <c r="CQ19" i="4" s="1"/>
  <c r="CB13" i="4"/>
  <c r="CQ13" i="4" s="1"/>
  <c r="CB17" i="4"/>
  <c r="CQ17" i="4" s="1"/>
  <c r="CB20" i="4"/>
  <c r="CQ20" i="4" s="1"/>
  <c r="CB16" i="4"/>
  <c r="CQ16" i="4" s="1"/>
  <c r="CB15" i="4"/>
  <c r="CQ15" i="4" s="1"/>
  <c r="CB21" i="4"/>
  <c r="CQ21" i="4" s="1"/>
  <c r="CB18" i="4"/>
  <c r="CQ18" i="4" s="1"/>
  <c r="CB84" i="4"/>
  <c r="CQ84" i="4" s="1"/>
  <c r="CB87" i="4"/>
  <c r="CQ87" i="4" s="1"/>
  <c r="CB91" i="4"/>
  <c r="CQ91" i="4" s="1"/>
  <c r="CB85" i="4"/>
  <c r="CQ85" i="4" s="1"/>
  <c r="CB88" i="4"/>
  <c r="CQ88" i="4" s="1"/>
  <c r="AR83" i="4"/>
  <c r="G41" i="6" s="1"/>
  <c r="CB89" i="4"/>
  <c r="CQ89" i="4" s="1"/>
  <c r="CB90" i="4"/>
  <c r="CQ90" i="4" s="1"/>
  <c r="CB86" i="4"/>
  <c r="CQ86" i="4" s="1"/>
  <c r="CB92" i="4"/>
  <c r="CQ92" i="4" s="1"/>
  <c r="CB83" i="4"/>
  <c r="CQ83" i="4" s="1"/>
  <c r="CG16" i="4"/>
  <c r="CH16" i="4" s="1"/>
  <c r="CI16" i="4"/>
  <c r="CI46" i="4"/>
  <c r="CG46" i="4"/>
  <c r="CH46" i="4" s="1"/>
  <c r="CI30" i="4"/>
  <c r="CG30" i="4"/>
  <c r="CH30" i="4" s="1"/>
  <c r="CI100" i="4"/>
  <c r="CG100" i="4"/>
  <c r="CH100" i="4" s="1"/>
  <c r="CI124" i="4"/>
  <c r="CG124" i="4"/>
  <c r="CH124" i="4" s="1"/>
  <c r="CI36" i="4"/>
  <c r="CG36" i="4"/>
  <c r="CH36" i="4" s="1"/>
  <c r="CI142" i="4"/>
  <c r="CG142" i="4"/>
  <c r="CH142" i="4" s="1"/>
  <c r="CI67" i="4"/>
  <c r="CG67" i="4"/>
  <c r="CH67" i="4" s="1"/>
  <c r="CI27" i="4"/>
  <c r="CG27" i="4"/>
  <c r="CH27" i="4" s="1"/>
  <c r="CG82" i="4"/>
  <c r="CH82" i="4" s="1"/>
  <c r="CI82" i="4"/>
  <c r="CI57" i="4"/>
  <c r="CG57" i="4"/>
  <c r="CH57" i="4" s="1"/>
  <c r="CI137" i="4"/>
  <c r="CG137" i="4"/>
  <c r="CH137" i="4" s="1"/>
  <c r="CI64" i="4"/>
  <c r="CG64" i="4"/>
  <c r="CH64" i="4" s="1"/>
  <c r="CI126" i="4"/>
  <c r="CG126" i="4"/>
  <c r="CH126" i="4" s="1"/>
  <c r="CI140" i="4"/>
  <c r="CG140" i="4"/>
  <c r="CH140" i="4" s="1"/>
  <c r="CI33" i="4"/>
  <c r="CG33" i="4"/>
  <c r="CH33" i="4" s="1"/>
  <c r="CG52" i="4"/>
  <c r="CH52" i="4" s="1"/>
  <c r="CI52" i="4"/>
  <c r="CI151" i="4"/>
  <c r="CG151" i="4"/>
  <c r="CH151" i="4" s="1"/>
  <c r="CI121" i="4"/>
  <c r="CG121" i="4"/>
  <c r="CH121" i="4" s="1"/>
  <c r="CI138" i="4"/>
  <c r="CG138" i="4"/>
  <c r="CH138" i="4" s="1"/>
  <c r="CG32" i="4"/>
  <c r="CH32" i="4" s="1"/>
  <c r="CI32" i="4"/>
  <c r="CI43" i="4"/>
  <c r="CG43" i="4"/>
  <c r="CH43" i="4" s="1"/>
  <c r="CI109" i="4"/>
  <c r="CG109" i="4"/>
  <c r="CH109" i="4" s="1"/>
  <c r="CI85" i="4"/>
  <c r="CG85" i="4"/>
  <c r="CH85" i="4" s="1"/>
  <c r="CI78" i="4"/>
  <c r="CG78" i="4"/>
  <c r="CH78" i="4" s="1"/>
  <c r="CI143" i="4"/>
  <c r="CG143" i="4"/>
  <c r="CH143" i="4" s="1"/>
  <c r="CI65" i="4"/>
  <c r="CG65" i="4"/>
  <c r="CH65" i="4" s="1"/>
  <c r="CI22" i="4"/>
  <c r="CG22" i="4"/>
  <c r="CH22" i="4" s="1"/>
  <c r="CI45" i="4"/>
  <c r="CG45" i="4"/>
  <c r="CH45" i="4" s="1"/>
  <c r="CI49" i="4"/>
  <c r="CG49" i="4"/>
  <c r="CH49" i="4" s="1"/>
  <c r="CI39" i="4"/>
  <c r="CG39" i="4"/>
  <c r="CH39" i="4" s="1"/>
  <c r="CI77" i="4"/>
  <c r="CG77" i="4"/>
  <c r="CH77" i="4" s="1"/>
  <c r="CI129" i="4"/>
  <c r="CG129" i="4"/>
  <c r="CH129" i="4" s="1"/>
  <c r="CI37" i="4"/>
  <c r="CG37" i="4"/>
  <c r="CH37" i="4" s="1"/>
  <c r="CI84" i="4"/>
  <c r="CG84" i="4"/>
  <c r="CH84" i="4" s="1"/>
  <c r="CG21" i="4"/>
  <c r="CH21" i="4" s="1"/>
  <c r="CI21" i="4"/>
  <c r="CI66" i="4"/>
  <c r="CG66" i="4"/>
  <c r="CH66" i="4" s="1"/>
  <c r="CI41" i="4"/>
  <c r="CG41" i="4"/>
  <c r="CH41" i="4" s="1"/>
  <c r="CI70" i="4"/>
  <c r="CG70" i="4"/>
  <c r="CH70" i="4" s="1"/>
  <c r="CI122" i="4"/>
  <c r="CG122" i="4"/>
  <c r="CH122" i="4" s="1"/>
  <c r="CI133" i="4"/>
  <c r="CG133" i="4"/>
  <c r="CH133" i="4" s="1"/>
  <c r="CI147" i="4"/>
  <c r="CG147" i="4"/>
  <c r="CH147" i="4" s="1"/>
  <c r="CI44" i="4"/>
  <c r="CG44" i="4"/>
  <c r="CH44" i="4" s="1"/>
  <c r="CI125" i="4"/>
  <c r="CG125" i="4"/>
  <c r="CH125" i="4" s="1"/>
  <c r="CI54" i="4"/>
  <c r="CG54" i="4"/>
  <c r="CH54" i="4" s="1"/>
  <c r="CI114" i="4"/>
  <c r="CG114" i="4"/>
  <c r="CH114" i="4" s="1"/>
  <c r="CI113" i="4"/>
  <c r="CG113" i="4"/>
  <c r="CH113" i="4" s="1"/>
  <c r="CG111" i="4"/>
  <c r="CH111" i="4" s="1"/>
  <c r="CI111" i="4"/>
  <c r="CI28" i="4"/>
  <c r="CG28" i="4"/>
  <c r="CH28" i="4" s="1"/>
  <c r="CG61" i="4"/>
  <c r="CH61" i="4" s="1"/>
  <c r="CI61" i="4"/>
  <c r="CG112" i="4"/>
  <c r="CH112" i="4" s="1"/>
  <c r="CI112" i="4"/>
  <c r="CI108" i="4"/>
  <c r="CG108" i="4"/>
  <c r="CH108" i="4" s="1"/>
  <c r="CI103" i="4"/>
  <c r="CG103" i="4"/>
  <c r="CH103" i="4" s="1"/>
  <c r="CI25" i="4"/>
  <c r="CG25" i="4"/>
  <c r="CH25" i="4" s="1"/>
  <c r="CI127" i="4"/>
  <c r="CG127" i="4"/>
  <c r="CH127" i="4" s="1"/>
  <c r="CI72" i="4"/>
  <c r="CG72" i="4"/>
  <c r="CH72" i="4" s="1"/>
  <c r="CI63" i="4"/>
  <c r="CG63" i="4"/>
  <c r="CH63" i="4" s="1"/>
  <c r="CI47" i="4"/>
  <c r="CG47" i="4"/>
  <c r="CH47" i="4" s="1"/>
  <c r="CI128" i="4"/>
  <c r="CG128" i="4"/>
  <c r="CH128" i="4" s="1"/>
  <c r="CI55" i="4"/>
  <c r="CG55" i="4"/>
  <c r="CH55" i="4" s="1"/>
  <c r="CI74" i="4"/>
  <c r="CG74" i="4"/>
  <c r="CH74" i="4" s="1"/>
  <c r="CI131" i="4"/>
  <c r="CG131" i="4"/>
  <c r="CH131" i="4" s="1"/>
  <c r="CI144" i="4"/>
  <c r="CG144" i="4"/>
  <c r="CH144" i="4" s="1"/>
  <c r="CG101" i="4"/>
  <c r="CH101" i="4" s="1"/>
  <c r="CI101" i="4"/>
  <c r="CI94" i="4"/>
  <c r="CG94" i="4"/>
  <c r="CH94" i="4" s="1"/>
  <c r="CI34" i="4"/>
  <c r="CG34" i="4"/>
  <c r="CH34" i="4" s="1"/>
  <c r="CI116" i="4"/>
  <c r="CG116" i="4"/>
  <c r="CH116" i="4" s="1"/>
  <c r="CI110" i="4"/>
  <c r="CG110" i="4"/>
  <c r="CH110" i="4" s="1"/>
  <c r="CI19" i="4"/>
  <c r="CG19" i="4"/>
  <c r="CH19" i="4" s="1"/>
  <c r="CI96" i="4"/>
  <c r="CG96" i="4"/>
  <c r="CH96" i="4" s="1"/>
  <c r="CI13" i="4"/>
  <c r="CG13" i="4"/>
  <c r="CH13" i="4" s="1"/>
  <c r="CI97" i="4"/>
  <c r="CG97" i="4"/>
  <c r="CH97" i="4" s="1"/>
  <c r="CI50" i="4"/>
  <c r="CG50" i="4"/>
  <c r="CH50" i="4" s="1"/>
  <c r="CI79" i="4"/>
  <c r="CG79" i="4"/>
  <c r="CH79" i="4" s="1"/>
  <c r="CI146" i="4"/>
  <c r="CG146" i="4"/>
  <c r="CH146" i="4" s="1"/>
  <c r="CI87" i="4"/>
  <c r="CG87" i="4"/>
  <c r="CH87" i="4" s="1"/>
  <c r="CI150" i="4"/>
  <c r="CG150" i="4"/>
  <c r="CH150" i="4" s="1"/>
  <c r="CI139" i="4"/>
  <c r="CG139" i="4"/>
  <c r="CH139" i="4" s="1"/>
  <c r="CI115" i="4"/>
  <c r="CG115" i="4"/>
  <c r="CH115" i="4" s="1"/>
  <c r="CI117" i="4"/>
  <c r="CG117" i="4"/>
  <c r="CH117" i="4" s="1"/>
  <c r="CG31" i="4"/>
  <c r="CH31" i="4" s="1"/>
  <c r="CI31" i="4"/>
  <c r="CI93" i="4"/>
  <c r="CG93" i="4"/>
  <c r="CI130" i="4"/>
  <c r="CG130" i="4"/>
  <c r="CH130" i="4" s="1"/>
  <c r="CI102" i="4"/>
  <c r="CG102" i="4"/>
  <c r="CH102" i="4" s="1"/>
  <c r="CG71" i="4"/>
  <c r="CH71" i="4" s="1"/>
  <c r="CI71" i="4"/>
  <c r="CG92" i="4"/>
  <c r="CH92" i="4" s="1"/>
  <c r="CI92" i="4"/>
  <c r="CI98" i="4"/>
  <c r="CG98" i="4"/>
  <c r="CH98" i="4" s="1"/>
  <c r="CI107" i="4"/>
  <c r="CG107" i="4"/>
  <c r="CH107" i="4" s="1"/>
  <c r="CI149" i="4"/>
  <c r="CG149" i="4"/>
  <c r="CH149" i="4" s="1"/>
  <c r="CI68" i="4"/>
  <c r="CG68" i="4"/>
  <c r="CH68" i="4" s="1"/>
  <c r="CI53" i="4"/>
  <c r="CG53" i="4"/>
  <c r="CH53" i="4" s="1"/>
  <c r="CI136" i="4"/>
  <c r="CG136" i="4"/>
  <c r="CH136" i="4" s="1"/>
  <c r="CI17" i="4"/>
  <c r="CG17" i="4"/>
  <c r="CH17" i="4" s="1"/>
  <c r="CI29" i="4"/>
  <c r="CG29" i="4"/>
  <c r="CH29" i="4" s="1"/>
  <c r="CG42" i="4"/>
  <c r="CH42" i="4" s="1"/>
  <c r="CI42" i="4"/>
  <c r="CI119" i="4"/>
  <c r="CG119" i="4"/>
  <c r="CH119" i="4" s="1"/>
  <c r="CI69" i="4"/>
  <c r="CG69" i="4"/>
  <c r="CH69" i="4" s="1"/>
  <c r="CI56" i="4"/>
  <c r="CG56" i="4"/>
  <c r="CH56" i="4" s="1"/>
  <c r="CI152" i="4"/>
  <c r="CG152" i="4"/>
  <c r="CH152" i="4" s="1"/>
  <c r="CG60" i="4"/>
  <c r="CH60" i="4" s="1"/>
  <c r="CI60" i="4"/>
  <c r="CI15" i="4"/>
  <c r="CG15" i="4"/>
  <c r="CH15" i="4" s="1"/>
  <c r="CG80" i="4"/>
  <c r="CH80" i="4" s="1"/>
  <c r="CI80" i="4"/>
  <c r="CI76" i="4"/>
  <c r="CG76" i="4"/>
  <c r="CH76" i="4" s="1"/>
  <c r="CI26" i="4"/>
  <c r="CG26" i="4"/>
  <c r="CH26" i="4" s="1"/>
  <c r="CI40" i="4"/>
  <c r="CG40" i="4"/>
  <c r="CH40" i="4" s="1"/>
  <c r="CI90" i="4"/>
  <c r="CG90" i="4"/>
  <c r="CH90" i="4" s="1"/>
  <c r="CI86" i="4"/>
  <c r="CG86" i="4"/>
  <c r="CH86" i="4" s="1"/>
  <c r="CI106" i="4"/>
  <c r="CG106" i="4"/>
  <c r="CH106" i="4" s="1"/>
  <c r="CG20" i="4"/>
  <c r="CH20" i="4" s="1"/>
  <c r="CI20" i="4"/>
  <c r="CI91" i="4"/>
  <c r="CG91" i="4"/>
  <c r="CH91" i="4" s="1"/>
  <c r="CI148" i="4"/>
  <c r="CG148" i="4"/>
  <c r="CH148" i="4" s="1"/>
  <c r="CI120" i="4"/>
  <c r="CG120" i="4"/>
  <c r="CH120" i="4" s="1"/>
  <c r="CI99" i="4"/>
  <c r="CG99" i="4"/>
  <c r="CH99" i="4" s="1"/>
  <c r="CI104" i="4"/>
  <c r="CG104" i="4"/>
  <c r="CH104" i="4" s="1"/>
  <c r="CI132" i="4"/>
  <c r="CG132" i="4"/>
  <c r="CH132" i="4" s="1"/>
  <c r="CI83" i="4"/>
  <c r="CG83" i="4"/>
  <c r="CH83" i="4" s="1"/>
  <c r="CI14" i="4"/>
  <c r="CG14" i="4"/>
  <c r="CH14" i="4" s="1"/>
  <c r="CI75" i="4"/>
  <c r="CG75" i="4"/>
  <c r="CH75" i="4" s="1"/>
  <c r="CI48" i="4"/>
  <c r="CG48" i="4"/>
  <c r="CH48" i="4" s="1"/>
  <c r="CI18" i="4"/>
  <c r="CG18" i="4"/>
  <c r="CH18" i="4" s="1"/>
  <c r="CI73" i="4"/>
  <c r="CG73" i="4"/>
  <c r="CH73" i="4" s="1"/>
  <c r="CI51" i="4"/>
  <c r="CG51" i="4"/>
  <c r="CH51" i="4" s="1"/>
  <c r="CI135" i="4"/>
  <c r="CG135" i="4"/>
  <c r="CH135" i="4" s="1"/>
  <c r="CI62" i="4"/>
  <c r="CG62" i="4"/>
  <c r="CH62" i="4" s="1"/>
  <c r="CI145" i="4"/>
  <c r="CG145" i="4"/>
  <c r="CH145" i="4" s="1"/>
  <c r="CI35" i="4"/>
  <c r="CG35" i="4"/>
  <c r="CH35" i="4" s="1"/>
  <c r="CI59" i="4"/>
  <c r="CG59" i="4"/>
  <c r="CH59" i="4" s="1"/>
  <c r="CI23" i="4"/>
  <c r="CG23" i="4"/>
  <c r="CH23" i="4" s="1"/>
  <c r="CI134" i="4"/>
  <c r="CG134" i="4"/>
  <c r="CH134" i="4" s="1"/>
  <c r="CI58" i="4"/>
  <c r="CG58" i="4"/>
  <c r="CH58" i="4" s="1"/>
  <c r="CI118" i="4"/>
  <c r="CG118" i="4"/>
  <c r="CH118" i="4" s="1"/>
  <c r="CI105" i="4"/>
  <c r="CG105" i="4"/>
  <c r="CH105" i="4" s="1"/>
  <c r="CI141" i="4"/>
  <c r="CG141" i="4"/>
  <c r="CH141" i="4" s="1"/>
  <c r="CI95" i="4"/>
  <c r="CG95" i="4"/>
  <c r="CH95" i="4" s="1"/>
  <c r="CI24" i="4"/>
  <c r="CG24" i="4"/>
  <c r="CH24" i="4" s="1"/>
  <c r="CI123" i="4"/>
  <c r="CG123" i="4"/>
  <c r="CH123" i="4" s="1"/>
  <c r="CG81" i="4"/>
  <c r="CH81" i="4" s="1"/>
  <c r="CI81" i="4"/>
  <c r="CI88" i="4"/>
  <c r="CG88" i="4"/>
  <c r="CH88" i="4" s="1"/>
  <c r="CI38" i="4"/>
  <c r="CG38" i="4"/>
  <c r="CH38" i="4" s="1"/>
  <c r="CI89" i="4"/>
  <c r="CG89" i="4"/>
  <c r="CH89" i="4" s="1"/>
  <c r="CI12" i="4"/>
  <c r="CG12" i="4"/>
  <c r="CH12" i="4" s="1"/>
  <c r="CI11" i="4"/>
  <c r="CG11" i="4"/>
  <c r="CH11" i="4" s="1"/>
  <c r="L90" i="3"/>
  <c r="L91" i="3"/>
  <c r="L67" i="3"/>
  <c r="L66" i="3"/>
  <c r="L60" i="3"/>
  <c r="L43" i="3"/>
  <c r="L42" i="3"/>
  <c r="L38" i="3"/>
  <c r="L31" i="3"/>
  <c r="L24" i="3"/>
  <c r="L17" i="3"/>
  <c r="L14" i="3"/>
  <c r="L8" i="3"/>
  <c r="L59" i="3"/>
  <c r="L61" i="3"/>
  <c r="L55" i="3"/>
  <c r="L50" i="3"/>
  <c r="L35" i="3"/>
  <c r="L23" i="3"/>
  <c r="L26" i="3"/>
  <c r="L13" i="3"/>
  <c r="L10" i="3"/>
  <c r="L7" i="3"/>
  <c r="L62" i="3"/>
  <c r="L54" i="3"/>
  <c r="L49" i="3"/>
  <c r="L37" i="3"/>
  <c r="M37" i="3" s="1"/>
  <c r="L30" i="3"/>
  <c r="L22" i="3"/>
  <c r="L11" i="3"/>
  <c r="L19" i="3"/>
  <c r="L92" i="3"/>
  <c r="L65" i="3"/>
  <c r="L56" i="3"/>
  <c r="L32" i="3"/>
  <c r="L6" i="3"/>
  <c r="L53" i="3"/>
  <c r="L29" i="3"/>
  <c r="L20" i="3"/>
  <c r="L68" i="3"/>
  <c r="L44" i="3"/>
  <c r="L36" i="3"/>
  <c r="M36" i="3" s="1"/>
  <c r="L25" i="3"/>
  <c r="L18" i="3"/>
  <c r="L48" i="3"/>
  <c r="L12" i="3"/>
  <c r="CI5" i="4"/>
  <c r="CG5" i="4"/>
  <c r="CH5" i="4" s="1"/>
  <c r="CI8" i="4"/>
  <c r="CG8" i="4"/>
  <c r="CH8" i="4" s="1"/>
  <c r="CG10" i="4"/>
  <c r="CH10" i="4" s="1"/>
  <c r="CI10" i="4"/>
  <c r="CI9" i="4"/>
  <c r="CG9" i="4"/>
  <c r="CH9" i="4" s="1"/>
  <c r="CI7" i="4"/>
  <c r="CG7" i="4"/>
  <c r="CH7" i="4" s="1"/>
  <c r="CI6" i="4"/>
  <c r="CH6" i="4"/>
  <c r="CI4" i="4"/>
  <c r="CG4" i="4"/>
  <c r="CH4" i="4" s="1"/>
  <c r="AS63" i="4" l="1"/>
  <c r="H39" i="6" s="1"/>
  <c r="CH93" i="4"/>
  <c r="CJ93" i="4" s="1"/>
  <c r="AJ93" i="4" s="1"/>
  <c r="CQ23" i="4"/>
  <c r="G35" i="6" s="1"/>
  <c r="AG23" i="4"/>
  <c r="CJ3" i="4"/>
  <c r="AJ3" i="4" s="1"/>
  <c r="AR103" i="4"/>
  <c r="G43" i="6" s="1"/>
  <c r="AR53" i="4"/>
  <c r="AR13" i="4"/>
  <c r="G34" i="6" s="1"/>
  <c r="AR143" i="4"/>
  <c r="G47" i="6" s="1"/>
  <c r="AR113" i="4"/>
  <c r="G44" i="6" s="1"/>
  <c r="AS123" i="4"/>
  <c r="H45" i="6" s="1"/>
  <c r="AS83" i="4"/>
  <c r="H41" i="6" s="1"/>
  <c r="AS93" i="4"/>
  <c r="H42" i="6" s="1"/>
  <c r="AS73" i="4"/>
  <c r="CJ43" i="4"/>
  <c r="AJ43" i="4" s="1"/>
  <c r="CJ133" i="4"/>
  <c r="AJ133" i="4" s="1"/>
  <c r="CJ83" i="4"/>
  <c r="AJ83" i="4" s="1"/>
  <c r="CJ23" i="4"/>
  <c r="AJ23" i="4" s="1"/>
  <c r="CJ13" i="4"/>
  <c r="AJ13" i="4" s="1"/>
  <c r="CJ103" i="4"/>
  <c r="AJ103" i="4" s="1"/>
  <c r="CJ33" i="4"/>
  <c r="AJ33" i="4" s="1"/>
  <c r="CJ143" i="4"/>
  <c r="AJ143" i="4" s="1"/>
  <c r="CJ63" i="4"/>
  <c r="AJ63" i="4" s="1"/>
  <c r="CJ113" i="4"/>
  <c r="AJ113" i="4" s="1"/>
  <c r="CJ123" i="4"/>
  <c r="AJ123" i="4" s="1"/>
  <c r="CJ53" i="4"/>
  <c r="AJ53" i="4" s="1"/>
  <c r="CJ73" i="4"/>
  <c r="AJ73" i="4" s="1"/>
  <c r="AR43" i="4"/>
  <c r="G37" i="6" s="1"/>
  <c r="AR33" i="4"/>
  <c r="G36" i="6" s="1"/>
  <c r="AR133" i="4"/>
  <c r="G46" i="6" s="1"/>
  <c r="O3" i="3"/>
  <c r="P3" i="3" s="1"/>
  <c r="M89" i="3"/>
  <c r="O89" i="3"/>
  <c r="P89" i="3" s="1"/>
  <c r="O35" i="3"/>
  <c r="P35" i="3" s="1"/>
  <c r="M35" i="3"/>
  <c r="M88" i="3"/>
  <c r="O88" i="3"/>
  <c r="P88" i="3" s="1"/>
  <c r="M87" i="3"/>
  <c r="O87" i="3"/>
  <c r="P87" i="3" s="1"/>
  <c r="M40" i="3"/>
  <c r="O40" i="3"/>
  <c r="P40" i="3" s="1"/>
  <c r="M53" i="3"/>
  <c r="O53" i="3"/>
  <c r="P53" i="3" s="1"/>
  <c r="M17" i="3"/>
  <c r="O17" i="3"/>
  <c r="P17" i="3" s="1"/>
  <c r="M45" i="3"/>
  <c r="O45" i="3"/>
  <c r="P45" i="3" s="1"/>
  <c r="O29" i="3"/>
  <c r="P29" i="3" s="1"/>
  <c r="M29" i="3"/>
  <c r="O34" i="3"/>
  <c r="P34" i="3" s="1"/>
  <c r="M34" i="3"/>
  <c r="M22" i="3"/>
  <c r="O22" i="3"/>
  <c r="P22" i="3" s="1"/>
  <c r="M47" i="3"/>
  <c r="O47" i="3"/>
  <c r="P47" i="3" s="1"/>
  <c r="O28" i="3"/>
  <c r="P28" i="3" s="1"/>
  <c r="M28" i="3"/>
  <c r="O9" i="3"/>
  <c r="P9" i="3" s="1"/>
  <c r="M9" i="3"/>
  <c r="M41" i="3"/>
  <c r="O41" i="3"/>
  <c r="P41" i="3" s="1"/>
  <c r="O33" i="3"/>
  <c r="P33" i="3" s="1"/>
  <c r="M33" i="3"/>
  <c r="O46" i="3"/>
  <c r="P46" i="3" s="1"/>
  <c r="M46" i="3"/>
  <c r="O4" i="3"/>
  <c r="P4" i="3" s="1"/>
  <c r="O10" i="3"/>
  <c r="P10" i="3" s="1"/>
  <c r="M10" i="3"/>
  <c r="M23" i="3"/>
  <c r="O23" i="3"/>
  <c r="P23" i="3" s="1"/>
  <c r="O39" i="3"/>
  <c r="P39" i="3" s="1"/>
  <c r="M39" i="3"/>
  <c r="O15" i="3"/>
  <c r="P15" i="3" s="1"/>
  <c r="M15" i="3"/>
  <c r="O52" i="3"/>
  <c r="P52" i="3" s="1"/>
  <c r="M52" i="3"/>
  <c r="O21" i="3"/>
  <c r="P21" i="3" s="1"/>
  <c r="M21" i="3"/>
  <c r="M65" i="3"/>
  <c r="O65" i="3"/>
  <c r="P65" i="3" s="1"/>
  <c r="M16" i="3"/>
  <c r="O16" i="3"/>
  <c r="P16" i="3" s="1"/>
  <c r="O63" i="3"/>
  <c r="P63" i="3" s="1"/>
  <c r="M63" i="3"/>
  <c r="CB11" i="4"/>
  <c r="CQ11" i="4" s="1"/>
  <c r="CB9" i="4"/>
  <c r="CQ9" i="4" s="1"/>
  <c r="CQ5" i="4"/>
  <c r="CB7" i="4"/>
  <c r="CQ7" i="4" s="1"/>
  <c r="CB12" i="4"/>
  <c r="CQ12" i="4" s="1"/>
  <c r="CB6" i="4"/>
  <c r="CQ6" i="4" s="1"/>
  <c r="CB8" i="4"/>
  <c r="CQ8" i="4" s="1"/>
  <c r="CB10" i="4"/>
  <c r="CQ10" i="4" s="1"/>
  <c r="O64" i="3"/>
  <c r="P64" i="3" s="1"/>
  <c r="M64" i="3"/>
  <c r="O57" i="3"/>
  <c r="P57" i="3" s="1"/>
  <c r="M57" i="3"/>
  <c r="M58" i="3"/>
  <c r="O58" i="3"/>
  <c r="P58" i="3" s="1"/>
  <c r="M11" i="3"/>
  <c r="O11" i="3"/>
  <c r="P11" i="3" s="1"/>
  <c r="M27" i="3"/>
  <c r="O27" i="3"/>
  <c r="P27" i="3" s="1"/>
  <c r="O59" i="3"/>
  <c r="P59" i="3" s="1"/>
  <c r="M59" i="3"/>
  <c r="M51" i="3"/>
  <c r="O51" i="3"/>
  <c r="P51" i="3" s="1"/>
  <c r="AS23" i="4" l="1"/>
  <c r="H35" i="6" s="1"/>
  <c r="AS133" i="4"/>
  <c r="AS143" i="4"/>
  <c r="H47" i="6" s="1"/>
  <c r="AS33" i="4"/>
  <c r="H36" i="6" s="1"/>
  <c r="AS103" i="4"/>
  <c r="H43" i="6" s="1"/>
  <c r="AS53" i="4"/>
  <c r="CQ4" i="4"/>
  <c r="AR3" i="4" s="1"/>
  <c r="G33" i="6" s="1"/>
  <c r="AG3" i="4"/>
  <c r="AS113" i="4"/>
  <c r="H44" i="6" s="1"/>
  <c r="AS13" i="4"/>
  <c r="H34" i="6" s="1"/>
  <c r="AS43" i="4"/>
  <c r="H37" i="6" s="1"/>
  <c r="H46" i="6" l="1"/>
  <c r="I46" i="6" s="1"/>
  <c r="AS3" i="4"/>
  <c r="H33" i="6" s="1"/>
  <c r="I47" i="6"/>
  <c r="I35" i="6"/>
  <c r="I42" i="6"/>
  <c r="I41" i="6"/>
  <c r="I40" i="6"/>
  <c r="I39" i="6"/>
  <c r="L35" i="6"/>
  <c r="K35" i="6"/>
  <c r="I38" i="6"/>
  <c r="I43" i="6"/>
  <c r="J10" i="6" l="1"/>
  <c r="J11" i="6"/>
  <c r="J9" i="6"/>
  <c r="K34" i="6"/>
  <c r="I44" i="6"/>
  <c r="I45" i="6"/>
  <c r="L34" i="6"/>
  <c r="I34" i="6"/>
  <c r="I36" i="6"/>
  <c r="I37" i="6"/>
  <c r="J27" i="6" l="1"/>
  <c r="J13" i="6"/>
  <c r="J12" i="6"/>
  <c r="J25" i="6"/>
  <c r="I33" i="6"/>
  <c r="J22" i="6" s="1"/>
  <c r="K33" i="6"/>
  <c r="L33" i="6"/>
  <c r="L5" i="3"/>
  <c r="O5" i="3" l="1"/>
  <c r="P5" i="3" s="1"/>
  <c r="M5" i="3"/>
  <c r="J18" i="6" l="1"/>
  <c r="X58" i="6" s="1"/>
  <c r="X73" i="6" l="1"/>
  <c r="X69" i="6"/>
  <c r="X82" i="6"/>
  <c r="X99" i="6"/>
  <c r="X92" i="6"/>
  <c r="X93" i="6"/>
  <c r="X97" i="6"/>
  <c r="X94" i="6"/>
  <c r="X95" i="6"/>
  <c r="X96" i="6"/>
  <c r="X91" i="6"/>
  <c r="X98" i="6"/>
  <c r="X76" i="6"/>
  <c r="X84" i="6"/>
  <c r="X78" i="6"/>
  <c r="X53" i="6"/>
  <c r="X55" i="6"/>
  <c r="X61" i="6"/>
  <c r="X70" i="6"/>
  <c r="X68" i="6"/>
  <c r="X66" i="6"/>
  <c r="X48" i="6"/>
  <c r="X39" i="6"/>
  <c r="X51" i="6"/>
  <c r="X79" i="6"/>
  <c r="X86" i="6"/>
  <c r="X41" i="6"/>
  <c r="X72" i="6"/>
  <c r="X83" i="6"/>
  <c r="X65" i="6"/>
  <c r="X67" i="6"/>
  <c r="X59" i="6"/>
  <c r="X62" i="6"/>
  <c r="X56" i="6"/>
  <c r="X57" i="6"/>
  <c r="X46" i="6"/>
  <c r="X54" i="6"/>
  <c r="X43" i="6"/>
  <c r="X45" i="6"/>
  <c r="X35" i="6"/>
  <c r="X37" i="6"/>
  <c r="X81" i="6"/>
  <c r="X34" i="6"/>
  <c r="X63" i="6"/>
  <c r="X64" i="6"/>
  <c r="X77" i="6"/>
  <c r="X52" i="6"/>
  <c r="X80" i="6"/>
  <c r="X75" i="6"/>
  <c r="X71" i="6"/>
  <c r="X74" i="6"/>
  <c r="X49" i="6"/>
  <c r="X50" i="6"/>
  <c r="X44" i="6"/>
  <c r="X47" i="6"/>
  <c r="X40" i="6"/>
  <c r="X42" i="6"/>
  <c r="X36" i="6"/>
  <c r="X38" i="6"/>
  <c r="X90" i="6"/>
  <c r="X89" i="6"/>
  <c r="B19" i="6"/>
  <c r="J23" i="6"/>
  <c r="AB58" i="6" s="1"/>
  <c r="X33" i="6"/>
  <c r="AB73" i="6" l="1"/>
  <c r="AB69" i="6"/>
  <c r="Y96" i="6"/>
  <c r="Z96" i="6" s="1"/>
  <c r="Y93" i="6"/>
  <c r="Z93" i="6" s="1"/>
  <c r="AB82" i="6"/>
  <c r="AB94" i="6"/>
  <c r="AB92" i="6"/>
  <c r="AB99" i="6"/>
  <c r="AB93" i="6"/>
  <c r="AB97" i="6"/>
  <c r="AB98" i="6"/>
  <c r="AB96" i="6"/>
  <c r="AB95" i="6"/>
  <c r="AB91" i="6"/>
  <c r="Y95" i="6"/>
  <c r="Z95" i="6" s="1"/>
  <c r="Y92" i="6"/>
  <c r="Z92" i="6" s="1"/>
  <c r="Y98" i="6"/>
  <c r="Z98" i="6" s="1"/>
  <c r="Y94" i="6"/>
  <c r="Z94" i="6" s="1"/>
  <c r="Y99" i="6"/>
  <c r="Z99" i="6" s="1"/>
  <c r="Y91" i="6"/>
  <c r="Z91" i="6" s="1"/>
  <c r="Y97" i="6"/>
  <c r="Z97" i="6" s="1"/>
  <c r="AB76" i="6"/>
  <c r="AB84" i="6"/>
  <c r="AB55" i="6"/>
  <c r="AB61" i="6"/>
  <c r="AB68" i="6"/>
  <c r="AB53" i="6"/>
  <c r="AB70" i="6"/>
  <c r="AB66" i="6"/>
  <c r="AB39" i="6"/>
  <c r="AB78" i="6"/>
  <c r="AB33" i="6"/>
  <c r="AB48" i="6"/>
  <c r="AB51" i="6"/>
  <c r="AB79" i="6"/>
  <c r="AB86" i="6"/>
  <c r="AB41" i="6"/>
  <c r="AB72" i="6"/>
  <c r="AB83" i="6"/>
  <c r="AB65" i="6"/>
  <c r="AB67" i="6"/>
  <c r="AB59" i="6"/>
  <c r="AB62" i="6"/>
  <c r="AB56" i="6"/>
  <c r="AB57" i="6"/>
  <c r="AB46" i="6"/>
  <c r="AB54" i="6"/>
  <c r="AB43" i="6"/>
  <c r="AB45" i="6"/>
  <c r="AB35" i="6"/>
  <c r="AB37" i="6"/>
  <c r="AB81" i="6"/>
  <c r="AB34" i="6"/>
  <c r="AB63" i="6"/>
  <c r="AB64" i="6"/>
  <c r="AB77" i="6"/>
  <c r="AB52" i="6"/>
  <c r="AB80" i="6"/>
  <c r="AB75" i="6"/>
  <c r="AB71" i="6"/>
  <c r="AB74" i="6"/>
  <c r="AB49" i="6"/>
  <c r="AB50" i="6"/>
  <c r="AB44" i="6"/>
  <c r="AB47" i="6"/>
  <c r="AB40" i="6"/>
  <c r="AB42" i="6"/>
  <c r="AB36" i="6"/>
  <c r="AB38" i="6"/>
  <c r="Y89" i="6"/>
  <c r="Z89" i="6" s="1"/>
  <c r="Y33" i="6"/>
  <c r="Y87" i="6"/>
  <c r="Z87" i="6" s="1"/>
  <c r="Y88" i="6"/>
  <c r="Z88" i="6" s="1"/>
  <c r="Y74" i="6"/>
  <c r="Z74" i="6" s="1"/>
  <c r="Y82" i="6"/>
  <c r="Z82" i="6" s="1"/>
  <c r="Y76" i="6"/>
  <c r="Z76" i="6" s="1"/>
  <c r="Y69" i="6"/>
  <c r="Z69" i="6" s="1"/>
  <c r="Y58" i="6"/>
  <c r="Z58" i="6" s="1"/>
  <c r="Y48" i="6"/>
  <c r="Z48" i="6" s="1"/>
  <c r="Y55" i="6"/>
  <c r="Z55" i="6" s="1"/>
  <c r="Y84" i="6"/>
  <c r="Z84" i="6" s="1"/>
  <c r="Y78" i="6"/>
  <c r="Z78" i="6" s="1"/>
  <c r="Y66" i="6"/>
  <c r="Z66" i="6" s="1"/>
  <c r="Y83" i="6"/>
  <c r="Z83" i="6" s="1"/>
  <c r="Y79" i="6"/>
  <c r="Z79" i="6" s="1"/>
  <c r="Y64" i="6"/>
  <c r="Z64" i="6" s="1"/>
  <c r="Y77" i="6"/>
  <c r="Z77" i="6" s="1"/>
  <c r="Y73" i="6"/>
  <c r="Z73" i="6" s="1"/>
  <c r="Y56" i="6"/>
  <c r="Z56" i="6" s="1"/>
  <c r="Y62" i="6"/>
  <c r="Z62" i="6" s="1"/>
  <c r="Y54" i="6"/>
  <c r="Z54" i="6" s="1"/>
  <c r="Y72" i="6"/>
  <c r="Z72" i="6" s="1"/>
  <c r="Y57" i="6"/>
  <c r="Z57" i="6" s="1"/>
  <c r="Y60" i="6"/>
  <c r="Z60" i="6" s="1"/>
  <c r="Y51" i="6"/>
  <c r="Z51" i="6" s="1"/>
  <c r="Y81" i="6"/>
  <c r="Z81" i="6" s="1"/>
  <c r="Y75" i="6"/>
  <c r="Z75" i="6" s="1"/>
  <c r="Y68" i="6"/>
  <c r="Z68" i="6" s="1"/>
  <c r="Y61" i="6"/>
  <c r="Z61" i="6" s="1"/>
  <c r="Y86" i="6"/>
  <c r="Z86" i="6" s="1"/>
  <c r="Y49" i="6"/>
  <c r="Z49" i="6" s="1"/>
  <c r="Y50" i="6"/>
  <c r="Z50" i="6" s="1"/>
  <c r="Y59" i="6"/>
  <c r="Z59" i="6" s="1"/>
  <c r="Y70" i="6"/>
  <c r="Z70" i="6" s="1"/>
  <c r="Y63" i="6"/>
  <c r="Z63" i="6" s="1"/>
  <c r="Y67" i="6"/>
  <c r="Z67" i="6" s="1"/>
  <c r="Y39" i="6"/>
  <c r="Z39" i="6" s="1"/>
  <c r="Y71" i="6"/>
  <c r="Z71" i="6" s="1"/>
  <c r="Y53" i="6"/>
  <c r="Z53" i="6" s="1"/>
  <c r="Y85" i="6"/>
  <c r="Z85" i="6" s="1"/>
  <c r="Y80" i="6"/>
  <c r="Z80" i="6" s="1"/>
  <c r="Y52" i="6"/>
  <c r="Z52" i="6" s="1"/>
  <c r="Y65" i="6"/>
  <c r="Z65" i="6" s="1"/>
  <c r="Y47" i="6"/>
  <c r="Z47" i="6" s="1"/>
  <c r="Y46" i="6"/>
  <c r="Z46" i="6" s="1"/>
  <c r="Y35" i="6"/>
  <c r="Z35" i="6" s="1"/>
  <c r="Y42" i="6"/>
  <c r="Z42" i="6" s="1"/>
  <c r="Y40" i="6"/>
  <c r="Z40" i="6" s="1"/>
  <c r="Y41" i="6"/>
  <c r="Z41" i="6" s="1"/>
  <c r="Y45" i="6"/>
  <c r="Z45" i="6" s="1"/>
  <c r="Y38" i="6"/>
  <c r="Z38" i="6" s="1"/>
  <c r="Y36" i="6"/>
  <c r="Z36" i="6" s="1"/>
  <c r="Y43" i="6"/>
  <c r="Z43" i="6" s="1"/>
  <c r="Y34" i="6"/>
  <c r="Z34" i="6" s="1"/>
  <c r="Y37" i="6"/>
  <c r="Z37" i="6" s="1"/>
  <c r="Y44" i="6"/>
  <c r="Z44" i="6" s="1"/>
  <c r="Y90" i="6"/>
  <c r="Z90" i="6" s="1"/>
  <c r="AB89" i="6"/>
  <c r="AB90" i="6"/>
  <c r="AC40" i="6" l="1"/>
  <c r="AD40" i="6" s="1"/>
  <c r="AC80" i="6"/>
  <c r="AD80" i="6" s="1"/>
  <c r="AC35" i="6"/>
  <c r="AD35" i="6" s="1"/>
  <c r="AC59" i="6"/>
  <c r="AD59" i="6" s="1"/>
  <c r="AC51" i="6"/>
  <c r="AD51" i="6" s="1"/>
  <c r="AC68" i="6"/>
  <c r="AD68" i="6" s="1"/>
  <c r="AC91" i="6"/>
  <c r="AD91" i="6" s="1"/>
  <c r="AC94" i="6"/>
  <c r="AD94" i="6" s="1"/>
  <c r="AC90" i="6"/>
  <c r="AD90" i="6" s="1"/>
  <c r="AC47" i="6"/>
  <c r="AD47" i="6" s="1"/>
  <c r="AC52" i="6"/>
  <c r="AD52" i="6" s="1"/>
  <c r="AC45" i="6"/>
  <c r="AD45" i="6" s="1"/>
  <c r="AC67" i="6"/>
  <c r="AD67" i="6" s="1"/>
  <c r="AC41" i="6"/>
  <c r="AD41" i="6" s="1"/>
  <c r="AC66" i="6"/>
  <c r="AD66" i="6" s="1"/>
  <c r="AC93" i="6"/>
  <c r="AD93" i="6" s="1"/>
  <c r="AC89" i="6"/>
  <c r="AD89" i="6" s="1"/>
  <c r="AC36" i="6"/>
  <c r="AD36" i="6" s="1"/>
  <c r="AC44" i="6"/>
  <c r="AD44" i="6" s="1"/>
  <c r="AC71" i="6"/>
  <c r="AD71" i="6" s="1"/>
  <c r="AC77" i="6"/>
  <c r="AD77" i="6" s="1"/>
  <c r="AC81" i="6"/>
  <c r="AD81" i="6" s="1"/>
  <c r="AC43" i="6"/>
  <c r="AD43" i="6" s="1"/>
  <c r="AC56" i="6"/>
  <c r="AD56" i="6" s="1"/>
  <c r="AC65" i="6"/>
  <c r="AD65" i="6" s="1"/>
  <c r="AC86" i="6"/>
  <c r="AD86" i="6" s="1"/>
  <c r="AC33" i="6"/>
  <c r="AC87" i="6"/>
  <c r="AD87" i="6" s="1"/>
  <c r="AC88" i="6"/>
  <c r="AD88" i="6" s="1"/>
  <c r="AC60" i="6"/>
  <c r="AD60" i="6" s="1"/>
  <c r="AC58" i="6"/>
  <c r="AD58" i="6" s="1"/>
  <c r="AC85" i="6"/>
  <c r="AD85" i="6" s="1"/>
  <c r="AC73" i="6"/>
  <c r="AD73" i="6" s="1"/>
  <c r="AC69" i="6"/>
  <c r="AD69" i="6" s="1"/>
  <c r="AC70" i="6"/>
  <c r="AD70" i="6" s="1"/>
  <c r="AC55" i="6"/>
  <c r="AD55" i="6" s="1"/>
  <c r="AC96" i="6"/>
  <c r="AD96" i="6" s="1"/>
  <c r="AC99" i="6"/>
  <c r="AD99" i="6" s="1"/>
  <c r="AC49" i="6"/>
  <c r="AD49" i="6" s="1"/>
  <c r="AC63" i="6"/>
  <c r="AD63" i="6" s="1"/>
  <c r="AC46" i="6"/>
  <c r="AD46" i="6" s="1"/>
  <c r="AC72" i="6"/>
  <c r="AD72" i="6" s="1"/>
  <c r="AC39" i="6"/>
  <c r="AD39" i="6" s="1"/>
  <c r="AC76" i="6"/>
  <c r="AD76" i="6" s="1"/>
  <c r="AC97" i="6"/>
  <c r="AD97" i="6" s="1"/>
  <c r="AC38" i="6"/>
  <c r="AD38" i="6" s="1"/>
  <c r="AC74" i="6"/>
  <c r="AD74" i="6" s="1"/>
  <c r="AC34" i="6"/>
  <c r="AD34" i="6" s="1"/>
  <c r="AC57" i="6"/>
  <c r="AD57" i="6" s="1"/>
  <c r="AC48" i="6"/>
  <c r="AD48" i="6" s="1"/>
  <c r="AC61" i="6"/>
  <c r="AD61" i="6" s="1"/>
  <c r="AC95" i="6"/>
  <c r="AD95" i="6" s="1"/>
  <c r="AC82" i="6"/>
  <c r="AD82" i="6" s="1"/>
  <c r="AC42" i="6"/>
  <c r="AD42" i="6" s="1"/>
  <c r="AC50" i="6"/>
  <c r="AD50" i="6" s="1"/>
  <c r="AC75" i="6"/>
  <c r="AD75" i="6" s="1"/>
  <c r="AC64" i="6"/>
  <c r="AD64" i="6" s="1"/>
  <c r="AC37" i="6"/>
  <c r="AD37" i="6" s="1"/>
  <c r="AC54" i="6"/>
  <c r="AD54" i="6" s="1"/>
  <c r="AC62" i="6"/>
  <c r="AD62" i="6" s="1"/>
  <c r="AC83" i="6"/>
  <c r="AD83" i="6" s="1"/>
  <c r="AC79" i="6"/>
  <c r="AD79" i="6" s="1"/>
  <c r="AC78" i="6"/>
  <c r="AD78" i="6" s="1"/>
  <c r="AC53" i="6"/>
  <c r="AD53" i="6" s="1"/>
  <c r="AC84" i="6"/>
  <c r="AD84" i="6" s="1"/>
  <c r="AC98" i="6"/>
  <c r="AD98" i="6" s="1"/>
  <c r="AC92" i="6"/>
  <c r="AD92" i="6" s="1"/>
  <c r="Z33" i="6"/>
  <c r="J29" i="6" s="1"/>
  <c r="J58" i="6" s="1"/>
  <c r="J31" i="5" s="1"/>
  <c r="J19" i="6" l="1"/>
  <c r="J70" i="5"/>
  <c r="Q70" i="5" s="1"/>
  <c r="T70" i="5" s="1"/>
  <c r="J67" i="5"/>
  <c r="Q67" i="5" s="1"/>
  <c r="T67" i="5" s="1"/>
  <c r="J65" i="5"/>
  <c r="Q65" i="5" s="1"/>
  <c r="T65" i="5" s="1"/>
  <c r="J72" i="5"/>
  <c r="Q72" i="5" s="1"/>
  <c r="T72" i="5" s="1"/>
  <c r="J66" i="5"/>
  <c r="Q66" i="5" s="1"/>
  <c r="T66" i="5" s="1"/>
  <c r="J68" i="5"/>
  <c r="Q68" i="5" s="1"/>
  <c r="T68" i="5" s="1"/>
  <c r="J64" i="5"/>
  <c r="Q64" i="5" s="1"/>
  <c r="T64" i="5" s="1"/>
  <c r="J69" i="5"/>
  <c r="Q69" i="5" s="1"/>
  <c r="T69" i="5" s="1"/>
  <c r="J71" i="5"/>
  <c r="Q71" i="5" s="1"/>
  <c r="T71" i="5" s="1"/>
  <c r="J48" i="6"/>
  <c r="J39" i="6"/>
  <c r="J79" i="6"/>
  <c r="J33" i="6"/>
  <c r="J51" i="6"/>
  <c r="J56" i="6"/>
  <c r="J57" i="6"/>
  <c r="J46" i="6"/>
  <c r="J54" i="6"/>
  <c r="J64" i="6"/>
  <c r="J35" i="6"/>
  <c r="J74" i="6"/>
  <c r="J75" i="6"/>
  <c r="J47" i="6"/>
  <c r="J71" i="6"/>
  <c r="AD33" i="6"/>
  <c r="J21" i="6" s="1"/>
  <c r="J34" i="6"/>
  <c r="J7" i="5" s="1"/>
  <c r="Q31" i="5"/>
  <c r="T31" i="5" s="1"/>
  <c r="J44" i="5" l="1"/>
  <c r="Q44" i="5" s="1"/>
  <c r="T44" i="5" s="1"/>
  <c r="J8" i="5"/>
  <c r="Q8" i="5" s="1"/>
  <c r="T8" i="5" s="1"/>
  <c r="J30" i="5"/>
  <c r="Q30" i="5" s="1"/>
  <c r="T30" i="5" s="1"/>
  <c r="J6" i="5"/>
  <c r="Q6" i="5" s="1"/>
  <c r="T6" i="5" s="1"/>
  <c r="J37" i="5"/>
  <c r="Q37" i="5" s="1"/>
  <c r="T37" i="5" s="1"/>
  <c r="J29" i="5"/>
  <c r="Q29" i="5" s="1"/>
  <c r="T29" i="5" s="1"/>
  <c r="J48" i="5"/>
  <c r="Q48" i="5" s="1"/>
  <c r="T48" i="5" s="1"/>
  <c r="J27" i="5"/>
  <c r="Q27" i="5" s="1"/>
  <c r="T27" i="5" s="1"/>
  <c r="J24" i="5"/>
  <c r="Q24" i="5" s="1"/>
  <c r="T24" i="5" s="1"/>
  <c r="J12" i="5"/>
  <c r="Q12" i="5" s="1"/>
  <c r="T12" i="5" s="1"/>
  <c r="J20" i="5"/>
  <c r="Q20" i="5" s="1"/>
  <c r="T20" i="5" s="1"/>
  <c r="J52" i="5"/>
  <c r="Q52" i="5" s="1"/>
  <c r="T52" i="5" s="1"/>
  <c r="J47" i="5"/>
  <c r="Q47" i="5" s="1"/>
  <c r="T47" i="5" s="1"/>
  <c r="J19" i="5"/>
  <c r="Q19" i="5" s="1"/>
  <c r="T19" i="5" s="1"/>
  <c r="J59" i="5"/>
  <c r="Q59" i="5" s="1"/>
  <c r="T59" i="5" s="1"/>
  <c r="J21" i="5"/>
  <c r="Q21" i="5" s="1"/>
  <c r="T21" i="5" s="1"/>
  <c r="J57" i="5"/>
  <c r="Q57" i="5" s="1"/>
  <c r="T57" i="5" s="1"/>
  <c r="Q7" i="5"/>
  <c r="T7" i="5" s="1"/>
  <c r="Q60" i="5"/>
  <c r="T60" i="5" s="1"/>
  <c r="J81" i="6"/>
  <c r="J54" i="5" s="1"/>
  <c r="J77" i="6"/>
  <c r="J50" i="5" s="1"/>
  <c r="J53" i="6"/>
  <c r="J26" i="5" s="1"/>
  <c r="J52" i="6"/>
  <c r="J25" i="5" s="1"/>
  <c r="J50" i="6"/>
  <c r="J23" i="5" s="1"/>
  <c r="J68" i="6"/>
  <c r="J41" i="5" s="1"/>
  <c r="J78" i="6"/>
  <c r="J51" i="5" s="1"/>
  <c r="J56" i="5"/>
  <c r="J82" i="6"/>
  <c r="J55" i="5" s="1"/>
  <c r="J80" i="6"/>
  <c r="J53" i="5" s="1"/>
  <c r="J76" i="6"/>
  <c r="J49" i="5" s="1"/>
  <c r="J73" i="6"/>
  <c r="J46" i="5" s="1"/>
  <c r="J69" i="6"/>
  <c r="J42" i="5" s="1"/>
  <c r="J66" i="6"/>
  <c r="J39" i="5" s="1"/>
  <c r="J67" i="6"/>
  <c r="J40" i="5" s="1"/>
  <c r="J65" i="6"/>
  <c r="J38" i="5" s="1"/>
  <c r="J63" i="6"/>
  <c r="J36" i="5" s="1"/>
  <c r="J62" i="6"/>
  <c r="J35" i="5" s="1"/>
  <c r="J61" i="6"/>
  <c r="J34" i="5" s="1"/>
  <c r="J59" i="6"/>
  <c r="J32" i="5" s="1"/>
  <c r="J55" i="6"/>
  <c r="J28" i="5" s="1"/>
  <c r="J49" i="6"/>
  <c r="J22" i="5" s="1"/>
  <c r="J45" i="6"/>
  <c r="J18" i="5" s="1"/>
  <c r="J40" i="6"/>
  <c r="J13" i="5" s="1"/>
  <c r="J70" i="6"/>
  <c r="J43" i="5" s="1"/>
  <c r="J72" i="6"/>
  <c r="J45" i="5" s="1"/>
  <c r="J60" i="6"/>
  <c r="J33" i="5" s="1"/>
  <c r="J44" i="6"/>
  <c r="J17" i="5" s="1"/>
  <c r="J43" i="6"/>
  <c r="J16" i="5" s="1"/>
  <c r="J42" i="6"/>
  <c r="J15" i="5" s="1"/>
  <c r="J41" i="6"/>
  <c r="J14" i="5" s="1"/>
  <c r="J38" i="6"/>
  <c r="J11" i="5" s="1"/>
  <c r="J37" i="6"/>
  <c r="J10" i="5" s="1"/>
  <c r="J36" i="6"/>
  <c r="J9" i="5" s="1"/>
  <c r="Q16" i="5" l="1"/>
  <c r="T16" i="5" s="1"/>
  <c r="Q36" i="5"/>
  <c r="T36" i="5" s="1"/>
  <c r="Q23" i="5"/>
  <c r="T23" i="5" s="1"/>
  <c r="Q17" i="5"/>
  <c r="T17" i="5" s="1"/>
  <c r="Q38" i="5"/>
  <c r="T38" i="5" s="1"/>
  <c r="Q46" i="5"/>
  <c r="T46" i="5" s="1"/>
  <c r="Q56" i="5"/>
  <c r="T56" i="5" s="1"/>
  <c r="Q25" i="5"/>
  <c r="T25" i="5" s="1"/>
  <c r="Q43" i="5"/>
  <c r="T43" i="5" s="1"/>
  <c r="Q42" i="5"/>
  <c r="T42" i="5" s="1"/>
  <c r="Q54" i="5"/>
  <c r="T54" i="5" s="1"/>
  <c r="Q13" i="5"/>
  <c r="T13" i="5" s="1"/>
  <c r="Q14" i="5"/>
  <c r="T14" i="5" s="1"/>
  <c r="Q33" i="5"/>
  <c r="T33" i="5" s="1"/>
  <c r="Q18" i="5"/>
  <c r="T18" i="5" s="1"/>
  <c r="Q34" i="5"/>
  <c r="T34" i="5" s="1"/>
  <c r="Q40" i="5"/>
  <c r="T40" i="5" s="1"/>
  <c r="Q49" i="5"/>
  <c r="T49" i="5" s="1"/>
  <c r="Q51" i="5"/>
  <c r="T51" i="5" s="1"/>
  <c r="Q26" i="5"/>
  <c r="T26" i="5" s="1"/>
  <c r="Q10" i="5"/>
  <c r="T10" i="5" s="1"/>
  <c r="Q28" i="5"/>
  <c r="T28" i="5" s="1"/>
  <c r="Q55" i="5"/>
  <c r="T55" i="5" s="1"/>
  <c r="Q11" i="5"/>
  <c r="T11" i="5" s="1"/>
  <c r="Q32" i="5"/>
  <c r="T32" i="5" s="1"/>
  <c r="Q9" i="5"/>
  <c r="T9" i="5" s="1"/>
  <c r="Q15" i="5"/>
  <c r="T15" i="5" s="1"/>
  <c r="Q45" i="5"/>
  <c r="T45" i="5" s="1"/>
  <c r="Q22" i="5"/>
  <c r="T22" i="5" s="1"/>
  <c r="Q35" i="5"/>
  <c r="T35" i="5" s="1"/>
  <c r="Q39" i="5"/>
  <c r="T39" i="5" s="1"/>
  <c r="Q53" i="5"/>
  <c r="T53" i="5" s="1"/>
  <c r="Q41" i="5"/>
  <c r="T41" i="5" s="1"/>
  <c r="Q50" i="5"/>
  <c r="T50"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K1" authorId="0" shapeId="0" xr:uid="{00000000-0006-0000-0300-000001000000}">
      <text>
        <r>
          <rPr>
            <b/>
            <u/>
            <sz val="9"/>
            <color rgb="FF000000"/>
            <rFont val="Tahoma"/>
            <family val="2"/>
          </rPr>
          <t>Se deben combinar valores de celdas de las columnas K, L y M para los contratos que sean presentados por varios integrantes.</t>
        </r>
      </text>
    </comment>
    <comment ref="AP1" authorId="0" shapeId="0" xr:uid="{00000000-0006-0000-0300-000002000000}">
      <text>
        <r>
          <rPr>
            <b/>
            <u/>
            <sz val="9"/>
            <color rgb="FF000000"/>
            <rFont val="Tahoma"/>
            <family val="2"/>
          </rPr>
          <t>Se debe combinar valores de celdas de la columna AP para los contratos que sean presentados por varios integrantes.</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<sst xmlns="http://schemas.openxmlformats.org/spreadsheetml/2006/main" count="4997" uniqueCount="1392">
  <si>
    <t>Concurso</t>
  </si>
  <si>
    <t>Presupuesto Oficial</t>
  </si>
  <si>
    <t>Año</t>
  </si>
  <si>
    <t>Presupuesto Oficial (SMMLV)</t>
  </si>
  <si>
    <t>Parámetros</t>
  </si>
  <si>
    <t>Experiencia</t>
  </si>
  <si>
    <t>Discapacidad</t>
  </si>
  <si>
    <t>Desempate</t>
  </si>
  <si>
    <t>Exp. Min por contrato</t>
  </si>
  <si>
    <t>Sumatoria Experiencia</t>
  </si>
  <si>
    <t>Porcentaje Requerido P.O.</t>
  </si>
  <si>
    <t>Valor</t>
  </si>
  <si>
    <t>Criterio</t>
  </si>
  <si>
    <t>Fecha de cierre según Adendas</t>
  </si>
  <si>
    <t>Fecha de Adjudicación</t>
  </si>
  <si>
    <t xml:space="preserve">AÑO </t>
  </si>
  <si>
    <t>VALOR (COP)</t>
  </si>
  <si>
    <t>N°</t>
  </si>
  <si>
    <t>PROPONENTE</t>
  </si>
  <si>
    <t>CÓDIGO DE INTEGRANTE(S)</t>
  </si>
  <si>
    <t>INTEGRANTE(S)</t>
  </si>
  <si>
    <t>% PARTICIPACIÓN</t>
  </si>
  <si>
    <t>Sub num 3) 10% Nómina Discapacidad según Pliego de Condiciones</t>
  </si>
  <si>
    <t>MÓDULO 1</t>
  </si>
  <si>
    <t>CRITERIO DESEMPATE SUBNUMERAL 3</t>
  </si>
  <si>
    <t>INTEGRANTE QUE ACREDITA % NOMINA DISCAPACIDAD</t>
  </si>
  <si>
    <t>PUNTAJE ADICIONAL PROPONENTES CON TRABAJADORES CON DISCAPACIDAD</t>
  </si>
  <si>
    <t>MAYOR AL 40% DE LA EXP REQUERIDA</t>
  </si>
  <si>
    <t>INTEGRANTE QUE ACREDITA EXPERIENCIA REQUERIDA
 ACREDITA NOMIMA DISCAPACIDAD</t>
  </si>
  <si>
    <t>PUNTAJE:
1 PUNTO</t>
  </si>
  <si>
    <t>P01</t>
  </si>
  <si>
    <t>IDN1</t>
  </si>
  <si>
    <t>IDN2</t>
  </si>
  <si>
    <t>INTEGRANTE</t>
  </si>
  <si>
    <t>PAÍS DE EJECUCIÓN</t>
  </si>
  <si>
    <t>No. CONTRATO</t>
  </si>
  <si>
    <t>OBJETO DEL CONTRATO</t>
  </si>
  <si>
    <t>¿CONTRATO VÁLIDO PARA ACREDITAR EXPERIENCIA?
(SI/NO)</t>
  </si>
  <si>
    <t>FORM COND 1</t>
  </si>
  <si>
    <t>FORM COND 2</t>
  </si>
  <si>
    <t>FORM COND 3</t>
  </si>
  <si>
    <t>PORCENTAJE DE PARTICIPACIÓN</t>
  </si>
  <si>
    <t>Fecha de inicio del contrato</t>
  </si>
  <si>
    <t>Año de Finalización / última facturación</t>
  </si>
  <si>
    <t>SMMLV Finalización / última facturación</t>
  </si>
  <si>
    <t>MONEDA</t>
  </si>
  <si>
    <t>ENTIDAD CONTRATANTE</t>
  </si>
  <si>
    <t>VALOR DEL CONTRATO EN  SMMLV</t>
  </si>
  <si>
    <t>Nº CONSECUTIVO DEL RUP / MATRIZ / EJECUCIÓN</t>
  </si>
  <si>
    <t>¿EL CONTRATO SE ENCUENTRA INSCRITO EN ALGUNOS DE LOS SIGUIENTES CÓDIGOS UNSPSC?</t>
  </si>
  <si>
    <t>Segmento
80
81
81</t>
  </si>
  <si>
    <t>Familia
10
10
10</t>
  </si>
  <si>
    <t>Clase
16
15
22</t>
  </si>
  <si>
    <t>ACTIVIDADES RUP, FORMATO, MATRIZ</t>
  </si>
  <si>
    <t>NOTAS</t>
  </si>
  <si>
    <t>REQUISITOS HABILITANTES</t>
  </si>
  <si>
    <t>CRITERIOS DE CALIFICACIÓN</t>
  </si>
  <si>
    <t xml:space="preserve"> CAPACIDAD JURÍDICA </t>
  </si>
  <si>
    <t>CAPACIDAD FINANCIERA</t>
  </si>
  <si>
    <t xml:space="preserve">CAPACIDAD ORGANIZACIONAL </t>
  </si>
  <si>
    <t xml:space="preserve">PUNTAJE TOTAL </t>
  </si>
  <si>
    <t>Numeral 6.2 Sub num 1</t>
  </si>
  <si>
    <t>Numeral 6.2 Sub num 2</t>
  </si>
  <si>
    <t>Numeral 6.2 Sub num 3</t>
  </si>
  <si>
    <t>Numeral 6.2 Sub num 4</t>
  </si>
  <si>
    <t>Numeral 6.2 Sub num 5</t>
  </si>
  <si>
    <t>Numeral 6.2 Sub num 6</t>
  </si>
  <si>
    <t>Numeral 6.2 Sub num 7</t>
  </si>
  <si>
    <t>Numeral 6.2 Sub num 8</t>
  </si>
  <si>
    <t>Numeral 6.2 Sub num 9</t>
  </si>
  <si>
    <t>Numeral 6.2 Sub num 10</t>
  </si>
  <si>
    <t>Numeral 6.2 Sub num 11</t>
  </si>
  <si>
    <t>DESEMPATE M1</t>
  </si>
  <si>
    <t>VALIDACIÓN</t>
  </si>
  <si>
    <t>SI</t>
  </si>
  <si>
    <t>NO</t>
  </si>
  <si>
    <t>CALIFICACIÓN</t>
  </si>
  <si>
    <t>HÁBIL</t>
  </si>
  <si>
    <t>NO HÁBIL</t>
  </si>
  <si>
    <t>PENDIENTE</t>
  </si>
  <si>
    <t>RECHAZADO</t>
  </si>
  <si>
    <t>Valor del contrato en Pesos incluido IVA
(Contratos en ejecución / Proponente no obligado a RUP)</t>
  </si>
  <si>
    <t>COND 1</t>
  </si>
  <si>
    <t>COND 2</t>
  </si>
  <si>
    <t>COND 3</t>
  </si>
  <si>
    <t>COND 4</t>
  </si>
  <si>
    <t>MÉTODOS DE PONDERACIÓN</t>
  </si>
  <si>
    <t>MEDIANA CON VALOR ABSOLUTO</t>
  </si>
  <si>
    <t>MEDIA GEOMÉTRICA</t>
  </si>
  <si>
    <t>MEDIA ARITMÉTICA BAJA</t>
  </si>
  <si>
    <t>MEDIA ARITMÉTICA ALTA</t>
  </si>
  <si>
    <t>TRM DEL SEGUNDO DÍA HÁBIL DESPUÉS DEL CIERRE DEL PROCESO</t>
  </si>
  <si>
    <t>VALOR</t>
  </si>
  <si>
    <t>CENTÉSIMAS</t>
  </si>
  <si>
    <t>PARÁMETROS PARA LA PONDERACIÓN DE LA EXPERIENCIA</t>
  </si>
  <si>
    <t>NÚMERO DE PROPUESTAS VÁLIDAS</t>
  </si>
  <si>
    <t>MÍNIMO</t>
  </si>
  <si>
    <t>MÁXIMO</t>
  </si>
  <si>
    <t>MEDIA ARITMÉTICA</t>
  </si>
  <si>
    <t>MEDIANA</t>
  </si>
  <si>
    <t>PUNTAJE POR EXPERIENCIA</t>
  </si>
  <si>
    <t>MÉTODOS</t>
  </si>
  <si>
    <t>1. Mediana con Valor Absoluto</t>
  </si>
  <si>
    <t>¿Número de Propuestas Válidas es Par o Impar?</t>
  </si>
  <si>
    <t>2. Media Geométrica</t>
  </si>
  <si>
    <t>3. Media Aritmética Alta</t>
  </si>
  <si>
    <t>4. Media Aritmética Baja</t>
  </si>
  <si>
    <t>NÚMERO DE MÓDULOS DEL PROCESO</t>
  </si>
  <si>
    <t>NO APLICA</t>
  </si>
  <si>
    <t>ESTADÍSTICO USADO PARA PONDERAR</t>
  </si>
  <si>
    <t>PONDERACIÓN</t>
  </si>
  <si>
    <t>No.</t>
  </si>
  <si>
    <t>¿EL PROPONENTE CUMPLIÓ CON LAS EXIGENCIAS MÍNIMAS DE EXPERIENCIA?</t>
  </si>
  <si>
    <t>NÚMERO DE CONTRATOS VÁLIDOS APORTADOS</t>
  </si>
  <si>
    <t>SUMATORIA EN SMMLV DE LOS CONTRATOS VÁLIDOS APORTADOS</t>
  </si>
  <si>
    <t>PROMEDIO EN SMMLV DE LOS CONTRATOS VÁLIDOS APORTADOS</t>
  </si>
  <si>
    <t>CALIFICACIÓN DEL PROPONENTE</t>
  </si>
  <si>
    <t>PUNTAJE OBTENIDO</t>
  </si>
  <si>
    <t>https://www.superfinanciera.gov.co/publicacion/60819</t>
  </si>
  <si>
    <t>ÚLTIMO MÉTODO UTILIZADO (SI APLICA)</t>
  </si>
  <si>
    <t>MÉTODO DE PONDERACIÓN A APLICAR</t>
  </si>
  <si>
    <r>
      <t>Media artimética alta (X</t>
    </r>
    <r>
      <rPr>
        <sz val="6"/>
        <color theme="1"/>
        <rFont val="Calibri"/>
        <family val="2"/>
        <scheme val="minor"/>
      </rPr>
      <t>A</t>
    </r>
    <r>
      <rPr>
        <sz val="10"/>
        <color theme="1"/>
        <rFont val="Calibri"/>
        <family val="2"/>
        <scheme val="minor"/>
      </rPr>
      <t>)</t>
    </r>
  </si>
  <si>
    <r>
      <t>Media artimética baja (X</t>
    </r>
    <r>
      <rPr>
        <sz val="6"/>
        <color theme="1"/>
        <rFont val="Calibri"/>
        <family val="2"/>
        <scheme val="minor"/>
      </rPr>
      <t>B</t>
    </r>
    <r>
      <rPr>
        <sz val="10"/>
        <color theme="1"/>
        <rFont val="Calibri"/>
        <family val="2"/>
        <scheme val="minor"/>
      </rPr>
      <t>)</t>
    </r>
  </si>
  <si>
    <t>P02</t>
  </si>
  <si>
    <t>P03</t>
  </si>
  <si>
    <t>P04</t>
  </si>
  <si>
    <t>P05</t>
  </si>
  <si>
    <t>P06</t>
  </si>
  <si>
    <t>P07</t>
  </si>
  <si>
    <t>P08</t>
  </si>
  <si>
    <t>P09</t>
  </si>
  <si>
    <t>P10</t>
  </si>
  <si>
    <t>P11</t>
  </si>
  <si>
    <t>P12</t>
  </si>
  <si>
    <t>P13</t>
  </si>
  <si>
    <t>P14</t>
  </si>
  <si>
    <t>P15</t>
  </si>
  <si>
    <t>P16</t>
  </si>
  <si>
    <t>P17</t>
  </si>
  <si>
    <t>P18</t>
  </si>
  <si>
    <t>P19</t>
  </si>
  <si>
    <t>P20</t>
  </si>
  <si>
    <t>P21</t>
  </si>
  <si>
    <t>operación min</t>
  </si>
  <si>
    <t>verificación min</t>
  </si>
  <si>
    <t>valor si mínimo</t>
  </si>
  <si>
    <t>Media geométrica (Mg)</t>
  </si>
  <si>
    <t>operación min mg</t>
  </si>
  <si>
    <t>verificación min mg</t>
  </si>
  <si>
    <t>valor si minimo mg</t>
  </si>
  <si>
    <r>
      <t>Producto (1x10</t>
    </r>
    <r>
      <rPr>
        <vertAlign val="superscript"/>
        <sz val="10"/>
        <color theme="1"/>
        <rFont val="Calibri"/>
        <family val="2"/>
        <scheme val="minor"/>
      </rPr>
      <t>7</t>
    </r>
    <r>
      <rPr>
        <sz val="10"/>
        <color theme="1"/>
        <rFont val="Calibri"/>
        <family val="2"/>
        <scheme val="minor"/>
      </rPr>
      <t>)</t>
    </r>
  </si>
  <si>
    <t>Valor de la Propuesta que se encuentra más cerca (por exceso o por defecto) al valor de la Media Geometrica</t>
  </si>
  <si>
    <t>SMMLV aportado por integrante en Experiencia</t>
  </si>
  <si>
    <t>EXPERIENCIA</t>
  </si>
  <si>
    <r>
      <t>PROMEDIO EN SMMLV DE LOS CONTRATOS APORTADOS VÁLIDOS (PARA CÁLCULO MG)
(1x10</t>
    </r>
    <r>
      <rPr>
        <b/>
        <vertAlign val="superscript"/>
        <sz val="11"/>
        <color theme="1"/>
        <rFont val="Calibri"/>
        <family val="2"/>
        <scheme val="minor"/>
      </rPr>
      <t>7</t>
    </r>
    <r>
      <rPr>
        <b/>
        <sz val="11"/>
        <color theme="1"/>
        <rFont val="Calibri"/>
        <family val="2"/>
        <scheme val="minor"/>
      </rPr>
      <t>)</t>
    </r>
  </si>
  <si>
    <t>Fecha de cierre según Secop II</t>
  </si>
  <si>
    <t>Proyecto</t>
  </si>
  <si>
    <t>DETERMINACIÓN DEL MÉTODO PARA LA EXPERIENCIA PONDERABLE</t>
  </si>
  <si>
    <t>PUNTAJE APOYO A LA INDUSTRIA NACIONAL
(10) Puntos</t>
  </si>
  <si>
    <t>PUNTAJE DISCAPACIDAD 
(01) Puntos</t>
  </si>
  <si>
    <t>PUNTAJE
(100) Puntos</t>
  </si>
  <si>
    <t xml:space="preserve">Fecha de terminación del contrato </t>
  </si>
  <si>
    <t>PUNTAJE FACTOR DE SOSTENIBILIDAD
(01) PUNTOS</t>
  </si>
  <si>
    <t>PUNTAJE CRITERIO DIFERENCIAL
MIPYME DOMICILIADA EN COLOMBIA
(0,25) PUNTOS</t>
  </si>
  <si>
    <t>PUNTAJE CRITERIO DIFERENCIAL
EMPRENDIMIENTOS Y EMPRESAS DE MUJERES
(0,25) PUNTOS</t>
  </si>
  <si>
    <t>PUNTAJE EXPERIENCIA PONDERABLE
(77.50) Puntos</t>
  </si>
  <si>
    <t>ACREDITA CRITERIO DIFERENCIAL
EMPRENDIMIENTOS Y EMPRESAS DE MUJERES
?</t>
  </si>
  <si>
    <t>ACREDITA CRITERIO DIFERENCIAL
MIPYME
?</t>
  </si>
  <si>
    <t>REDUCCIÓN DE PUNTAJE POR INCUMPLIMIENTO DE CONTRATOS
(APLICACIÓN LEY 2020 DE 2020)
(-1) Puntos</t>
  </si>
  <si>
    <t>REDUCCIÓN DE PUNTAJE POR MULTAS O CLÁUSULAS PENALES DURANTE EL ÚLTIMO AÑO
(APLICACIÓN ARTÍCULO 58 LEY 2195 DE 2022)
(-2) PUNTOS</t>
  </si>
  <si>
    <t>P01-01</t>
  </si>
  <si>
    <t>NÚMERO TOTAL MAXIMO DE CONTRATOS ADICIONALES POR CRITERIO DIFERENCIAL</t>
  </si>
  <si>
    <t>P02-01</t>
  </si>
  <si>
    <t>P03-01</t>
  </si>
  <si>
    <t>P03-02</t>
  </si>
  <si>
    <t>P04-01</t>
  </si>
  <si>
    <t>P05-01</t>
  </si>
  <si>
    <t>P06-01</t>
  </si>
  <si>
    <t>P06-02</t>
  </si>
  <si>
    <t>P07-01</t>
  </si>
  <si>
    <t>P07-02</t>
  </si>
  <si>
    <t>P08-02</t>
  </si>
  <si>
    <t>P08-01</t>
  </si>
  <si>
    <t>P09-01</t>
  </si>
  <si>
    <t>P09-02</t>
  </si>
  <si>
    <t>P10-01</t>
  </si>
  <si>
    <t>P10-02</t>
  </si>
  <si>
    <t>P11-02</t>
  </si>
  <si>
    <t>P11-01</t>
  </si>
  <si>
    <t>P12-01</t>
  </si>
  <si>
    <t>P13-01</t>
  </si>
  <si>
    <t>P14-01</t>
  </si>
  <si>
    <t>P15-01</t>
  </si>
  <si>
    <t>CONTRATOS ADICIONALES POR CRITERIOS DIFERENCIALES</t>
  </si>
  <si>
    <t>OBSERVACIONES</t>
  </si>
  <si>
    <t xml:space="preserve">¿EL CONTRATO FUE OBJETO DE SUBSANE?
</t>
  </si>
  <si>
    <t xml:space="preserve">CALIFICACIÓN HABILITANTE 
</t>
  </si>
  <si>
    <t xml:space="preserve">¿CONTRATO VÁLIDO PARA EFECTOS DE DETERMINACIÓN DEL PROMEDIO?
</t>
  </si>
  <si>
    <t>¿CON LOS CONTRATOS APORTADOS QUE NO FUERON OBJETO DE SUBSANE SE DA CUMPLIMIENTO FRENTE A LA EXPERIENCIA MÍNIMA REQUERIDA</t>
  </si>
  <si>
    <t xml:space="preserve">NÚMERO DE CONTRATOS VÁLIDOS QUE NO FUERON OBJETO DE SUBSANE (APLICA PARA PROPONENTES QUE DIERON CUMPLIMIENTO FRENTE A LA EXPERIENCIA MÍNIMA REQUERIDA)
</t>
  </si>
  <si>
    <t>PROMEDIO EN SMMLV DE LOS CONTRATOS VÁLIDOS APORTADOS QUE NO FUERON OBJETO DE SUBSANE</t>
  </si>
  <si>
    <t>SUMATORIA EN SMMLV DE LOS CONTRATOS VÁLIDOS APORTADOS QUE NO FUERON OBJETO DE SUBSANE</t>
  </si>
  <si>
    <t xml:space="preserve">SMMLV DEL CONTRATO PONDERADO
</t>
  </si>
  <si>
    <t xml:space="preserve">SUMATORIA EXPERIENCIA ACREDITADA
</t>
  </si>
  <si>
    <t>MIPYME</t>
  </si>
  <si>
    <t>MUJERES</t>
  </si>
  <si>
    <t>Observaciones Aspectos Ponderables</t>
  </si>
  <si>
    <t>P01-02</t>
  </si>
  <si>
    <t>P01-03</t>
  </si>
  <si>
    <t>P05-02</t>
  </si>
  <si>
    <t>P07-03</t>
  </si>
  <si>
    <t>P08-03</t>
  </si>
  <si>
    <t>P13-02</t>
  </si>
  <si>
    <t>P15-02</t>
  </si>
  <si>
    <t>P15-03</t>
  </si>
  <si>
    <t>P01-04</t>
  </si>
  <si>
    <t>P01-05</t>
  </si>
  <si>
    <t>P01-06</t>
  </si>
  <si>
    <t>P02-02</t>
  </si>
  <si>
    <t>P02-03</t>
  </si>
  <si>
    <t>P02-04</t>
  </si>
  <si>
    <t>P02-05</t>
  </si>
  <si>
    <t>P02-06</t>
  </si>
  <si>
    <t>P03-03</t>
  </si>
  <si>
    <t>P03-04</t>
  </si>
  <si>
    <t>P03-05</t>
  </si>
  <si>
    <t>P03-06</t>
  </si>
  <si>
    <t>P04-02</t>
  </si>
  <si>
    <t>P04-03</t>
  </si>
  <si>
    <t>P04-04</t>
  </si>
  <si>
    <t>P04-05</t>
  </si>
  <si>
    <t>P04-06</t>
  </si>
  <si>
    <t>P05-03</t>
  </si>
  <si>
    <t>P05-04</t>
  </si>
  <si>
    <t>P05-05</t>
  </si>
  <si>
    <t>P05-06</t>
  </si>
  <si>
    <t>P06-03</t>
  </si>
  <si>
    <t>P06-04</t>
  </si>
  <si>
    <t>P06-05</t>
  </si>
  <si>
    <t>P06-06</t>
  </si>
  <si>
    <t>P07-04</t>
  </si>
  <si>
    <t>P07-05</t>
  </si>
  <si>
    <t>P07-06</t>
  </si>
  <si>
    <t>P08-04</t>
  </si>
  <si>
    <t>P08-05</t>
  </si>
  <si>
    <t>P08-06</t>
  </si>
  <si>
    <t>P09-03</t>
  </si>
  <si>
    <t>P09-04</t>
  </si>
  <si>
    <t>P09-05</t>
  </si>
  <si>
    <t>P09-06</t>
  </si>
  <si>
    <t>P10-03</t>
  </si>
  <si>
    <t>P10-04</t>
  </si>
  <si>
    <t>P10-05</t>
  </si>
  <si>
    <t>P10-06</t>
  </si>
  <si>
    <t>P11-03</t>
  </si>
  <si>
    <t>P11-04</t>
  </si>
  <si>
    <t>P11-05</t>
  </si>
  <si>
    <t>P11-06</t>
  </si>
  <si>
    <t>P15-04</t>
  </si>
  <si>
    <t>P15-05</t>
  </si>
  <si>
    <t>P15-06</t>
  </si>
  <si>
    <t>P22-03</t>
  </si>
  <si>
    <t>P22-04</t>
  </si>
  <si>
    <t>P22-05</t>
  </si>
  <si>
    <t>P22-06</t>
  </si>
  <si>
    <t xml:space="preserve">OBSERVACIONES GENERALES AL PROPONENTE </t>
  </si>
  <si>
    <t>SUBSANE PRESENTADO</t>
  </si>
  <si>
    <t>RESPUESTA DE LA AGENCIA</t>
  </si>
  <si>
    <t>Valor del contrato incluido IVA
(Proponente no obligado a RUP - N/A si el contrato se encuentra inscrito en el RUP)</t>
  </si>
  <si>
    <t>P12-02</t>
  </si>
  <si>
    <t>P12-03</t>
  </si>
  <si>
    <t>P12-04</t>
  </si>
  <si>
    <t>P12-05</t>
  </si>
  <si>
    <t>P12-06</t>
  </si>
  <si>
    <t>P13-03</t>
  </si>
  <si>
    <t>P13-04</t>
  </si>
  <si>
    <t>P13-05</t>
  </si>
  <si>
    <t>P13-06</t>
  </si>
  <si>
    <t>P14-02</t>
  </si>
  <si>
    <t>P14-03</t>
  </si>
  <si>
    <t>P14-04</t>
  </si>
  <si>
    <t>P14-05</t>
  </si>
  <si>
    <t>P14-06</t>
  </si>
  <si>
    <t>P22</t>
  </si>
  <si>
    <t>P23</t>
  </si>
  <si>
    <t>P24</t>
  </si>
  <si>
    <t>P25</t>
  </si>
  <si>
    <t>P26</t>
  </si>
  <si>
    <t>P27</t>
  </si>
  <si>
    <t>P28</t>
  </si>
  <si>
    <t>P29</t>
  </si>
  <si>
    <t>P30</t>
  </si>
  <si>
    <t>P31</t>
  </si>
  <si>
    <t>P32</t>
  </si>
  <si>
    <t>P33</t>
  </si>
  <si>
    <t>P34</t>
  </si>
  <si>
    <t>P35</t>
  </si>
  <si>
    <t>P36</t>
  </si>
  <si>
    <t>P37</t>
  </si>
  <si>
    <t>P38</t>
  </si>
  <si>
    <t>P39</t>
  </si>
  <si>
    <t>P40</t>
  </si>
  <si>
    <t>P41</t>
  </si>
  <si>
    <t>P42</t>
  </si>
  <si>
    <t>P43</t>
  </si>
  <si>
    <t>P44</t>
  </si>
  <si>
    <t>P45</t>
  </si>
  <si>
    <t>P46</t>
  </si>
  <si>
    <t>P47</t>
  </si>
  <si>
    <t>P48</t>
  </si>
  <si>
    <t>P49</t>
  </si>
  <si>
    <t>P50</t>
  </si>
  <si>
    <t>P51</t>
  </si>
  <si>
    <t>P52</t>
  </si>
  <si>
    <t>P53</t>
  </si>
  <si>
    <t>P54</t>
  </si>
  <si>
    <t>P55</t>
  </si>
  <si>
    <t>P56</t>
  </si>
  <si>
    <t>P16-01</t>
  </si>
  <si>
    <t>P16-02</t>
  </si>
  <si>
    <t>P16-03</t>
  </si>
  <si>
    <t>P16-04</t>
  </si>
  <si>
    <t>P16-05</t>
  </si>
  <si>
    <t>P16-06</t>
  </si>
  <si>
    <t>P17-01</t>
  </si>
  <si>
    <t>P17-02</t>
  </si>
  <si>
    <t>P17-03</t>
  </si>
  <si>
    <t>P17-04</t>
  </si>
  <si>
    <t>P17-05</t>
  </si>
  <si>
    <t>P17-06</t>
  </si>
  <si>
    <t>P18-01</t>
  </si>
  <si>
    <t>P18-02</t>
  </si>
  <si>
    <t>P18-03</t>
  </si>
  <si>
    <t>P18-04</t>
  </si>
  <si>
    <t>P18-05</t>
  </si>
  <si>
    <t>P18-06</t>
  </si>
  <si>
    <t>P19-01</t>
  </si>
  <si>
    <t>P19-02</t>
  </si>
  <si>
    <t>P19-03</t>
  </si>
  <si>
    <t>P19-04</t>
  </si>
  <si>
    <t>P19-05</t>
  </si>
  <si>
    <t>P19-06</t>
  </si>
  <si>
    <t>P20-01</t>
  </si>
  <si>
    <t>P20-02</t>
  </si>
  <si>
    <t>P20-03</t>
  </si>
  <si>
    <t>P20-04</t>
  </si>
  <si>
    <t>P20-05</t>
  </si>
  <si>
    <t>P20-06</t>
  </si>
  <si>
    <t>P21-01</t>
  </si>
  <si>
    <t>P21-02</t>
  </si>
  <si>
    <t>P21-03</t>
  </si>
  <si>
    <t>P21-04</t>
  </si>
  <si>
    <t>P21-05</t>
  </si>
  <si>
    <t>P21-06</t>
  </si>
  <si>
    <t>P22-01</t>
  </si>
  <si>
    <t>P22-02</t>
  </si>
  <si>
    <t>P23-01</t>
  </si>
  <si>
    <t>P23-02</t>
  </si>
  <si>
    <t>P23-03</t>
  </si>
  <si>
    <t>P23-04</t>
  </si>
  <si>
    <t>P23-05</t>
  </si>
  <si>
    <t>P23-06</t>
  </si>
  <si>
    <t>P24-01</t>
  </si>
  <si>
    <t>P24-02</t>
  </si>
  <si>
    <t>P24-03</t>
  </si>
  <si>
    <t>P24-04</t>
  </si>
  <si>
    <t>P24-05</t>
  </si>
  <si>
    <t>P24-06</t>
  </si>
  <si>
    <t>P25-01</t>
  </si>
  <si>
    <t>P25-02</t>
  </si>
  <si>
    <t>P25-03</t>
  </si>
  <si>
    <t>P25-04</t>
  </si>
  <si>
    <t>P25-05</t>
  </si>
  <si>
    <t>P25-06</t>
  </si>
  <si>
    <t>P26-01</t>
  </si>
  <si>
    <t>P26-02</t>
  </si>
  <si>
    <t>P26-03</t>
  </si>
  <si>
    <t>P26-04</t>
  </si>
  <si>
    <t>P26-05</t>
  </si>
  <si>
    <t>P26-06</t>
  </si>
  <si>
    <t>P27-01</t>
  </si>
  <si>
    <t>P27-02</t>
  </si>
  <si>
    <t>P27-03</t>
  </si>
  <si>
    <t>P27-04</t>
  </si>
  <si>
    <t>P27-05</t>
  </si>
  <si>
    <t>P27-06</t>
  </si>
  <si>
    <t>P28-01</t>
  </si>
  <si>
    <t>P28-02</t>
  </si>
  <si>
    <t>P28-03</t>
  </si>
  <si>
    <t>P28-04</t>
  </si>
  <si>
    <t>P28-05</t>
  </si>
  <si>
    <t>P28-06</t>
  </si>
  <si>
    <t>P29-01</t>
  </si>
  <si>
    <t>P29-02</t>
  </si>
  <si>
    <t>P29-03</t>
  </si>
  <si>
    <t>P29-04</t>
  </si>
  <si>
    <t>P29-05</t>
  </si>
  <si>
    <t>P29-06</t>
  </si>
  <si>
    <t>P30-01</t>
  </si>
  <si>
    <t>P30-02</t>
  </si>
  <si>
    <t>P30-03</t>
  </si>
  <si>
    <t>P30-04</t>
  </si>
  <si>
    <t>P30-05</t>
  </si>
  <si>
    <t>P30-06</t>
  </si>
  <si>
    <t>P31-01</t>
  </si>
  <si>
    <t>P31-02</t>
  </si>
  <si>
    <t>P31-03</t>
  </si>
  <si>
    <t>P31-04</t>
  </si>
  <si>
    <t>P31-05</t>
  </si>
  <si>
    <t>P31-06</t>
  </si>
  <si>
    <t>P32-01</t>
  </si>
  <si>
    <t>P32-02</t>
  </si>
  <si>
    <t>P32-03</t>
  </si>
  <si>
    <t>P32-04</t>
  </si>
  <si>
    <t>P32-05</t>
  </si>
  <si>
    <t>P32-06</t>
  </si>
  <si>
    <t>P33-01</t>
  </si>
  <si>
    <t>P33-02</t>
  </si>
  <si>
    <t>P33-03</t>
  </si>
  <si>
    <t>P33-04</t>
  </si>
  <si>
    <t>P33-05</t>
  </si>
  <si>
    <t>P33-06</t>
  </si>
  <si>
    <t>P34-01</t>
  </si>
  <si>
    <t>P34-02</t>
  </si>
  <si>
    <t>P34-03</t>
  </si>
  <si>
    <t>P34-04</t>
  </si>
  <si>
    <t>P34-05</t>
  </si>
  <si>
    <t>P34-06</t>
  </si>
  <si>
    <t>P35-01</t>
  </si>
  <si>
    <t>P35-02</t>
  </si>
  <si>
    <t>P35-03</t>
  </si>
  <si>
    <t>P35-04</t>
  </si>
  <si>
    <t>P35-05</t>
  </si>
  <si>
    <t>P35-06</t>
  </si>
  <si>
    <t>P36-01</t>
  </si>
  <si>
    <t>P36-02</t>
  </si>
  <si>
    <t>P36-03</t>
  </si>
  <si>
    <t>P36-04</t>
  </si>
  <si>
    <t>P36-05</t>
  </si>
  <si>
    <t>P36-06</t>
  </si>
  <si>
    <t>P37-01</t>
  </si>
  <si>
    <t>P37-02</t>
  </si>
  <si>
    <t>P37-03</t>
  </si>
  <si>
    <t>P37-04</t>
  </si>
  <si>
    <t>P37-05</t>
  </si>
  <si>
    <t>P37-06</t>
  </si>
  <si>
    <t>P38-01</t>
  </si>
  <si>
    <t>P38-02</t>
  </si>
  <si>
    <t>P38-03</t>
  </si>
  <si>
    <t>P38-04</t>
  </si>
  <si>
    <t>P38-05</t>
  </si>
  <si>
    <t>P38-06</t>
  </si>
  <si>
    <t>P39-01</t>
  </si>
  <si>
    <t>P39-02</t>
  </si>
  <si>
    <t>P39-03</t>
  </si>
  <si>
    <t>P39-04</t>
  </si>
  <si>
    <t>P39-05</t>
  </si>
  <si>
    <t>P39-06</t>
  </si>
  <si>
    <t>P40-01</t>
  </si>
  <si>
    <t>P40-02</t>
  </si>
  <si>
    <t>P40-03</t>
  </si>
  <si>
    <t>P40-04</t>
  </si>
  <si>
    <t>P40-05</t>
  </si>
  <si>
    <t>P40-06</t>
  </si>
  <si>
    <t>P41-01</t>
  </si>
  <si>
    <t>P41-02</t>
  </si>
  <si>
    <t>P41-03</t>
  </si>
  <si>
    <t>P41-04</t>
  </si>
  <si>
    <t>P41-05</t>
  </si>
  <si>
    <t>P41-06</t>
  </si>
  <si>
    <t>P42-01</t>
  </si>
  <si>
    <t>P42-02</t>
  </si>
  <si>
    <t>P42-03</t>
  </si>
  <si>
    <t>P42-04</t>
  </si>
  <si>
    <t>P42-05</t>
  </si>
  <si>
    <t>P42-06</t>
  </si>
  <si>
    <t>P43-01</t>
  </si>
  <si>
    <t>P43-02</t>
  </si>
  <si>
    <t>P43-03</t>
  </si>
  <si>
    <t>P43-04</t>
  </si>
  <si>
    <t>P43-05</t>
  </si>
  <si>
    <t>P43-06</t>
  </si>
  <si>
    <t>P44-01</t>
  </si>
  <si>
    <t>P44-02</t>
  </si>
  <si>
    <t>P44-03</t>
  </si>
  <si>
    <t>P44-04</t>
  </si>
  <si>
    <t>P44-05</t>
  </si>
  <si>
    <t>P44-06</t>
  </si>
  <si>
    <t>P45-01</t>
  </si>
  <si>
    <t>P45-02</t>
  </si>
  <si>
    <t>P45-03</t>
  </si>
  <si>
    <t>P45-04</t>
  </si>
  <si>
    <t>P45-05</t>
  </si>
  <si>
    <t>P45-06</t>
  </si>
  <si>
    <t>P46-01</t>
  </si>
  <si>
    <t>P46-02</t>
  </si>
  <si>
    <t>P46-03</t>
  </si>
  <si>
    <t>P46-04</t>
  </si>
  <si>
    <t>P46-05</t>
  </si>
  <si>
    <t>P46-06</t>
  </si>
  <si>
    <t>P47-01</t>
  </si>
  <si>
    <t>P47-02</t>
  </si>
  <si>
    <t>P47-03</t>
  </si>
  <si>
    <t>P47-04</t>
  </si>
  <si>
    <t>P47-05</t>
  </si>
  <si>
    <t>P47-06</t>
  </si>
  <si>
    <t>P48-01</t>
  </si>
  <si>
    <t>P48-02</t>
  </si>
  <si>
    <t>P48-03</t>
  </si>
  <si>
    <t>P48-04</t>
  </si>
  <si>
    <t>P48-05</t>
  </si>
  <si>
    <t>P48-06</t>
  </si>
  <si>
    <t>P49-01</t>
  </si>
  <si>
    <t>P49-02</t>
  </si>
  <si>
    <t>P49-03</t>
  </si>
  <si>
    <t>P49-04</t>
  </si>
  <si>
    <t>P49-05</t>
  </si>
  <si>
    <t>P49-06</t>
  </si>
  <si>
    <t>P50-01</t>
  </si>
  <si>
    <t>P50-02</t>
  </si>
  <si>
    <t>P50-03</t>
  </si>
  <si>
    <t>P50-04</t>
  </si>
  <si>
    <t>P50-05</t>
  </si>
  <si>
    <t>P50-06</t>
  </si>
  <si>
    <t>P51-01</t>
  </si>
  <si>
    <t>P51-02</t>
  </si>
  <si>
    <t>P51-03</t>
  </si>
  <si>
    <t>P51-04</t>
  </si>
  <si>
    <t>P51-05</t>
  </si>
  <si>
    <t>P51-06</t>
  </si>
  <si>
    <t>P52-01</t>
  </si>
  <si>
    <t>P52-02</t>
  </si>
  <si>
    <t>P52-03</t>
  </si>
  <si>
    <t>P52-04</t>
  </si>
  <si>
    <t>P52-05</t>
  </si>
  <si>
    <t>P52-06</t>
  </si>
  <si>
    <t>P53-01</t>
  </si>
  <si>
    <t>P53-02</t>
  </si>
  <si>
    <t>P53-03</t>
  </si>
  <si>
    <t>P53-04</t>
  </si>
  <si>
    <t>P53-05</t>
  </si>
  <si>
    <t>P53-06</t>
  </si>
  <si>
    <t>P54-01</t>
  </si>
  <si>
    <t>P54-02</t>
  </si>
  <si>
    <t>P54-03</t>
  </si>
  <si>
    <t>P54-04</t>
  </si>
  <si>
    <t>P54-05</t>
  </si>
  <si>
    <t>P54-06</t>
  </si>
  <si>
    <t>P55-01</t>
  </si>
  <si>
    <t>P55-02</t>
  </si>
  <si>
    <t>P55-03</t>
  </si>
  <si>
    <t>P55-04</t>
  </si>
  <si>
    <t>P55-05</t>
  </si>
  <si>
    <t>P55-06</t>
  </si>
  <si>
    <t>P56-01</t>
  </si>
  <si>
    <t>P56-02</t>
  </si>
  <si>
    <t>P56-03</t>
  </si>
  <si>
    <t>P56-04</t>
  </si>
  <si>
    <t>P56-05</t>
  </si>
  <si>
    <t>P56-06</t>
  </si>
  <si>
    <t>Exp. Min, al menos uno de los integrantes de la figura asociativa acreditará mínimo el 51% de la experiencia solicitada.</t>
  </si>
  <si>
    <t>VIGENCIA DEL CONTRATO: N/A</t>
  </si>
  <si>
    <t>a) Un (1) contrato debe ser de interventoría de proyectos que incluyen dentro de su objeto o alcance la construcción y/o mejoramiento y/o rehabilitación y/o reconstrucción y/o ampliación de obras de Infraestructura de Transporte Vial.
NOTA GENERAL: No serán validos los contratos cuyo alcance y/o actividades sean única y exclusivamente de interventoría de mantenimiento de proyectos de infraestructura de transporte.</t>
  </si>
  <si>
    <t>b) Un (1) contrato debe ser de interventoría de una concesión de un proyecto de infraestructura de transporte celebrado y ejecutado en Colombia y que incluya por lo menos dentro de su objeto y/o alcance de interventoría técnica y financiera, y/o técnica y social, y/o técnica y ambiental del proyecto, el cual deberá acreditar como mínimo la construcción y/o mejoramiento y/o rehabilitación y/o reconstrucción de obras de infraestructura de transporte. En todo caso, si el respectivo contrato adicionalmente acredita fase de preconstrucción y/o etapa de operación y mantenimiento se tendrá en cuenta el valor total del contrato aportado.
NOTA GENERAL: No serán validos los contratos cuyo alcance y/o actividades sean única y exclusivamente de interventoría de mantenimiento de proyectos de infraestructura de transporte.</t>
  </si>
  <si>
    <t>c) Los contratos restantes por acreditar deberán ser de interventoría de proyectos que incluyen dentro de su objeto o alcance la construcción y/o mejoramiento y/o rehabilitación y/o reconstrucción y/o ampliación de obras de Infraestructura de Transporte: Vial, Puertos, Aeropuertos o infraestructura Férrea de pasajeros o de carga, urbano o interurbano.
NOTA GENERAL: No serán validos los contratos cuyo alcance y/o actividades sean única y exclusivamente de interventoría de mantenimiento de proyectos de infraestructura de transporte.</t>
  </si>
  <si>
    <t>EXPERIENCIA MÍNIMA AL MENOS UNO DE LOS INTEGRANTES ACREDITA EL 51% DE LA EXPERIENCIA SOLICITADA</t>
  </si>
  <si>
    <t>EXPERIENCIA MÍNIMA REQUERIDA POR CONTRATO</t>
  </si>
  <si>
    <t>¿EN CASO DE FIGURA ASOCIATIVA, CADA UNO DE LOS INTEGRANTES CUMPLE CON LO ESTABLECIDO DENTRO DE LA NOTA GENERAL 6 DEL NUMERAL 3.4.1.?</t>
  </si>
  <si>
    <t xml:space="preserve">¿LOS CONTRATOS APORTADOS CUMPLEN CON LO ESTABLECIDO EN LAS VIÑETAS a) Y b) DEL NUMERAL 3.4.1.
</t>
  </si>
  <si>
    <t>VERIFICACIÓN AL MENOS UNO DE LOS INTEGRANTES ACREDITA EL 51% DE EXPERIENCIA
(SI / NO / N/A)</t>
  </si>
  <si>
    <r>
      <t xml:space="preserve">EQUIPO DE TRABAJO (Personal Mínimo Obligatorio)
</t>
    </r>
    <r>
      <rPr>
        <b/>
        <sz val="11"/>
        <color theme="0"/>
        <rFont val="Calibri"/>
        <family val="2"/>
        <scheme val="minor"/>
      </rPr>
      <t>Formato 10</t>
    </r>
  </si>
  <si>
    <t>VERIFICAR INTEGRANTE ACREDITA EL 51% DE LA EXPERIENCIA SOLICITADA  (INDICAR CON UNA "X" EN CASO QUE APLIQUE)</t>
  </si>
  <si>
    <t>SOLICITUDES</t>
  </si>
  <si>
    <t>OFERTA ECONÓMICA</t>
  </si>
  <si>
    <t>P57</t>
  </si>
  <si>
    <t>P58</t>
  </si>
  <si>
    <t>P57-01</t>
  </si>
  <si>
    <t>P57-02</t>
  </si>
  <si>
    <t>P57-03</t>
  </si>
  <si>
    <t>P57-04</t>
  </si>
  <si>
    <t>P57-05</t>
  </si>
  <si>
    <t>P57-06</t>
  </si>
  <si>
    <t>P58-01</t>
  </si>
  <si>
    <t>P58-02</t>
  </si>
  <si>
    <t>P58-03</t>
  </si>
  <si>
    <t>P58-04</t>
  </si>
  <si>
    <t>P58-05</t>
  </si>
  <si>
    <t>P58-06</t>
  </si>
  <si>
    <t>EQUIPO DE TRABAJO (Personal Clave Evaluable)
Formato No. 11
(10) Puntos</t>
  </si>
  <si>
    <t>P59</t>
  </si>
  <si>
    <t>P60</t>
  </si>
  <si>
    <t>P61</t>
  </si>
  <si>
    <t>P62</t>
  </si>
  <si>
    <t>P63</t>
  </si>
  <si>
    <t>P64</t>
  </si>
  <si>
    <t>P65</t>
  </si>
  <si>
    <t>P66</t>
  </si>
  <si>
    <t>P67</t>
  </si>
  <si>
    <t>P59-01</t>
  </si>
  <si>
    <t>P59-02</t>
  </si>
  <si>
    <t>P59-03</t>
  </si>
  <si>
    <t>P59-04</t>
  </si>
  <si>
    <t>P59-05</t>
  </si>
  <si>
    <t>P59-06</t>
  </si>
  <si>
    <t>P60-01</t>
  </si>
  <si>
    <t>P60-02</t>
  </si>
  <si>
    <t>P60-03</t>
  </si>
  <si>
    <t>P60-04</t>
  </si>
  <si>
    <t>P60-05</t>
  </si>
  <si>
    <t>P60-06</t>
  </si>
  <si>
    <t>P61-01</t>
  </si>
  <si>
    <t>P61-02</t>
  </si>
  <si>
    <t>P61-03</t>
  </si>
  <si>
    <t>P61-04</t>
  </si>
  <si>
    <t>P61-05</t>
  </si>
  <si>
    <t>P61-06</t>
  </si>
  <si>
    <t>P62-01</t>
  </si>
  <si>
    <t>P62-02</t>
  </si>
  <si>
    <t>P62-03</t>
  </si>
  <si>
    <t>P62-04</t>
  </si>
  <si>
    <t>P62-05</t>
  </si>
  <si>
    <t>P62-06</t>
  </si>
  <si>
    <t>P63-01</t>
  </si>
  <si>
    <t>P63-02</t>
  </si>
  <si>
    <t>P63-03</t>
  </si>
  <si>
    <t>P63-04</t>
  </si>
  <si>
    <t>P63-05</t>
  </si>
  <si>
    <t>P63-06</t>
  </si>
  <si>
    <t>P64-01</t>
  </si>
  <si>
    <t>P64-02</t>
  </si>
  <si>
    <t>P64-03</t>
  </si>
  <si>
    <t>P64-04</t>
  </si>
  <si>
    <t>P64-05</t>
  </si>
  <si>
    <t>P64-06</t>
  </si>
  <si>
    <t>P65-01</t>
  </si>
  <si>
    <t>P65-02</t>
  </si>
  <si>
    <t>P65-03</t>
  </si>
  <si>
    <t>P65-04</t>
  </si>
  <si>
    <t>P65-05</t>
  </si>
  <si>
    <t>P65-06</t>
  </si>
  <si>
    <t>P66-01</t>
  </si>
  <si>
    <t>P66-02</t>
  </si>
  <si>
    <t>P66-03</t>
  </si>
  <si>
    <t>P66-04</t>
  </si>
  <si>
    <t>P66-05</t>
  </si>
  <si>
    <t>P66-06</t>
  </si>
  <si>
    <t>P67-01</t>
  </si>
  <si>
    <t>P67-02</t>
  </si>
  <si>
    <t>P67-03</t>
  </si>
  <si>
    <t>P67-04</t>
  </si>
  <si>
    <t>P67-05</t>
  </si>
  <si>
    <t>P67-06</t>
  </si>
  <si>
    <t>INTERVENTORÍA INTEGRAL QUE INCLUYE, PERO NO SE LIMITA A: LA INTERVENTORÍA TÉCNICA, ECONÓMICA, FINANCIERA, CONTABLE, JURÍDICA, SOCIAL, PREDIAL, AMBIENTAL, DE REDES, ADMINISTRATIVA, DE SEGUROS, RIESGOS, OPERATIVA, MANTENIMIENTO, ADMINISTRATIVA DE AFORO Y RECAUDO, DE GESTIÓN DE CALIDAD, GESTIÓN DE ARCHIVO DOCUMENTAL Y GESTIÓN DE SEGUIMIENTO DEL CONTRATO DE CONCESIÓN BAJO UN ESQUEMA DE ASOCIACIÓN PÚBLICO PRIVADA QUE SE DERIVE DEL PROCESO LICITATORIO No. VJ-VE-APP-IPB-001-2024 CUYO OBJETO CORRESPONDE A LA 
FINANCIACIÓN, ELABORACIÓN DE ESTUDIOS Y DISEÑOS DEFINITIVOS, GESTIÓN AMBIENTAL, GESTIÓN PREDIAL, GESTIÓN SOCIAL, CONSTRUCCIÓN, REHABILITACIÓN, MEJORAMIENTO, OPERACIÓN Y MANTENIMIENTO DEL 
CORREDOR “EL ESTANQUILLO - POPAYÁN”, DE ACUERDO CON EL ALCANCE DESCRITO EN LA PARTE ESPECIAL, EL APÉNDICE TÉCNICO 1 Y DEMÁS APÉNDICES DEL CONTRATO</t>
  </si>
  <si>
    <t xml:space="preserve">VJ-VEJ-CM-002-2026 </t>
  </si>
  <si>
    <t>CONSORCIO POPAYÁN AR</t>
  </si>
  <si>
    <t>INGERTECOL SAS BIC</t>
  </si>
  <si>
    <t>ACI PROYECTOS SAS</t>
  </si>
  <si>
    <t>CONSULTORES EN INGENIERIA S.A.S</t>
  </si>
  <si>
    <t>RESTREPO Y URIBE S.A.S</t>
  </si>
  <si>
    <t>UNIDAD ADMINISTRATIVA ESPECIAL AERONAUTICA CIVIL</t>
  </si>
  <si>
    <t>COLOMBIA</t>
  </si>
  <si>
    <t>13000281-OK-2013</t>
  </si>
  <si>
    <t>Interventoría técnica y administrativa de la construcción de un sistema complementario de calles de rodaje en el costado occidental del Aeropuerto Internacional El  Dorado - Fase  1.</t>
  </si>
  <si>
    <t>AGENCIA NACIONAL DE INFRAESTRUCTURA - ANI</t>
  </si>
  <si>
    <t>SGC-C-BSPV-085 de 2004</t>
  </si>
  <si>
    <t>Interventoría técnica, financiera y operativa en la etapa de operación y construcción del contrato de concesión No. 0447 de 1994 Carretera: Santafé de Bogotá (Puente El Cortijo) – El Vino - El Chuscal - La Vega - Rio Tobia – Villeta.</t>
  </si>
  <si>
    <t>145 de 2014</t>
  </si>
  <si>
    <t>Interventoría integral del Contrato de Concesión No. 003 de 2014 que involucran la Etapa Preoperativa (Fase de Pre-construcción y Fase de Construcción) y la Etapa de Operación y Mantenimiento del contrato de concesión bajo un esquema de asociación público privada que se derive del proceso licitatorio No. VJ-VEIP-LP-001-2013 correspondiente al corredor denominado "Concesión Honda - Girardot - Puerto Salgar".</t>
  </si>
  <si>
    <t>SEA-057 de 2012</t>
  </si>
  <si>
    <t>Interventoría integral del Contrato de Concesión, que incluye, pero no se limita a la interventoría técnica, financiera, contable, jurídica, medioambiental, socio-predial, administrativa, de seguros, operativa y de mantenimiento del Contrato de Concesión, el cual hace parte del Proyecto Vial RUTA DEL SOL y que corresponde al SECTOR 3 comprendido entre San Roque – Ye de Ciénaga y Valledupar – Carmen de Bolívar.</t>
  </si>
  <si>
    <t>N/A</t>
  </si>
  <si>
    <t>COP</t>
  </si>
  <si>
    <t xml:space="preserve"> CONSORCIO RUTA NACIONAL DEL SUR</t>
  </si>
  <si>
    <t>SALGADO, MELENDEZ INGENIERÍA S.A.S.</t>
  </si>
  <si>
    <t>SALGADO, MELENDEZ Y ASOCIADOS INGENIEROS CONSULTORES S.A.S</t>
  </si>
  <si>
    <t>MOPT - INVIAS</t>
  </si>
  <si>
    <t>445 DE 1985</t>
  </si>
  <si>
    <t>INTERVENTORIA DE LAS OBRAS DE CONSTRUCCION Y PAVIMENTACION DEL SECTOR  INTERSECCION PUERTO SERVIEZ - PUERTO OLAYA, DE LA CARRETERA PUERTO BOYACA PUERTO OLAYA</t>
  </si>
  <si>
    <t>GOBERNACION DEL MAGDALENA</t>
  </si>
  <si>
    <t>001 DE 2007</t>
  </si>
  <si>
    <t>INTERVENTORÍA DE LOS ESTUDIOS Y DISEÑOS DEFINITIVOS Y GESTION PREDIAL DE LA DOBLE CALZADA YE DE CIENAGÁ - SANTA MARTA Y DE LA DOBLE CALZADA DE LA VÍA ALTERNA AL PUERTO, SECTOR QUEBRADA DEL DOCTOR - MAMATOCO Y DISEÑO DE LAS OBRAS COMPLEMENTARIAS Y DEL ESPACIO PUBLICO DEL PLAN VIAL DEL NORTE.
INTERVENTORÍA DE LA CONTRUCCIÓN Y FINANCIACIÓN DE LA SEGUNDA CALZADA ENTRE LA YÉ DE CIÉNAGA Y SANTA MARTA Y REHABILITACIÓN DE LA CALZADA EXISTENTE. CONSTRUCCIÓN Y FINANCIACIÓN DE UNA CALZADA DE LA VÍA ALTERNA AL PUERTO, SECTOR QUEBRADA DEL DOCTOR - MAMATOCO.
INTERVENTORÍA OPERACIÓN, MANTENIMIENTO, Y CONSERVACIÓN Y PRESTACION DE SERVICIOS, DE UNA CALZADA DE LA VÍA ALTERNA AL PUERTO, SECTOR QUEBRADA DEL DOCTOR - MAMATOCO Y LA DOBLE CALZADA YÉ DE CIENAGA - SANTA MARTA.
INTERVENTORÍA AL MANTENIMIENTO, CONSERVACIÓN Y OPERACIÓN DE LA CARRETERA BARRANQUILLA - CIÉNAGA, ACTUALMENTE ENTREGADA EN CONCESIÓN POR EL DEPARTAMENTO MEDIANTE EL CONTRATO NO. 044-93 A PARTIR DEL 1° DE ENERO DE 2013.</t>
  </si>
  <si>
    <t xml:space="preserve">OCCIDENTAL DE COLOMBIA </t>
  </si>
  <si>
    <t>L-5-C</t>
  </si>
  <si>
    <t>INSPECCION E INTERVENTORIA  DEL TERMINAL COVEÑAS, MUELLE DE SERVICIOS DE 450 METROS DE LONGITUD SOBRE PILOTES METÁLICOS Y TABLERO DE CONCRETO PREFABRICADO, PIÑAS DE ATRAQUE,TANQUERO; AEROPUERTO DE 30 METROS DE LONGITUD DE ANCHO Y 1.338 METROS DE LONGITUD EN PAVIMENTO ASFALTICO. DISEÑO ARQUITECTÓNICO, CIVIL Y ELECTROMEÁNICO DEL TERMINAL ÁEREO Y DE LA TORRE DE CONTROL; DISEÑO DEL HOSPITAL DE COVEÑAS, INCLUYENDO OBRAS CIVILES E INSTALACIONES DE AIRE ACONDICIONADO, GASES MEDICINALES Y EQUIPOS; DISEÑO DE SUBESTACIÓN ELÉCTRICA DE 4MVA DE CAPACIDAD para OCCIDENTAL DE COLOMBIA</t>
  </si>
  <si>
    <t>INVIAS</t>
  </si>
  <si>
    <t>2373 DE 2012</t>
  </si>
  <si>
    <t>INTERVENTORIA PARA EL MANTENIMIENTO Y REHABILITACION DE LA RED VIAL PRIMARIA A CARGO DEL INVIAS, GRUPO 5, CARRETERA CIRCUNVALACION DE LA ISLA DE PROVIDENCIA RUTA 0301</t>
  </si>
  <si>
    <t>IDU</t>
  </si>
  <si>
    <t>054 de 2009</t>
  </si>
  <si>
    <t>INTERVENTORÍA TÉCNICA, ADMINISTRATIVA, FINANCIERA, LEGAL, SOCIAL Y AMBIENTAL PARA LA CONSTRUCCIÓN DE LA CALZADA SUR DE LA AVENIDA LA SIRENA (CALLE 153) DESDE LA AVENIDA PASEO DE LOS LIBERTADORES (AUTOPISTA NORTE) HASTA LA AVENIDA BOYACÁ EN BOGOTÁ D.C</t>
  </si>
  <si>
    <t xml:space="preserve">2
</t>
  </si>
  <si>
    <t xml:space="preserve">311
</t>
  </si>
  <si>
    <t xml:space="preserve">67
</t>
  </si>
  <si>
    <t xml:space="preserve">48
</t>
  </si>
  <si>
    <t xml:space="preserve">34 
</t>
  </si>
  <si>
    <t xml:space="preserve"> CONSORCIO TPF CONEXIÓN POPAYAN</t>
  </si>
  <si>
    <t>TPF GETINSA EUROESTUDIOS COLOMBIA</t>
  </si>
  <si>
    <t>EUROESTUDIOS INGENIEROS DE CONSULTA SAS</t>
  </si>
  <si>
    <t>Agencia Nacional de Infraestructura - ANI</t>
  </si>
  <si>
    <t>Colombia</t>
  </si>
  <si>
    <t>010 de 2008</t>
  </si>
  <si>
    <t>Interventoría Técnica, Financiera, Operativa, Predial, Socio - Ambiental y Legal del proyecto de Concesión Malla Vial del Valle del Cauca y Cauca - MWCC, en el marco del contrato de concesión 005 de 1999, cuyo objeto es elde revisar, verificar, analizar, y conceptuar, permanentemente sobre todos los aspectos Técnicos, Financieros, Operativos, Prediales, Socio - Ambientales y Legales relacionados con el diseño, la construcción, la operación y el mantenimiento de los siguientes tramos pertenecientes al Contrato de Concesión 005 de 1999 "Malla Vial del Valle del Cauca y Cauca - MVVCC" sus obras complementarias</t>
  </si>
  <si>
    <t>Ministerio de Fomento</t>
  </si>
  <si>
    <t>España</t>
  </si>
  <si>
    <t>12-TE-2820</t>
  </si>
  <si>
    <t>Asistencia Tecnica de Vigilancia y Control de obra: Autovia Levante a Francia por Aragon. N-234 y N-330, Tramo: Teruel - Santa Eulalia del Campo, Clave 12-TE-2820.</t>
  </si>
  <si>
    <t>GIPUZKOAKO AZPLEGITUREN AGENTZLA-AGENCIA GUIPUZCOANA DE
INFRAESTRUCTURA</t>
  </si>
  <si>
    <t>3-V-31/89-C-M.</t>
  </si>
  <si>
    <t>Asistencia Tecnica de Vigilancia y Control de obra: Variante de la CN-I en el Puerto de Etxegarate.</t>
  </si>
  <si>
    <t>Instituto Nacional de Vias</t>
  </si>
  <si>
    <t>1129 DE 2009</t>
  </si>
  <si>
    <t>Interventoría a la construcción de la segunda calzada sector Cisneros (PR 49+000) - Loboguerrero (PR 63+000) de la Carretera Buga-Buenaventura, incluye la gestión social, predial y ambiental.</t>
  </si>
  <si>
    <t xml:space="preserve">CONSORCIO A1V2-SCAIN </t>
  </si>
  <si>
    <t>SCAIN ADMINISTRACIÓN E INGENIERÍA SAS BIC</t>
  </si>
  <si>
    <t>A1V2 INGENIERÍA CIVIL Y ARQUITECTURA COLOMBIA SAS</t>
  </si>
  <si>
    <t>TRANSMILENIO SA</t>
  </si>
  <si>
    <t>CTO 707-2018</t>
  </si>
  <si>
    <t>CONTRATAR LA INTERVENTORÍA INTEGRAL QUE INCLUYE, PERO NO SE LIMITA A LA INTERVENTORÍA TÉCNICA, ECONÓMICA, FINANCIERA, CONTABLE, JURÍDICA, DE SEGUROS, ADMINISTRATIVA, OPERATIVA, SOCIAL, OBRA CIVIL Y MEDIO AMBIENTAL DE LOS CONTRATOS DE CONCESIÓN DERIVADOS DE LOS PROCESOS LICITATORIOS NO. TMSA-LP-01 DE 2018 Y NO. TMSA-LP-02 DE 2018</t>
  </si>
  <si>
    <t>REPÚBLICA DE ANGOLA MINISTERIO DE LOS TRANSPORTES INSTITUTO MARITIMO Y PORTUARIO DE ANGOLA - IMPA</t>
  </si>
  <si>
    <t>ANGOLA</t>
  </si>
  <si>
    <t>INTERVENTORIA DE LOS TRABAJOS DE CONSTRUCCIÓN DEL NUEVO TERMINAL DE MINERAL DEL PUERTO DE LOBITO</t>
  </si>
  <si>
    <t>CONSORCIO CORREDOR POPAYÁN ECI</t>
  </si>
  <si>
    <t>INGENIERIA Y CONSULTOARIA  INGECON SAS</t>
  </si>
  <si>
    <t>CONSUL TORIA INTEGRAL EN INGENIERIA S.A. DE C.V. (CONIISA)</t>
  </si>
  <si>
    <t>ECG INGENIERIA SAS</t>
  </si>
  <si>
    <t>AGENCIA NACIONAL DE INFAESTRUCTURA - ANI</t>
  </si>
  <si>
    <t>VJ-VE-IP-LP 005 de 2013</t>
  </si>
  <si>
    <t xml:space="preserve">EL OBJETO DEL PRESENTE CONTRATO ES REGULAR LOS TÉRMINOS Y CONDICIONES BAJO LOS CUALES EL INTERVENTOR SE OBLIGA A EJECUTAR PARA LA ANI/A LNTERVENTORÍA ÍNTEGRA/ DEL CONTRATO DE CONCESIÓN, QUE INCLUYE LAS ACTIVIDADES QUE SE DESCRIBEN EN EL PRESENTE CONTRATO DE LNTERVENTORÍA, ASÍ COMO LAS ACTIVIDADES QUE EN CABEZA DE/INTERVENTOR SON ASIGNADAS AL CONTRATO DE CONCESIÓN  </t>
  </si>
  <si>
    <t>SECRETARIA DEOBRAS Y
SERVICIOS DE LA CIUDAD
DE MEXICO</t>
  </si>
  <si>
    <t xml:space="preserve">MEXICO </t>
  </si>
  <si>
    <t>DGCOP-LPN-F-5-198-19</t>
  </si>
  <si>
    <t>"SERVICIOS DE SUPERVISIÓN TÉCNICA, ADMINISTRATIVA Y FINANCIERA PARA LA CONSTRUCCIÓN DEL CORREDOR VIAL PARA El TRANSPORTE PÚBLICO LÍNEA 5 DEL METROBÚS SEGUNDA ETAPA, EN El EJE 3 ORIENTE EN El TRAMO SAN LÁZARO A LA PREPARATORIA NÚMERO 1 DE LA UNAM",</t>
  </si>
  <si>
    <t>FONDO NACIONAL DE PROMOCION AL TURISMO MEXICO</t>
  </si>
  <si>
    <t>TM-TRAMO02/20-SI-01</t>
  </si>
  <si>
    <t>CONTRATO PLURIANUAL DE SERVICIOS RELACIONADOSCON LA OBRA PUBLICA A PRECIOS UNITARIOS Y TIEMPO DETERMINADO PARA LA SUPERVISION TECNICA Y LA VERIFICACION DE LA CALIADD DE LOS TRABAJOS DE CONSTRUCCION DE PLATAFORMA Y VIA DEL TREN MAYA CORRESPONDIENTE AL TRAMO CALKINI - IZAMAL</t>
  </si>
  <si>
    <t>MINISTERIO DE FOMENTO. DEMARCACIÓN DE CARRETERAS DEL ESTADO EN CASTILLA Y LEÓN OCCIDENTAL</t>
  </si>
  <si>
    <t>ESPAÑA</t>
  </si>
  <si>
    <t>12-SA-4010</t>
  </si>
  <si>
    <t>ASISTENCIA TÉCNICA (INTERVENTORIA) PARA EL CONTROL Y VIGILANCIA DE LAS OBRAS AUTOVÍA RUTA DE LA PLATA A-66, DE GIJÓN A SEVILLA, P.K.360 AL 376. TRAMO: CUATRO CALZADAS - MONTEJO, PROVINCIA DE SALAMANCA</t>
  </si>
  <si>
    <t>AENA AEROPUERTOS S.A.</t>
  </si>
  <si>
    <t>ASISTENCIA TÉCNICA PARA EL CONTROL Y VIGILANCIA (A.T.C.V) DE LA OBRA: AMPLIACIÓN DE LA PLATAFORMA. AEROPUERTO DE MELILLA</t>
  </si>
  <si>
    <t>INSTITUTO NACIONAL DE VIAS - INVIAS</t>
  </si>
  <si>
    <t>2770-2019</t>
  </si>
  <si>
    <t>INTERVENTORIA PARA EL MEJORAMIENTO GESTION SOCIAL, PREDIAL Y AMBIENTAL PARA EL CORREDOR DEL SUR FASE IV</t>
  </si>
  <si>
    <t>ACREDITA</t>
  </si>
  <si>
    <t>No se asigna puntaje, toda vez que el contrato presentado por el integrante fue objeto de observación durante la verificación, razón por la cual no fue posible acreditar la experiencia requerida para el otorgamiento del puntaje correspondiente al criterio de vinculación de personas con discapacidad.</t>
  </si>
  <si>
    <t>No se asigna puntaje, toda vez que el proponente no presenta certificado que acredite la vinculación de trabajador en condición de discapacidad, por lo cual no cumple con el requisito establecido para la obtención del puntaje correspondiente a este criterio.</t>
  </si>
  <si>
    <t>No aplica solicitud de subsane</t>
  </si>
  <si>
    <t>De lo anterior, el contrato de orden 5, NO es Válido, para acreditar experiencia con la totalidad de los requisitos en el Anexo de Generalidades al Pliego de Condiciones. sin embargo, acredita experiencia por los contratos de orden 1, 2, 3 Y 4. Que se encuentra habilitados para acreditar experiencia.
Se determina que el proponente recibe la calificación técnica de   HÁBIL, debido a que este   cumple para acreditar experiencia en los contratos de orden 1, 2, 3 y 4: el incumplimiento del contrato de orden 3 no le permite acreditar la totalidad de la experiencia habilitante para ponderar en este contrato, conforme a lo establecido en el numeral 3.4.1. EXIGENCIA MÍNIMA DE LA EXPERIENCIA DEL PROPONENTE.
Para dar validez al contrato de orden 5: Para dar validez al   respectivo contrato CONFORME A LA OBSERVACIÓN PRESENTADA por la Entidad el proponente deberá acreditar a través de los documentos validos establecido en el numeral 3.4.1.1. CONSIDERACIONES ADICIONALES APLICABLES A LOS REQUISITOS HABILITANTES TÉCNICOS:  en el numeral 1.10 GLOSARIO ESPECÍFICO: “ (…)  “Infraestructura de Transporte Vial”: Son: a) Las obras de infraestructura de carreteras pavimentadas con un ancho de carril mayor o igual a 3.50 metros, que incluyan obras de Drenaje; ó b) Las obras de infraestructura de carreteras primarias pavimentadas que cumplen la función básica de integración de ciudades o localidades entre sí, y/o conexión con zonas portuarias o fronterizas; y/o las obras de infraestructura de carreteras secundarias pavimentadas que unen cabeceras municipales entre sí y/o que provienen de una cabecera municipal y conectan con una carretera primaria; ó c.) Las obras de infraestructura de vías urbanas, que en su construcción tengan pavimentos rígidos y/o flexibles. Para el caso de vías urbanas serán aquellas que se consideren de la malla vial arterial. (…).. – PARA ESTE CASO EN PARTICULAR, YA QUE EL CERTIFICADO PRESENTA ES ASOCIADO A VÍAS URBANAS DE LA CIUDAD DE BOGOTA
“(…)
I. La verificación de dicha información se efectuará a través del RUP. En la información adicional de los Contratos que no puedan verificarse en el RUP o tratándose de personas naturales o jurídicas extranjeras sin domicilio o sucursal en Colombia, los Proponentes deberán acreditarla con cualquiera de los siguientes documentos, como mínimo o en una combinación de estos:
(i) Una certificación emitida por el contratante en la que conste la información descrita anteriormente y en especial, haber concluido su ejecución, o que el Contrato fue liquidado y que las actividades desarrolladas fueron terminadas.
(ii) Copia del Contrato junto con el acta de terminación y/o el acta de liquidación y/o el acto administrativo de liquidación. En el evento en que el Contrato no haya sido liquidado, se deberá anexar el acta de terminación y/o el acta de recibo final.
(iii) Además de los documentos mínimos establecidos en los romanillos i) y ii) anteriores del presente literal, los Proponentes podrán allegar documentos oficiales de la entidad contratante en los que conste la información requerida en el Pliego de Condiciones y las especificaciones técnicas de los Contratos.
(iv) Para los Contratos en ejecución, deberá allegarse una certificación de la entidad contratante en donde se constate el valor pagado, conforme a las reglas anteriormente previstas.
(v) Para los Contratos entre particulares acreditados por Proponentes no obligados a estar inscritos en el RUP, además se debe adjuntar una certificación de facturación expedida por el revisor fiscal o Contador Público del Proponente que acredite la experiencia según corresponda, con la copia de la tarjeta profesional y el certificado de su vigencia o su equivalente del país de origen del oferente.
(vi) En caso de existir discrepancias entre el RUP y los documentos aportados primará la información contenida en el RUP.
(vii) Si se presenta inconsistencia entre dos (2) o más documentos adicionales al RUP aportados por el Proponente para la acreditación de la experiencia, se tendrá en cuenta el orden de prevalencia establecido a continuación:
1. Acta de liquidación y/o recibo final del Contrato de Interventoría. 
2. Acta de liquidación y/o recibo final del Contrato de Obra o Concesión al cual se le realizó la interventoría, en la cual se puede verificar las actividades ejecutadas y el alcance de las mismas. 
3. Acta de entrega, terminación, final o de recibo definitivo; en los cuales se pueda verificar la participación del Proponente como Interventor. 
4. Certificación de Experiencia 
5. Acta de Inicio o la orden de inicio. La misma solo será válida para efectos de acreditar la fecha de inicio. 
6. Los Contratos que hayan sido objeto de cesión deberán encontrarse debidamente inscritos y clasificados en el Registro Único de Proponentes (RUP) o en uno o alguno de los documentos considerados como válidos para la acreditación de experiencia del cesionario, según aplique. La experiencia se admitirá para el cesionario y no se reconocerá experiencia alguna al cedente</t>
  </si>
  <si>
    <t>El proponente  aporta 4 contratos válidos para acreditar experiencia según lo solicitado en el Anexo de generalidades al Pliego de Condiciones, con lo cual el proponente recibe la calificación en los aspectos técnicos de HÁBIL.
No aplica solicitud de subsane
Referente al contrato de orden N°4 aportado por CONSORCIO POPAYÁN AR., Cuyo objeto es : Interventoría integral del Contrato de Concesión, que incluye, pero no se limita a la interventoría técnica, financiera, contable, jurídica, medioambiental, socio-predial, administrativa, de seguros, operativa y de mantenimiento del Contrato de Concesión, el cual hace parte del Proyecto Vial RUTA DEL SOL y que corresponde al SECTOR 3 comprendido entre San Roque – Ye de Ciénaga y Valledupar – Carmen de Bolívar. De conformidad con lo establecido en el Anexo de Generalidades:
“1.10. GLOSARIO
Contrato Ejecutado o Contrato Terminado: Para efectos de acreditación de experiencia, aquellos en los que su objeto y obligaciones se encuentran ejecutadas y recibidas a satisfacción por parte del contratante y se soportan en los documentos de recibo a satisfacción y/o liquidación. En caso de que el acta de liquidación y/o recibo a satisfacción contenga salvedades u obligaciones pendientes a cargo del contratista, se dará el tratamiento a las reglas establecidas para Contratos en ejecución”
“3.4.1.3. ACREDITACIÓN DE EXPERIENCIA DE CONTRATOS EN EJECUCIÓN:
(…)
(iv) Para efectos de evaluación, únicamente para los contratos en ejecución suscritos con la Agencia Nacional de Infraestructura, se realizará la conversión a SMMLV efectivamente pagado en pesos corrientes; valores tomados de la información que certifiquen internamente las Vicepresidencias a cargo de cada contrato, con la fecha de corte del último pago realizado y certificado por la ANI. Para tal fin, el oferente deberá anunciar la experiencia que pretende acreditar en el Formato No. 4 de experiencia, sin aportar la certificación y, por lo mismo, se tomará el valor certificado por la ANI.
(v) Para la acreditación de la experiencia de contratos en ejecución en el certificado de experiencia debe verificarse el valor facturado y pagado antes del cierre del Proceso de Contratación y las demás condiciones establecidas por la Entidad que permitan conocer las actividades realizadas y el respectivo valor. (…)” 
Si bien la experiencia acreditada con la Agencia Nacional de Infraestructura es válida, es preciso indicarle al oferente que se realiza un ajuste en el valor facturado del contrato y se da tratamiento al mismo como contrato en Ejecución, conforme a lo certificado por la Vicepresidencia encarga del respectivo contrato que indica:
Frente al estado del contrato: Con Salvedades u obligaciones pendientes (X)
““Valor Pagado en Pesos Corrientes (Acumulado) antes del 09 de MARZO de 2026 el valor acumulado facturado asciende a $ 102.465.836.655 pesos corrientes, ultimo pago 13/01/2023, Radicado ANI No.: 20265000067483
El respectivo ajuste se evidencia en la matriz de evaluación técnica.
El referido memorando, junto con la respuesta emitida, así como el informe de evaluación preliminar es objeto de publicación en la Plataforma SECOP II
Radicado ANI No.: 20265000067483</t>
  </si>
  <si>
    <t>El proponente  aporta 4 contratos válidos para acreditar experiencia según lo solicitado en el Anexo de generalidades al Pliego de Condiciones, con lo cual el proponente recibe la calificación en los aspectos técnicos de HÁBIL.
No aplica solicitud de subsane</t>
  </si>
  <si>
    <t>NO CUMPLE INFRAESTRUCTURA DE TRANSPORTE VIAL-  DEBE ACLARAR MALLA VIAL ARTERIAL 
Referente al contrato de orden N°1 aportado por el proponente CONSORCIO A1V2-SCAIN, cuyo objeto es: CONTRATAR LA INTERVENTORÍA INTEGRAL QUE INCLUYE, PERO NO SE LIMITA A LA INTERVENTORÍA TÉCNICA, ECONÓMICA, FINANCIERA, CONTABLE, JURÍDICA, DE SEGUROS, ADMINISTRATIVA, OPERATIVA, SOCIAL, OBRA CIVIL Y MEDIO AMBIENTAL DE LOS CONTRATOS DE CONCESIÓN DERIVADOS DE LOS PROCESOS LICITATORIOS NO. TMSA-LP-01 DE 2018 Y NO. TMSA-LP-02 DE 2018
Frente a la experiencia acreditada por el oferente, no se puede constatar el cumplimiento a lo establecido en el Anexo de Generalidades, toda vez que, frente a un proyecto de infraestructura de transporte vial, este debe cumplir con las definiciones indicadas en el numeral 1.10 GLOSARIO ESPECÍFICO: “ (…)  “Infraestructura de Transporte Vial”: Son: a) Las obras de infraestructura de carreteras pavimentadas con un ancho de carril mayor o igual a 3.50 metros, que incluyan obras de Drenaje; ó b) Las obras de infraestructura de carreteras primarias pavimentadas que cumplen la función básica de integración de ciudades o localidades entre sí, y/o conexión con zonas portuarias o fronterizas; y/o las obras de infraestructura de carreteras secundarias pavimentadas que unen cabeceras municipales entre sí y/o que provienen de una cabecera municipal y conectan con una carretera primaria; ó c.) Las obras de infraestructura de vías urbanas, que en su construcción tengan pavimentos rígidos y/o flexibles. Para el caso de vías urbanas serán aquellas que se consideren de la malla vial arterial. (…). 
Acorde a lo anterior, dentro de la documentación aportada no se evidencia documento donde se identifique que dicho proyecto que corresponda a ser de Infraestructura de transporte vial que cumpla alguna de las dos (3) condiciones indicadas en el numeral 1.10. Glosario específico, literal: a) Las obras de infraestructura de carreteras pavimentadas con un ancho de carril mayor o igual a 3.50 metros, que incluyan obras de Drenaje, o la condición b) Las obras de infraestructura de carreteras primarias pavimentadas que cumplen la función básica de integración de ciudades o localidades entre sí, y/o conexión con zonas portuarias o fronterizas; y/o las obras de infraestructura de carreteras secundarias pavimentadas que unen cabeceras municipales entre sí y/o que provienen de una cabecera municipal y conectan con una carretera primaria. Siendo que para la condición b) de carreteras primarias y/o carreteras, ó c.) Las obras de infraestructura de vías urbanas, que en su construcción tengan pavimentos rígidos y/o flexibles. Para el caso de vías urbanas serán aquellas que se consideren de la malla vial arterial. 
(…).   se requiere en el numeral 3.4.1 EXIGENCIA MÍNIMA DE LA EXPERIENCIA DEL PROPONENTE NOTA GENERAL 10, del anexo de generalidades del Pliego de Condiciones Definitivo, “Nota General 10: Frente a la acreditación de experiencia en infraestructura de transporte vial (Numeral 1.10 Glosario Específico),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Por lo anterior, el CONTRATO DE ORDEN N° 1 NO cumple con los requisitos establecidos en el Anexo de Generalidades al Pliego de Condiciones. Nota general 9. en el numeral 3.4.1.1., numeral 1.10 GLOSARIO ESPECÍFICO: “(…)  “Infraestructura de Transporte Vial; en literal c.) Las obras de infraestructura de vías urbanas, que en su construcción tengan pavimentos rígidos y/o flexibles. Para el caso de vías urbanas serán aquellas que se consideren de la malla vial arterial. (…).. ya que se intervienen vías urbanas en dicho contrato.</t>
  </si>
  <si>
    <t>De lo anterior, el contrato de orden 1, NO es Válido, para acreditar experiencia con la totalidad de los requisitos en el Anexo de Generalidades al Pliego de Condiciones. sin embargo, acredita experiencia por el contrato de orden 2. Que se encuentra habilitados para acreditar experiencia.
Se determina que el proponente recibe la calificación técnica de   NO HÁBIL, debido a que este  NO cumple para acreditar experiencia en el contrato de orden 2: el incumplimiento del contrato de orden 2 no le permite acreditar la totalidad de la experiencia habilitante para ponderar en este contrato, conforme a lo establecido en el numeral 3.4.1. EXIGENCIA MÍNIMA DE LA EXPERIENCIA DEL PROPONENTE.
Para dar validez al contrato de orden 2: Para dar validez al   respectivo contrato CONFORME A LA OBSERVACIÓN PRESENTADA por la Entidad el proponente deberá acreditar a través de los documentos validos establecido en el numeral 3.4.1.1. CONSIDERACIONES ADICIONALES APLICABLES A LOS REQUISITOS HABILITANTES TÉCNICOS:  en el numeral 1.10 GLOSARIO ESPECÍFICO: “(…)  “Infraestructura de Transporte Vial”: Son: a) Las obras de infraestructura de carreteras pavimentadas con un ancho de carril mayor o igual a 3.50 metros, que incluyan obras de Drenaje; ó b) Las obras de infraestructura de carreteras primarias pavimentadas que cumplen la función básica de integración de ciudades o localidades entre sí, y/o conexión con zonas portuarias o fronterizas; y/o las obras de infraestructura de carreteras secundarias pavimentadas que unen cabeceras municipales entre sí y/o que provienen de una cabecera municipal y conectan con una carretera primaria; ó c.) Las obras de infraestructura de vías urbanas, que en su construcción tengan pavimentos rígidos y/o flexibles. Para el caso de vías urbanas serán aquellas que se consideren de la malla vial arterial. (…).. – PARA ESTE CASO EN PARTICULAR, YA QUE EL CERTIFICADO PRESENTA ES ASOCIADO A VÍAS URBANAS DE LA CIUDAD DE BOGOTA
“(…)
I. La verificación de dicha información se efectuará a través del RUP. En la información adicional de los Contratos que no puedan verificarse en el RUP o tratándose de personas naturales o jurídicas extranjeras sin domicilio o sucursal en Colombia, los Proponentes deberán acreditarla con cualquiera de los siguientes documentos, como mínimo o en una combinación de estos:
(i) Una certificación emitida por el contratante en la que conste la información descrita anteriormente y en especial, haber concluido su ejecución, o que el Contrato fue liquidado y que las actividades desarrolladas fueron terminadas.
(ii) Copia del Contrato junto con el acta de terminación y/o el acta de liquidación y/o el acto administrativo de liquidación. En el evento en que el Contrato no haya sido liquidado, se deberá anexar el acta de terminación y/o el acta de recibo final.
(iii) Además de los documentos mínimos establecidos en los romanillos i) y ii) anteriores del presente literal, los Proponentes podrán allegar documentos oficiales de la entidad contratante en los que conste la información requerida en el Pliego de Condiciones y las especificaciones técnicas de los Contratos.
(iv) Para los Contratos en ejecución, deberá allegarse una certificación de la entidad contratante en donde se constate el valor pagado, conforme a las reglas anteriormente previstas.
(v) Para los Contratos entre particulares acreditados por Proponentes no obligados a estar inscritos en el RUP, además se debe adjuntar una certificación de facturación expedida por el revisor fiscal o Contador Público del Proponente que acredite la experiencia según corresponda, con la copia de la tarjeta profesional y el certificado de su vigencia o su equivalente del país de origen del oferente.
(vi) En caso de existir discrepancias entre el RUP y los documentos aportados primará la información contenida en el RUP.
(vii) Si se presenta inconsistencia entre dos (2) o más documentos adicionales al RUP aportados por el Proponente para la acreditación de la experiencia, se tendrá en cuenta el orden de prevalencia establecido a continuación:
1. Acta de liquidación y/o recibo final del Contrato de Interventoría. 
2. Acta de liquidación y/o recibo final del Contrato de Obra o Concesión al cual se le realizó la interventoría, en la cual se puede verificar las actividades ejecutadas y el alcance de las mismas. 
3. Acta de entrega, terminación, final o de recibo definitivo; en los cuales se pueda verificar la participación del Proponente como Interventor. 
4. Certificación de Experiencia 
5. Acta de Inicio o la orden de inicio. La misma solo será válida para efectos de acreditar la fecha de inicio. 
6. Los Contratos que hayan sido objeto de cesión deberán encontrarse debidamente inscritos y clasificados en el Registro Único de Proponentes (RUP) o en uno o alguno de los documentos considerados como válidos para la acreditación de experiencia del cesionario, según aplique. La experiencia se admitirá para el cesionario y no se reconocerá experiencia alguna al cedente.
(…)”</t>
  </si>
  <si>
    <t>NO CUMPLE INFRAESTRUCTURA DE TRANSPORTE VIAL-  DEBE ACLARAR MALLA VIAL ARTERIAL 
Referente al contrato de orden N°2 aportado por el proponente CONSORCIO CORREDOR POPAYÁN ECI, cuyo objeto es: "SERVICIOS DE SUPERVISIÓN TÉCNICA, ADMINISTRATIVA Y FINANCIERA PARA LA CONSTRUCCIÓN DEL CORREDOR VIAL PARA El TRANSPORTE PÚBLICO LÍNEA 5 DEL METROBÚS SEGUNDA ETAPA, EN El EJE 3 ORIENTE EN El TRAMO SAN LÁZARO A LA PREPARATORIA NÚMERO 1 DE LA UNAM",
Frente a la experiencia acreditada por el oferente, no se puede constatar el cumplimiento a lo establecido en el Anexo de Generalidades, toda vez que, frente a un proyecto de infraestructura de transporte vial, este debe cumplir con las definiciones indicadas en el numeral 1.10 GLOSARIO ESPECÍFICO: “ (…)  “Infraestructura de Transporte Vial”: Son: a) Las obras de infraestructura de carreteras pavimentadas con un ancho de carril mayor o igual a 3.50 metros, que incluyan obras de Drenaje; ó b) Las obras de infraestructura de carreteras primarias pavimentadas que cumplen la función básica de integración de ciudades o localidades entre sí, y/o conexión con zonas portuarias o fronterizas; y/o las obras de infraestructura de carreteras secundarias pavimentadas que unen cabeceras municipales entre sí y/o que provienen de una cabecera municipal y conectan con una carretera primaria; ó c.) Las obras de infraestructura de vías urbanas, que en su construcción tengan pavimentos rígidos y/o flexibles. Para el caso de vías urbanas serán aquellas que se consideren de la malla vial arterial. (…). 
Acorde a lo anterior, dentro de la documentación aportada no se evidencia documento donde se identifique que dicho proyecto que corresponda a ser de Infraestructura de transporte vial que cumpla alguna de las dos (3) condiciones indicadas en el numeral 1.10. Glosario específico, literal: a) Las obras de infraestructura de carreteras pavimentadas con un ancho de carril mayor o igual a 3.50 metros, que incluyan obras de Drenaje, o la condición b) Las obras de infraestructura de carreteras primarias pavimentadas que cumplen la función básica de integración de ciudades o localidades entre sí, y/o conexión con zonas portuarias o fronterizas; y/o las obras de infraestructura de carreteras secundarias pavimentadas que unen cabeceras municipales entre sí y/o que provienen de una cabecera municipal y conectan con una carretera primaria. Siendo que para la condición b) de carreteras primarias y/o carreteras, ó c.) Las obras de infraestructura de vías urbanas, que en su construcción tengan pavimentos rígidos y/o flexibles. Para el caso de vías urbanas serán aquellas que se consideren de la malla vial arterial. 
(…).   se requiere en el numeral 3.4.1 EXIGENCIA MÍNIMA DE LA EXPERIENCIA DEL PROPONENTE NOTA GENERAL 10, del anexo de generalidades del Pliego de Condiciones Definitivo, “Nota General 10: Frente a la acreditación de experiencia en infraestructura de transporte vial (Numeral 1.10 Glosario Específico),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Por lo anterior, el CONTRATO DE ORDEN N° 2 NO cumple con los requisitos establecidos en el Anexo de Generalidades al Pliego de Condiciones. Nota general 9. en el numeral 3.4.1.1., numeral 1.10 GLOSARIO ESPECÍFICO: “(…)  “Infraestructura de Transporte Vial; en literal c.) Las obras de infraestructura de vías urbanas, que en su construcción tengan pavimentos rígidos y/o flexibles. Para el caso de vías urbanas serán aquellas que se consideren de la malla vial arterial. (…).. ya que se intervienen vías urbanas en dicho contrato.</t>
  </si>
  <si>
    <t xml:space="preserve">la totalidad de los requisitos en el Anexo de Generalidades al Pliego de Condiciones. sin embargo, acredita experiencia por los contratos de orden 1,3,4,5 y 6 . Que se encuentra habilitados para acreditar experiencia.
Se determina que el proponente recibe la calificación técnica de   HÁBIL, debido a que este   cumple para acreditar experiencia en los contratos de orden 1,3,4,5 y 6 : el incumplimiento del contrato de orden 2 no le permite acreditar la totalidad de la experiencia habilitante para ponderar en este contrato, conforme a lo establecido en el numeral 3.4.1. EXIGENCIA MÍNIMA DE LA EXPERIENCIA DEL PROPONENTE.
Para dar validez al contrato de orden 2: Para dar validez al   respectivo contrato CONFORME A LA OBSERVACIÓN PRESENTADA por la Entidad el proponente deberá acreditar a través de los documentos validos establecido en el numeral 3.4.1.1. CONSIDERACIONES ADICIONALES APLICABLES A LOS REQUISITOS HABILITANTES TÉCNICOS:  en el numeral 1.10 GLOSARIO ESPECÍFICO: “(…)  “Infraestructura de Transporte Vial”: Son: a) Las obras de infraestructura de carreteras pavimentadas con un ancho de carril mayor o igual a 3.50 metros, que incluyan obras de Drenaje; ó b) Las obras de infraestructura de carreteras primarias pavimentadas que cumplen la función básica de integración de ciudades o localidades entre sí, y/o conexión con zonas portuarias o fronterizas; y/o las obras de infraestructura de carreteras secundarias pavimentadas que unen cabeceras municipales entre sí y/o que provienen de una cabecera municipal y conectan con una carretera primaria; ó c.) Las obras de infraestructura de vías urbanas, que en su construcción tengan pavimentos rígidos y/o flexibles. Para el caso de vías urbanas serán aquellas que se consideren de la malla vial arterial. (…).. – PARA ESTE CASO EN PARTICULAR, YA QUE EL CERTIFICADO PRESENTA ES ASOCIADO A VÍAS URBANAS DE LA CIUDAD DE MEXICO D.F
“(…)
I. La verificación de dicha información se efectuará a través del RUP. En la información adicional de los Contratos que no puedan verificarse en el RUP o tratándose de personas naturales o jurídicas extranjeras sin domicilio o sucursal en Colombia, los Proponentes deberán acreditarla con cualquiera de los siguientes documentos, como mínimo o en una combinación de estos:
(i) Una certificación emitida por el contratante en la que conste la información descrita anteriormente y en especial, haber concluido su ejecución, o que el Contrato fue liquidado y que las actividades desarrolladas fueron terminadas.
(ii) Copia del Contrato junto con el acta de terminación y/o el acta de liquidación y/o el acto administrativo de liquidación. En el evento en que el Contrato no haya sido liquidado, se deberá anexar el acta de terminación y/o el acta de recibo final.
(iii) Además de los documentos mínimos establecidos en los romanillos i) y ii) anteriores del presente literal, los Proponentes podrán allegar documentos oficiales de la entidad contratante en los que conste la información requerida en el Pliego de Condiciones y las especificaciones técnicas de los Contratos.
(iv) Para los Contratos en ejecución, deberá allegarse una certificación de la entidad contratante en donde se constate el valor pagado, conforme a las reglas anteriormente previstas.
(v) Para los Contratos entre particulares acreditados por Proponentes no obligados a estar inscritos en el RUP, además se debe adjuntar una certificación de facturación expedida por el revisor fiscal o Contador Público del Proponente que acredite la experiencia según corresponda, con la copia de la tarjeta profesional y el certificado de su vigencia o su equivalente del país de origen del oferente.
(vi) En caso de existir discrepancias entre el RUP y los documentos aportados primará la información contenida en el RUP.
(vii) Si se presenta inconsistencia entre dos (2) o más documentos adicionales al RUP aportados por el Proponente para la acreditación de la experiencia, se tendrá en cuenta el orden de prevalencia establecido a continuación:
1. Acta de liquidación y/o recibo final del Contrato de Interventoría. 
2. Acta de liquidación y/o recibo final del Contrato de Obra o Concesión al cual se le realizó la interventoría, en la cual se puede verificar las actividades ejecutadas y el alcance de las mismas. 
3. Acta de entrega, terminación, final o de recibo definitivo; en los cuales se pueda verificar la participación del Proponente como Interventor. 
4. Certificación de Experiencia 
5. Acta de Inicio o la orden de inicio. La misma solo será válida para efectos de acreditar la fecha de inicio. 
6. Los Contratos que hayan sido objeto de cesión deberán encontrarse debidamente inscritos y clasificados en el Registro Único de Proponentes (RUP) o en uno o alguno de los documentos considerados como válidos para la acreditación de experiencia del cesionario, según aplique. La experiencia se admitirá para el cesionario y no se reconocerá experiencia alguna al cedente.
(…)”
</t>
  </si>
  <si>
    <t>CONSORCIO VIAS DEL CAUCA CT</t>
  </si>
  <si>
    <t>TNM INGENIERIA S.A.S.</t>
  </si>
  <si>
    <t>NO ACREDITA</t>
  </si>
  <si>
    <t>CEMOSA INGENIERIA Y CONTROL SAS</t>
  </si>
  <si>
    <t>CEMOSA COLOMBIA</t>
  </si>
  <si>
    <t>CONSORCIO INTER CONCESIÓN POPAYAN.</t>
  </si>
  <si>
    <t>INTECSA COLOMBIA INTERNACIONAL S.A.S</t>
  </si>
  <si>
    <t>INTECSA ENGINEERING GROUP, S.A. UNIPERSONAL SUCURSAL COLOMBIA</t>
  </si>
  <si>
    <t>JGF INGENIERIA S.A.S</t>
  </si>
  <si>
    <t>CONSORCIO AC EL ESTANQUILLO</t>
  </si>
  <si>
    <t>AIM ENGINEERING S.A.S</t>
  </si>
  <si>
    <t>COMPAÑÍA COLOMBIANA DE CONSULTORES S.A.S.</t>
  </si>
  <si>
    <t>CONSORCIO INTERVIAL SUR</t>
  </si>
  <si>
    <t>REDTIC INGENIERIA S.A.S. – BIC.</t>
  </si>
  <si>
    <t>GINPROCOL S.A.S.</t>
  </si>
  <si>
    <t>INGEPLAN.CO S.A.S. BIC</t>
  </si>
  <si>
    <t>CONSORCIO CTE – ING APP CAUCA</t>
  </si>
  <si>
    <t>CONSULTORES TÉCNICOS Y ECONÓMICOS S.A.S. – CONSULTECNICOS</t>
  </si>
  <si>
    <t>GEOTECNIA Y CIMIENTOS INGEOCIM POR ACCIONES SIMPLIFICADA – INGEOCIM S.A.S</t>
  </si>
  <si>
    <t>CONSORCIO CORREDOR EL ESTANQUILLO ITLSC</t>
  </si>
  <si>
    <t>TOMAS LLAVADOR ARQUITECTOS E INGENIEROS S.L. SUCURSAL COLOMBIA</t>
  </si>
  <si>
    <t>SIGT INGENIEROS Y CONSULTORES S.A.S</t>
  </si>
  <si>
    <t>TERRA PROYECTOS CIVILES S.A.S</t>
  </si>
  <si>
    <t>COMPAÑIA DE PROYECTOS TECNICOS - CPT S.A</t>
  </si>
  <si>
    <t>INVELER CONSULTORIA SAS</t>
  </si>
  <si>
    <t>CONSORCIO INTERAPP POPAYÁN.</t>
  </si>
  <si>
    <t>VELNEC S.A.S.</t>
  </si>
  <si>
    <t>GAVINCO INGENIEROS CONSULTORES S.A.S.</t>
  </si>
  <si>
    <t>CONSORCIO INTERVENTOR DE OCCIDENTE</t>
  </si>
  <si>
    <t>AYESA INGENIERIA Y ARQUITECTURA SAU SUCURSAL COLOMBIA</t>
  </si>
  <si>
    <t>AYESA DE COLOMBIA INGENIERIA Y ARQUITECTURA S.A.S</t>
  </si>
  <si>
    <t>SERVICIOS DE INTERVENTORÍA INTEGRAL S.A.S</t>
  </si>
  <si>
    <t>CONSORCIO ALIANZA PACIFICO</t>
  </si>
  <si>
    <t>J FELIPE ARDILA V &amp; CIA SAS</t>
  </si>
  <si>
    <t>INGEOBRAS CONSTRUCCION Y CONSULTORIA SAS - INGEOBRAS SAS</t>
  </si>
  <si>
    <t>CB INGENIEROS SAS</t>
  </si>
  <si>
    <t>ISRAEL RAILWAYS LTD</t>
  </si>
  <si>
    <t>ISRAEL</t>
  </si>
  <si>
    <t>-</t>
  </si>
  <si>
    <t xml:space="preserve">SUPERVISIÓN Y CONTROL DE CALIDAD EN EL ÁREA DE LAS OBRAS DE INGENIERÍA CIVIL, COMO PARTE DEL PROYECTO "LÍNEA RÁPIDA A1", DE TEL AVIV A JERUSALÉN, INCLUYENDO LA EXCAVACIÓN DE TÚNELES, CONSTRUCCIÓN Y EDIFICACIÓN DE PUENTES. </t>
  </si>
  <si>
    <t>1569 de 2009</t>
  </si>
  <si>
    <t>INTERVENTORÍA TÉCNICA, LEGAL, FINANCIERA, ADMINISTRATIVA, AMBIENTAL, PREDIAL Y SOCIAL DEL PROYECTO: “ESTUDIOS Y DISEÑOS, GESTIÓN SOCIAL, PREDIAL, AMBIENTAL Y MEJORAMIENTO DEL PROYECTO CORREDOR DEL SUR Y MARGINAL DE LA SELVA"</t>
  </si>
  <si>
    <t>094 de 2012</t>
  </si>
  <si>
    <t>INTERVENTORÍA INTEGRAL DEL CONTRATO DE CONCESIÓN, QUE INCLUYE PERO NO SE LIMITA A LA INTERVENTORÍA TÉCNICA, FINANCIERA, OPERATIVA, CONTABLE, JURÍDICA, MEDIOAMBIENTAL, SOCIO-PREDIAL, ADMINISTRATIVA, DEL CONTRATO DE CONCESIÓN NO. 275 Y DEMÁS DOCUMENTOS QUE LO MODIFIQUEN, ADICIONEN O COMPLEMENTEN, PARA LA CONCESIÓN DESARROLLO VIAL DEL ORIENTE DE MEDELLÍN, VALLE DEL RIONEGRO Y CONEXIÓN A PUERTO TRIUNFO - DEVIMED</t>
  </si>
  <si>
    <t>MINISTERIO DE FOMENTO. DIRECCION GENERAL DE CARRETERAS</t>
  </si>
  <si>
    <t xml:space="preserve">CONTROL Y VIGILANCIA DE LAS OBRAS “AUTOVÍA DEL MEDITERRÁNEO. CN-340 DE CÁDIZ Y GIBRALTAR A BARCELONA. TRAMO: RONDA ESTE DE MÁLAGA – RINCÓN DE LA VICTORIA.” </t>
  </si>
  <si>
    <t>clave: 12-GR-3150</t>
  </si>
  <si>
    <t xml:space="preserve">CONSULTORÍA Y ASISTENCIA PARA EL CONTROL Y VIGILANCIA DE LAS OBRAS: AUTOVÍA DEL MEDITERRÁNEO A-7. TRAMO: ENLACE DE POLOPOS-ENLACE DE ALBUÑOL. EXPEDIENTE: 30.65/05-6; </t>
  </si>
  <si>
    <t>12-CR-3160</t>
  </si>
  <si>
    <t>ASISTENCIA TÉCNICA PARA EL CONTROL Y VIGILANCIA DE LAS OBRAS: AUTOVÍA DE CIUDAD REAL (N-430) A ATALAYA DEL CAÑABATE (A-31). TRAMO: ENLACE DE MIGUELTURRA - ENLACE DE DAIMIEL (ESTE) CON LA N-430. CLAVE: 12-CR-3160</t>
  </si>
  <si>
    <t>12-LU-3110</t>
  </si>
  <si>
    <t>ASISTENCIA TÉCNICA PARA EL CONTROL Y VIGILANCIA DE LAS OBRAS "AUTOVÍA DEL NOROESTE. CN-VI DE MADRID A A CORUÑA TRAMO AGUERA -CEREIXAL PROVINCIA DE LUGO. CLAVE 12-LU-3110</t>
  </si>
  <si>
    <t>ADMINISTRACIÓN DE INFRAESTRUCTURAS FERROVIARIAS - ADIF</t>
  </si>
  <si>
    <t>022/03</t>
  </si>
  <si>
    <t>CONSULTORÍA Y ASISTENCIA TÉCNICA PARA LA REDACCIÓN DEL PROYECTO Y CONTROL DE LAS OBRAS DE LA PLATAFORMA DEL NUEVO ACCESO FERROVIARIO DE ALTA VELOCIDAD MADRID - CASTILLA LA MANCHA - COMUNIDAD VALENCIANA - REGIÓN DE MURCIA TRAMO:CAMPOS DEL PARAÍSO - HORCAJADA (NUMERO DE EXPEDIENTE PC022/03</t>
  </si>
  <si>
    <t>AEROPUERTO INTERNACIONAL MATECAÑA</t>
  </si>
  <si>
    <t>173 DE 2017</t>
  </si>
  <si>
    <t>INTERVENTORIA TÉCNICA, ECONÓMICA, FINANCIERA, CONTABLE, JURIDICA, ADMINISTRATIVA, OPERATIVA, AMBIENTAL Y SOCIAL DEL CONTRATO DE CONCESIÓN PARA LA "CONSTRUCCIÓN, MODERNIZACIÓN y ADECUACIÓN DEL LADO TIERRA DEL AEROPUERTO Y LA CONSTRUCCIÓN, ADMINISTRACIÓN, OPERACIÓN, MANTENIMIENTO, EXPLOTACIÓN COMERCIAL y REVERSIÓN TANTO DEL LADO AIRE COMO DEL LADO TIERRA DEL AEROPUERTO INTERNACIONAL MATECAÑA QUE SIRVE A LA CIUDAD DE PEREIRA</t>
  </si>
  <si>
    <t>156 DE 2014</t>
  </si>
  <si>
    <t>INTERVENTORÍA INTEGRAL AL CONTRATO DE CONCESIÓN NO. 006 DE 2014 – PROYECTO AUTOPISTA CONEXIÓN PACIFICO 2.</t>
  </si>
  <si>
    <t>SEA-057 - 2012</t>
  </si>
  <si>
    <t>INTERVENTORÍA TÉCNICA, FINANCIERA, CONTABLE, JURÍDICA, MEDIOAMBIENTAL, SOCIO-PREDIAL, ADMINISTRATIVA, DE SEGUROS, OPERATIVA Y DE MANTENIMIENTO DEL CONTRATO DE CONCESIÓN, EL CUAL HACE PARTE DEL PROYECTO VIAL RUTA DEL SOL Y QUE CORRESPONDE AL SECTOR 3 COMPRENDIDO ENTRE SAN ROQUE – YE DE CIÉNAGA Y VALLEDUPAR – CARMEN DE BOLÍVAR.</t>
  </si>
  <si>
    <t>677 DE 2012</t>
  </si>
  <si>
    <t>INTERVENTORÍA INTEGRAL QUE INCLUYE PERO NO SE LIMITA A LA INTERVENTORÍA TÉCNICA, FINANCIERA, ADMINISTRATIVA, JURÍDICA, GESTIÓN SOCIAL, PREDIAL Y AMBIENTAL PARA EL MEJORAMIENTO DEL PROYECTO CORREDOR TRANSVERSAL CENTRAL DEL PACIFICO FASE II EN EL PROGRAMA DE CORREDORES PRIORITARIOS PARA LA PROSPERIDAD.. (LONGITUD DEL CORREDOR: 57.3 KM)</t>
  </si>
  <si>
    <t>GOBERNACIÓN DE ANTIOQUIA</t>
  </si>
  <si>
    <t>95-CO-21-058</t>
  </si>
  <si>
    <t>INTERVENTORÍA DE LA AMPLIACIÓN, RECTIFICACIÓN Y PAVIMENTACIÓN DE LA CARRETERA GUATAPÉ-SAN RAFAEL-SAN CARLOS. (68KM)</t>
  </si>
  <si>
    <t>INTERVENTORÍA TÉCNICA, ECONÓMICA, FINANCIERA, CONTABLE, JURÍDICA, ADMINISTRATIVA, OPERATIVA, MEDIO AMBIENTAL Y SOCIO PREDIAL DEL CONTRATO DE CONCESIÓN BAJO UN ESQUEMA DE ASOCIACIÓN PÚBLICO PRIVADA DE INICIATIVA PÚBLICA QUE SE DERIVE DEL PROCESO LICITATORIO VJ-VE-IP-LP-001-2013 CORRESPONDIENTE AL CORREDOR DENOMINADO “CONCESIÓN HONDA-GIRARDOT-PUERTO SALGAR", DEL PROYECTO "VICTORIAS TEMPRANAS"</t>
  </si>
  <si>
    <t>SEA-015 de 2012</t>
  </si>
  <si>
    <t>CONSORCIO INTER - PUERTOS
EL OBJETO DEL PRESENTE CONTRATO ES REGULAR LOS TÉRMINOS Y CONDICIONES BAJO LOS CUALES EL INTERVENTOR SE OBLIGA A EJECUTAR PARA LA AGENCIA NACIONAL DE INFRAESTRUCTURA LA INTERVENTORÍA TÉCNICA, ADMINISTRATIVA, FINANCIERA, AMBIENTAL, OPERATIVA Y JURÍDICA AL PLAN DE INVERSIONES DE LOS CONTRATOS DE CONCESIÓN PORTUARIA NO. 006 DE 1993, 009 DE 1994 Y 003 DE 2008 - SUSCRITOS ENTRE LA NACION - SUPERINTENDENCIA GENERAL DE PUERTOS Y/O EL INSTITUTO NACIONAL DE CONCESIONES - INCO, HOY ADMINISTRADOS POR LA AGENCIA NACIONAL DE INFRAESTRUCTURA Y LAS SOCIEDADES PORTUARIAS REGIONAL DE SANTA MARTA S.A., REGIONAL DE BUENAVENTURA S.A, Y LA SOCIEDAD TERMINAL DE CONTENEDORES DE CARTAGENA S.A - CONTECAR S.A. RESPECTIVAMENTE, SUS ADICIONALES Y OTROSÍES, ASÍ COMO REGULAR LOS TÉRMINOS Y CONDICIONES BAJO LOS CUALES LA AGENCIA NACIONAL DE INFRAESTRUCTURA PAGARA AL INTERVENTOR DE FORMA MENSUAL LA CONTRAPRESTACIÓN OFRECIDA POR EL INTERVENTOR Y ACEPTADA POR LA AGENCIA NACIONAL DE INFRAESTRUCTURA DURANTE EL CONCURSO DE MÉRITOS ABIERTO, CONSISTENTE EN UNA SUMA GLOBAL FIJA, QUE INCLUYE LOS COSTOS DIRECTOS, VIÁTICOS, HONORARIOS Y EL IMPUESTO AL VALOR AGREGADO IVA.</t>
  </si>
  <si>
    <t>324 de 2017</t>
  </si>
  <si>
    <t>CONSORCIO VIAS FERREAS ISA.
CONTRATAR LA INTERVENTORÍA INTEGRAL QUE INCLUYE PERO NO SE LIMITA A LA INTERVENTORÍA TÉCNICA, ECONÓMICA, FINANCIERA, JURÍDICA, ADMINISTRATIVA, OPERATIVA, AMBIENTAL, SOCIAL Y PREDIAL DEL CONTRATO CUYO OBJETO ES LA "LA REPARACIÓN Y ATENCIÓN DE PUNTOS CRÍTICOS QUE PRESENTA LA VÍA FÉRREA EN LOS TRAMOS: LA DORADA - CHIRIGUANÁ Y BOGOTÁ - BELENCITO SEGÚN LO ESTABLECEN LOS APÉNDICES TÉCNICOS, ASÍ COMO SU, ADMINISTRACIÓN, MANTENIMIENTO, VIGILANCIA, OPERACIÓN Y CONTROL DE TRÁFICO ENTRE OTRAS ACTIVIDADES</t>
  </si>
  <si>
    <t>40-CA-4040</t>
  </si>
  <si>
    <t>ASISTENCIA TÉCNICA PARA EL CONTROL Y VIGILANCIA DEL "NUEVO ACCESO A CÁDIZ, TRAMO: PUENTE SOBRE LA BAHÍA"</t>
  </si>
  <si>
    <t>30.172/08-06</t>
  </si>
  <si>
    <t>ASISTENCIA TÉCNICA: "CONTROL Y VIGILANCIA DE LAS OBRAS; VARIANTE DE CASAS IBÁÑEZ N-322 DE CÓRDOBA A VALENCIA P.K. 403,7 AL P.K. 409,000" PROVINCIA DE ALBACETE.</t>
  </si>
  <si>
    <t>DEPARTAMENTO DE ANTIOQUIA - SECRETARIA DE INFRAESTRUCTURA FISICA</t>
  </si>
  <si>
    <t>2019-SS-20-0002</t>
  </si>
  <si>
    <t>INTERVENTORÍA TÉCNICA, ADMINISTRATIVA, AMBIENTAL, FINANCIERA Y LEGAL PARA EL MEJORAMIENTO, REHABILITACIÓN Y MANTENIMIENTO DE LAS VÍAS DE LA SUBREGIÓN NORDESTE Y MAGDALENA MEDIO DEL DEPARTAMENTO DE ANTIOQUIA.</t>
  </si>
  <si>
    <t>4600009858 de 2019</t>
  </si>
  <si>
    <t>INTERVENTORÍA TÉCNICA, ADMINISTRATIVA, AMBIENTAL, FINANCIERA Y LEGAL PARA EL MEJORAMIENTO Y CONSTRUCCIÓN DE OBRAS COMPLEMENTARIAS EN LA VÍA LA USA – CAICEDO, SUBREGIÓN OCCIDENTE DEL DEPARTAMENTO DE ANTIOQUIA.</t>
  </si>
  <si>
    <t>FONDO NACIONAL DE CARRETERAS VECINALES - FNCV</t>
  </si>
  <si>
    <t>25-05-97-0-93</t>
  </si>
  <si>
    <t>CONSULTORÍA, ASESORÍA E INTERVENTORÍA TÉCNICA Y ADMINISTRATIVA  DE LAS OBRAS QUE SE ADELANTAN EN LA REGIONAL CUNDINAMARCA.
LAS OBRAS REALIZADAS EN LA INTERVENTORÍA CORRESPONDEN A CONSTRUCCIÓN, REHABILITACIÓN, MANTENIMIENTO Y/O MEJORAMIENTO A LA RED DE CARRETERAS DEL DEPARTAMENTO DE CUNDINAMARCA E INCLUYEN LA INTERVENTORÍA A LA CONSTRUCCIÓN EN CONCRETO ASFALTICO DE LA CARRETERA DE SEGUNDO ORDEN QUE DEL MUNICIPIO DE CACHIPAY CONDUCE AL MUNICIPIO DE LA MESA.</t>
  </si>
  <si>
    <t>VGC-076-2015</t>
  </si>
  <si>
    <t>INTERVENTORÍA INTEGRAL DEL CONTRATO DE CONCESIÓN QUE INCLUYE PERO NO SE LIMITA A LA INTERVENTORÍA TÉCNICA, ECONÓMICA, FINANCIERA, CONTABLE, JURÍDICA, ADMINISTRATIVA, OPERATIVA, AMBIENTAL, SOCIAL Y PREDIAL DEL CONTRATO DE CONCESIÓN BAJO UN ESQUEMA DE ASOCIACIÓN PUBLICO PRIVADA DE INICIATIVA PRIVADA QUE NO REQUIERE DESEMBOLSO DE RECURSOS PÚBLICOS PRESENTADA POR LA PROMESA DE SOCIEDAD FUTURA APP GICA S.A., CUYO OBJETO CONSISTE EN LA REALIZACIÓN DE LOS ESTUDIOS, DISEÑOS, CONSTRUCCIÓN, OPERACIÓN, MANTENIMIENTO, GESTIÓN SOCIAL, PREDIAL Y AMBIENTAL DE LA SEGUNDA CALZADA DE LA VÍA IBAGUÉ CAJAMARCA, ASÍ COMO LA OPERACIÓN Y MANTENIMIENTO DEL SISTEMA VIAL (VARIANTE CHICORAL, VARIANTE GUALANDAY IBAGUÉ, GUALANDAY ESPINAL, VARIANTE PICALEÑA, RAMAL NORTE Y TRAZADO EXISTENTE IBAGUÉ CAJAMARCA"</t>
  </si>
  <si>
    <t>132 DE 1987</t>
  </si>
  <si>
    <t>INTERVENTORÍA DE LAS OBRAS DE CONSTRUCCIÓN Y PAVIMENTACIÓN DE LOS SECTORES RIO HUMEA- AGUAZUL DE LA CARRETERA CUMARAL - RIO HUMEA - AGUAZUL</t>
  </si>
  <si>
    <t>SEA-C-MVVC-089 DE 2004</t>
  </si>
  <si>
    <t>INTERVENTORÍA TÉCNICA, FINANCIERA Y OPERATIVA EN LA ETAPA DE CONSTRUCCIÓN DEL CONTRATO DE CONCESIÓN NO. 005 DE 1999 MALLA VIAL DEL VALLE DEL CAUCA Y CAUCA</t>
  </si>
  <si>
    <t>3795 de 2013</t>
  </si>
  <si>
    <t>INTERVENTORÍA PARA EL MEJORAMIENTO DE LA CARRETERA PALERMO - SALAMINA, SECTOR PALERMO-SITIONUEVO-REMOLINO-GUAIMARO, CÓDIGO 2702, EN EL DEPARTAMENTO DEL MAGDALENA</t>
  </si>
  <si>
    <t>FERIA VALENCIA</t>
  </si>
  <si>
    <t>B-96099015</t>
  </si>
  <si>
    <t>REDACCIÓN DE PROYECTO, DIRECCIÓN Y ASISTENCIA TÉCNICA DE LAS OBRAS DE INFRAESTRUCTURA VIAL DE CONEXIÓN, INTERCAMBIADOR DE TRAFICO Y OBRAS CIVILES</t>
  </si>
  <si>
    <t>ARGENTINA</t>
  </si>
  <si>
    <t>SUPERVISIÓN DE LA EJECUCIÓN (INTERVENTORÍA) DEL PROYECTO TÉCNICO, FINANCIERO, DE PRESUPUESTO, JURÍDICO-LEGAL, AMBIENTAL, FORESTAL, DE PREDIOS, SOCIAL, DE SEGURIDAD E HIGIENE, DE LA EJECUCIÓN DE LAS OBRAS DEL PROYECTO DE RECUPERACIÓN Y MEJORAMIENTO DEL FFCC GRAL. BELGRANO. RENOVACIÓN TOTAL DE LA INFRAESTRUCTURA DE VÍAS EN EL SECTOR A: KM 49,500 A KM 8,750 (RAMAL F1) Y SECTOR B: KM 37,900 A KM 83,900 (RAMAL C) PROVINCIA DE SANTA FE</t>
  </si>
  <si>
    <t>INSTITUTO DE DESARROLLO URBANO - IDU</t>
  </si>
  <si>
    <t>IDU-8-1999</t>
  </si>
  <si>
    <t>INTERVENTORIA PARA LAS OBRAS DE REHABILITACION Y MANTENIMIENTO AV 68 CALLE
100 EN BOGOTA. ( Long= 17 km x 4 carriles)</t>
  </si>
  <si>
    <t>085/1981</t>
  </si>
  <si>
    <t>INTERVENTORÍA DE LA CONSTRUCCIÓN DEL SECTOR RÍO GUINA (K59+250) - CAPITANEJO (K140+650) DE LA CARRETERA RÍO BELÉN - CAPITANEJO. (81 KM)</t>
  </si>
  <si>
    <t>062-2005</t>
  </si>
  <si>
    <t>INTERVENTORIA TECNICA, AMBIENTAL, LEGAL, ADMINISTRATIVA, PREDIAL, FINANCIERA, Y OPERATIVA EN LA ETAPA DE OPERACIÓN DEL CONTRATO DE CONCESION # 0849 DE 1995 DESARROLLO VIAL CARRETERA NEIVA-ESPINAL-GIRARDOT.</t>
  </si>
  <si>
    <t>SEA-070-2012</t>
  </si>
  <si>
    <t>INTERVENTORIA INTEGRAL DEL CONTRATO DE CONCESION QUE INCLUYE PERO NO SE LIMITA A LA INTERVENTORIA TECNICA, FINANCIERA, CONTABLE, JURIDICA, MEDIOAMBIENTAL, SOCIO-PREDIAL, ADMINISTRATIVA, DE SEGUROS, OPERATIVA Y DE MANTENIMIENTO DEL CONTRATO DE CONCESION No. 0503 DE 1994 Y DEMAS DOCUMENTOS QUE LO MODIFIQUIEN, ADICIONEN O COMPLEMENTEN PRA LA
CONCESION VIAL CARTAGENA - BARRANQUILLA - VIA AL MAR CONSORCIO "VIA AL MAR" INTEGRADO POR CONSULTORES DEL DESARROLLO S.A. Y EDGARDO NAVARRO VIVES; ASI COMO REGULAR LOS TERMINOS Y CONDICIONES BAJO LOS CUALES LA AGENCIA PAGARA AL INTERVENTOR DE FORMA MENSUAL LA CONTRAPRESTACION OFRECIDA POR EL INTERVENTOR Y ACEPTADA POR LA AGENCIA DURANTE EL CONCURSO DE MERITOS EN UNA SUMA GLOBAL FIJA</t>
  </si>
  <si>
    <t>SEA 020 DE 2012</t>
  </si>
  <si>
    <t>INTERVENTORÍA CUYO OBJETO SERÁ:  “INTERVENTORÍA INTEGRAL DEL CONTRATO DE CONCESIÓN No. 008 DE 2010, CUYO OBJETO ES EL OTORGAMIENTO DE UNA CONCESIÓN, PARA QUE UN CONCESIONARIO REALICE POR SU CUENTA Y RIESGO LAS OBRAS NECESARIAS PARA LA CONSTRUCCIÓN, REHABILITACIÓN, AMPLIACIÓN, MEJORAMIENTO Y CONSERVACIÓN, SEGÚN CORRESPONDA, DEL PROYECTO VIAL TRANSVERSAL DE LAS AMÉRICAS Y LA PREPARACIÓN DE LOS ESTUDIOS Y DISEÑOS DEFINITIVOS, LA GESTIÓN PREDIAL, SOCIAL Y AMBIENTAL, LA OBTENCIÓN Y/O MODIFICACIÓN DE LICENCIAS AMBIENTALES, LA FINANCIACIÓN, LA OPERACIÓN Y EL MANTENIMIENTO DE LAS OBRAS, EN EL CORREDOR VIAL “ TRANSVERSAL DE LAS AMÉRICAS SECTOR 1 DENOMINADO CORREDOR VIAL DEL CARIBE”</t>
  </si>
  <si>
    <t>ORGANISMO SUPERVISOR DE LA INVERSIÓN EN INFRAESTRUCTURA DE TRANSPORTE DE USO PÚBLICO - OSITRAN
PERÚ</t>
  </si>
  <si>
    <t>PERÚ</t>
  </si>
  <si>
    <t>046-2016-OSITRÁN</t>
  </si>
  <si>
    <t>SUPERVISIÓN DE LA EJECUCIÓN DE LAS OBRAS DEL TERMINAL PORTUARIO GENERAL SAN MARTÍN - PISCO.</t>
  </si>
  <si>
    <t>FONDO DE DESARROLLO DE PROYECTOS DE CUNDINAMARCA - FONDECUN</t>
  </si>
  <si>
    <t>447 DE 2016</t>
  </si>
  <si>
    <t>INTERVENTORIA TECNICA, FINANCIERA, ADMINISTRATIVA Y DE CONTROL PRESUPUESTAL A PROYECTOS DE INFRAESTRUCTURA Y HABITAT EN EL TERRITORIO NACIONAL</t>
  </si>
  <si>
    <t>METRO DE PANAMÁ S.A.</t>
  </si>
  <si>
    <t>PANAMÁ</t>
  </si>
  <si>
    <t>SMP-31-2010</t>
  </si>
  <si>
    <t>SERVICIOS DE GERENCIA DE PROYECTO (PROJECT MANAGEMENT) Y ASISTENCIA TÉCNICA A LA EXPLOTACIÓN DE LA LÍNEA 1 DEL METRO DE PANAMÁ</t>
  </si>
  <si>
    <t>761 DEL 14 DE DICIEMBRE DE 2015</t>
  </si>
  <si>
    <t>SELECCIONAR MEDIANTE CONCURSO DE MÉRITOS ABIERTO LA CONTRATACIÓN DE LA INTERVENTORÍA,  QUE INCLUYE PERO NO SE LIMITA A LA INTERVENTORÍA TÉCNICA, ADMINISTRATIVA, FINANCIERA,  LEGAL, AMBIENTAL, SOCIAL, PREDIAL Y DE MANTENIMIENTO PARA EL SEGUIMIENTO DEL CONTRATO No.  0110 – OP DEL 18 DE JULIO DE 1995, ANEXOS, APÉNDICES Y OTROSÍES, CUYO OBJETO ES “(…)  CONSTRUIR Y MANTENER LA SEGUNDA PISTA Y MANTENER LA PISTA EXISTENTE, DE CONFORMIDAD  CON LO PREVISTO EN EL PLIEGO DE CONDICIONES CORRESPONDIENTE A LA LICITACIÓN PÚBLICA  NÚMERO 003/94 Y EN LA PROPUESTA ACEPTADA POR LA UAEAC Y, EN PARTICULAR, A REALIZAR LAS  OBRAS A QUE SE REFIERE LA SECCIÓN 2 DEL TOMO I DEL PLIEGO DE CONDICIONES. EN TODO CASO, EL  CONCESIONARIO SE OBLIGA A REALIZAR CUALESQUIERA GESTIONES, INCLUYENDO LA OBTENCIÓN DE FINANCIAMIENTO, EQUIPO, PERSONAL E INFRAESTRUCTURA ADECUADOS, PARA EJECUTAR A  CABALIDAD EL OBJETO DE ESTE CONTRATO</t>
  </si>
  <si>
    <t>SECRETARÍA DE INFRAESTRUCTURA FISICA, MUNICIPIO DE MEDELLÍN</t>
  </si>
  <si>
    <t>4600063041 de 2015</t>
  </si>
  <si>
    <t>INTERVENTORÍA TÉCNICA, ADMINISTRATIVA, FINANCIERA, AMBIENTAL Y LEGAL, DE LAS OBRAS Y ACTIVIDADES DE LA CONSTRUCCIÓN DE LA ETAPA 1.1 DEL PROYECTO PARQUES DEL RIO MEDELLÍN EN EL TRAMO DE LA AVENIDA REGIONAL, COMPRENDIDO ENTRE LA ESTACIÓN INDUSTRIALES DEL METRO Y EL PUENTE HORACIO TORO (CALLE 58) Y SUS OBRAS COMPLEMENTARIAS.</t>
  </si>
  <si>
    <t>EMPRESA DE TRANSPORTE MASIVO DEL VALLE DE ABURRA LIMITADA</t>
  </si>
  <si>
    <t>CN 2011-0116</t>
  </si>
  <si>
    <t>SUPERVISIÓN Y DIRECCIÓN TÉCNICA PARA LA CONSTRUCCIÓN DEL INTERCAMBIO VIAL DE LA CALLE 31 (LTAGÜI) Y LA CALLE 60 SUR (SABANETA) Y EL CRUCE SOBRE EL RÍO MEDELLÍN DE LA CALLE 80 SUR, COMPLEMENTARIOS AL PROYECTO DE EXTENSIÓN DE LA LÍNEA A DEL SISTEMA METRO HACIA EL SUR DEL VALLE DE ABURRÁ</t>
  </si>
  <si>
    <t>IDU-CD-DTC-029-2002</t>
  </si>
  <si>
    <t>CONTINUACIÓN DE LA INTERVENTORÍA TÉCNICA, ADMINISTRATIVA, FINANCIERA Y AMBIENTAL PARA LA TERMINACIÓN DE LA AVENIDA JOSÉ CELESTINO MUTIS DESDE LA AVENIDA CIUDAD DE CALI HASTA LA CARRERA 119 EN BOGOTÁ D.C.</t>
  </si>
  <si>
    <t>8000047 OK</t>
  </si>
  <si>
    <t>EJECUTAR PARA LA AEROCIVIL LA INTERVENTORIA A LAS OBRAS DE MODERNIZACION Y EXPANSIÓN DE LA CONCESIÓN DE LA ADMINISTRACIÓN, OPERACIÓN, EXPLOTACIÓN COMERCIAL, MANTENIMIENTO, MODERNIZACIÓN Y EXPANSIÓN DEL AEROPUERTO INTERNACIONAL EL DORADO DE LA CIUDAD DE BOGOTA</t>
  </si>
  <si>
    <t>GOBERNACIÓN DEL CESAR</t>
  </si>
  <si>
    <t>2011 04 0094</t>
  </si>
  <si>
    <t>INTERVENTORÍA TÉCNICA, ADMINISTRATIVA, FINANCIERA Y AMBIENTAL A CONTRATOS DE OBRAS MAYORES A EJECUTARSE EN LA VIGENCIA 2011 EN EL DEPARTAMENTO DEL CESAR CON RECURSOS DEL FONDO NACIONAL DE CALAMIDADES, SUBCUENTA COLOMBIA HUMANITARIA</t>
  </si>
  <si>
    <t>SISTEMA INTEGRADO DE TRANSPORTE DE VALLEDUPAR - SIVA</t>
  </si>
  <si>
    <t>CI-042-2014</t>
  </si>
  <si>
    <t>LA INTERVENTORIA TECNICA, ADMINISTRATIVA, FINANCIERA, JURIDICA Y AMBIENTAL DEL CONTRATO DE CONSTRUCCIÓN Y REHABILITACIÓN DE LA MALLA VIAL Y ESPACIO PÚBLICO, RENOVACIÓN Y OPTIMIZACIÓN DE LAS REDES DE ACUEDUCTO Y ALCANTARILLADO SANITARIO, Y CONSTRUCCIÓN DEL COLECTOR DE AGUAS LLUVIAS DE LA AVENIDA SIMÓN BOLÍVAR ENTRE LAS GLORIETAS DEL TERMINAL Y LA CEIBA; INCLUYE LA OPTIMIZACION DEL CANAL DE AGUAS LLUVIAS DE LA CALLE 44 DESDE LA GLORIETA DEL TERMINAL HASTA EL RIO GUATAPURÍ Y SUS OBRAS COMPLEMENTARIAS PARA LA PUESTA EN MARCHA DEL SISTEMA ESTRATÉGICO DE TRANSPORTE PÚBLICO COLECTIVO DE LA CIUDAD DE VALLEDUPAR, DEPARTAMENTO DEL CESAR</t>
  </si>
  <si>
    <t>10/02/199</t>
  </si>
  <si>
    <t>USD</t>
  </si>
  <si>
    <t/>
  </si>
  <si>
    <t>El proponente CONSORCIO INTERVIAL SUR aporta (7) contratos válidos para acreditar experiencia según lo solicitado en el Anexo de generalidades al Pliego de Condiciones. No obstante, en la validación de la experiencia mínima requerida por contrato de conformidad con el numeral 3.4.1 - EXIGENCIA MÍNIMA DE LA EXPERIENCIA DEL PROPONENTE, en la Nota General 4 que indica: Para proponentes individuales, el monto de cada contrato acreditable debe ser igual o superior al 10% del presupuesto oficial expresado en SMMLV del año de cierre del proceso de selección. Lo anterior teniendo en cuenta que con ello se garantiza pluralidad de los interesados en el proceso. Lo que quiere decir que debe ser igual o superior a 3.968,07. Así las cosas, se evidenció que el contrato de Orden No. 2, No. 4, No. 5 y No. 6, NO CUMPLEN con esta condición. 
Sin embargo, el proponente recibe la calificación en los aspectos técnicos de HÁBIL, toda vez que los otros (3) contratos aportados cumplen con las condiciones exigidas.</t>
  </si>
  <si>
    <t>Referente al contrato de Orden No. 1 identificado como VGC-076-2015, Cuyo objeto es : “INTERVENTORÍA INTEGRAL DEL CONTRATO DE CONCESIÓN QUE INCLUYE PERO NO SE LIMITA A LA INTERVENTORÍA TÉCNICA, ECONÓMICA, FINANCIERA, CONTABLE, JURÍDICA, ADMINISTRATIVA, OPERATIVA, AMBIENTAL, SOCIAL Y PREDIAL DEL CONTRATO DE CONCESIÓN BAJO UN ESQUEMA DE ASOCIACIÓN PUBLICO PRIVADA DE INICIATIVA PRIVADA QUE NO REQUIERE DESEMBOLSO DE RECURSOS PÚBLICOS PRESENTADA POR LA PROMESA DE SOCIEDAD FUTURA APP GICA S.A., CUYO OBJETO CONSISTE EN LA REALIZACIÓN DE LOS ESTUDIOS, DISEÑOS, CONSTRUCCIÓN, OPERACIÓN, MANTENIMIENTO, GESTIÓN SOCIAL, PREDIAL Y AMBIENTAL DE LA SEGUNDA CALZADA DE LA VÍA IBAGUÉ CAJAMARCA, ASÍ COMO LA OPERACIÓN Y MANTENIMIENTO DEL SISTEMA VIAL (VARIANTE CHICORAL, VARIANTE GUALANDAY IBAGUÉ, GUALANDAY ESPINAL, VARIANTE PICALEÑA, RAMAL NORTE Y TRAZADO EXISTENTE IBAGUÉ CAJAMARCA".
De conformidad con lo establecido en el Anexo de Generalidades:
“1.10. GLOSARIO
Contrato Ejecutado o Contrato Terminado: Para efectos de acreditación de experiencia, aquellos en los que su objeto y obligaciones se encuentran ejecutadas y recibidas a satisfacción por parte del contratante y se soportan en los documentos de recibo a satisfacción y/o liquidación. En caso de que el acta de liquidación y/o recibo a satisfacción contenga salvedades 
u obligaciones pendientes a cargo del contratista, se dará el tratamiento a las reglas establecidas para Contratos en ejecución”
“3.4.1.3. ACREDITACIÓN DE EXPERIENCIA DE CONTRATOS EN EJECUCIÓN:
(…)
(iv) Para efectos de evaluación, únicamente para los contratos en ejecución suscritos con la Agencia Nacional de Infraestructura, se realizará la conversión a SMMLV efectivamente pagado en pesos corrientes; valores tomados de la información que certifiquen internamente las Vicepresidencias a cargo de cada contrato, con la fecha de corte del último pago realizado y certificado por la ANI. Para tal fin, el oferente deberá anunciar la experiencia que pretende acreditar en el Formato No. 4 de experiencia, sin aportar la certificación y, por lo mismo, se tomará el valor certificado por la ANI.
(v) Para la acreditación de la experiencia de contratos en ejecución en el certificado de experiencia debe verificarse el valor facturado y pagado antes del cierre del Proceso de Contratación y las demás condiciones establecidas por la Entidad que permitan conocer las actividades realizadas y el respectivo valor. (…)” 
Si bien la experiencia acreditada con la Agencia Nacional de Infraestructura es válida, es preciso indicarle al oferente que se realiza un ajuste en el valor facturado del contrato y se da tratamiento al mismo como contrato en Ejecución, conforme a lo certificado por la Vicepresidencia encarga del respectivo contrato que indica: 
Frente al estado del contrato: Ejecución (X)
Fecha de terminación 14/08/2027. 
Valor Pagado en Pesos Corrientes (Acumulado) antes del 09 de marzo de 2026 el valor acumulado facturado asciende a $66.277.582.007,48 pesos corrientes, ultimo pago 13/01/2026. Radicado ANI No.: 20267030064663. (29.03.26)
No obstante, de acuerdo con los lineamientos establecidos en el Pliego de Condiciones y a las validaciones realizados a los soportes aportados tales como: certificaciones de ejecución de los contratos (actas de liquidación y/o equivalentes) y a lo consignado en el Registro Único de Proponentes; se constató que las experiencias aportadas cumplen. "</t>
  </si>
  <si>
    <t>El proponente CONSORCIO CORREDOR EL ESTANQUILLO ITLSC aporta (6) contratos válidos para acreditar experiencia según lo solicitado en el Anexo de generalidades al Pliego de Condiciones. No obstante, en la validación de la experiencia mínima requerida por contrato de conformidad con el numeral 3.4.1 - EXIGENCIA MÍNIMA DE LA EXPERIENCIA DEL PROPONENTE, en la Nota General 4 que indica: Para proponentes individuales, el monto de cada contrato acreditable debe ser igual o superior al 10% del presupuesto oficial expresado en SMMLV del año de cierre del proceso de selección. Lo anterior teniendo en cuenta que con ello se garantiza pluralidad de los interesados en el proceso. Lo que quiere decir que debe ser igual o superior a 3.968,07. Así las cosas, se evidenció que el contrato de Orden No. 6, NO CUMPLE con esta condición. 
Sin embargo, el proponente recibe la calificación en los aspectos técnicos de HÁBIL, toda vez que los otros (5) contratos aportados cumplen con las condiciones exigidas.</t>
  </si>
  <si>
    <t>El proponente CONSORCIO INTERVENTOR DE OCCIDENTE aporta (5) contratos válidos para acreditar experiencia según lo solicitado en el Anexo de generalidades al Pliego de Condiciones. No obstante, en la validación de la experiencia mínima requerida por contrato de conformidad con el numeral 3.4.1 - EXIGENCIA MÍNIMA DE LA EXPERIENCIA DEL PROPONENTE, en la Nota General 4 que indica: Para proponentes individuales, el monto de cada contrato acreditable debe ser igual o superior al 10% del presupuesto oficial expresado en SMMLV del año de cierre del proceso de selección. Lo anterior teniendo en cuenta que con ello se garantiza pluralidad de los interesados en el proceso. Lo que quiere decir que debe ser igual o superior a 3.968,07. Así las cosas, se evidenció que el contrato de Orden No. 4 y No. 5, NO CUMPLEN con esta condición. 
Sin embargo, el proponente recibe la calificación en los aspectos técnicos de HÁBIL, toda vez que los otros (3) contratos aportados cumplen con las condiciones exigidas.</t>
  </si>
  <si>
    <r>
      <t>El proponente CONSORCIO ALIANZA PACIFICO aporta (4) contratos válidos para acreditar experiencia según lo solicitado en el Anexo de generalidades al Pliego de Condiciones. No obstante, en la validación de la experiencia mínima requerida por contrato de conformidad con el numeral 3.4.1 - EXIGENCIA MÍNIMA DE LA EXPERIENCIA DEL PROPONENTE, en la Nota General 4 que indica: P</t>
    </r>
    <r>
      <rPr>
        <i/>
        <sz val="11"/>
        <rFont val="Calibri"/>
        <family val="2"/>
        <scheme val="minor"/>
      </rPr>
      <t>ara proponentes individuales, el monto de cada contrato acreditable debe ser igual o superior al 10% del presupuesto oficial expresado en SMMLV del año de cierre del proceso de selección. Lo anterior teniendo en cuenta que con ello se garantiza pluralidad de los interesados en el proceso.</t>
    </r>
    <r>
      <rPr>
        <sz val="11"/>
        <rFont val="Calibri"/>
        <family val="2"/>
        <scheme val="minor"/>
      </rPr>
      <t xml:space="preserve"> Lo que quiere decir que debe ser igual o superior a 3.968,07. Así las cosas, se evidenció que el contrato de Orden No. 4, NO CUMPLE con esta condición. 
Sin embargo, el proponente recibe la calificación en los aspectos técnicos de HÁBIL, toda vez que los otros (3) contratos aportados cumplen con las condiciones exigidas.</t>
    </r>
  </si>
  <si>
    <t>CONSORCIO EPSILON CAUCA</t>
  </si>
  <si>
    <t>PROYECTOS E INTERVENTORIAS S.A.S.</t>
  </si>
  <si>
    <t>INESAS</t>
  </si>
  <si>
    <t>CONSORCIO ESTANQUILLO POPAYÁN SU</t>
  </si>
  <si>
    <t xml:space="preserve">SERVINC SAS </t>
  </si>
  <si>
    <t xml:space="preserve">UG21 ENGINEERING S.A.S </t>
  </si>
  <si>
    <t>CONSORCIO ESTANQUILLO CLA</t>
  </si>
  <si>
    <t>CANJI DISEÑOS E INTERVENTORIAS S.A.S.</t>
  </si>
  <si>
    <t>LATINOCONSULT S.A.S.</t>
  </si>
  <si>
    <t>AQUA &amp; TERRA CONSULTORES ASOCIADOS S.A.S.</t>
  </si>
  <si>
    <t>CONSORCIO INTERVENTOR CONCESIÓN APP</t>
  </si>
  <si>
    <t>CAL Y MAYOR COLOMBIA S.A.S.</t>
  </si>
  <si>
    <t>CPS INFRAESTRUCTURAS MOVILIDAD Y MEDIO AMBIENTE SL SUCURSAL COLOMBIA</t>
  </si>
  <si>
    <t>CONSORCIO CORREDOR CAUCA 3M</t>
  </si>
  <si>
    <t>MAB INGENIERÍA DE VALOR S.A.</t>
  </si>
  <si>
    <t>MAB SERVICIOS S.A.S.</t>
  </si>
  <si>
    <t>MAB INFRAESTRUCTURA S.A.S.</t>
  </si>
  <si>
    <t>CONSORCIO CONCESIÓN ESTANQUILLO AG</t>
  </si>
  <si>
    <t>AIRTIFICIAL CW INFRASTRUCTURES COLOMBIA S.A.S.</t>
  </si>
  <si>
    <t>GÓMEZ CAJIAO Y ASOCIADOS S.A.S.</t>
  </si>
  <si>
    <t>CONSORCIO VIAS POPAYAN</t>
  </si>
  <si>
    <t>MIRS LATINOAMERICA S.A.S</t>
  </si>
  <si>
    <t>CONSTRUCTORA A&amp;C SOCIEDAD ANONIMA</t>
  </si>
  <si>
    <t>Consorcio APPLUS ANI 002.</t>
  </si>
  <si>
    <t>INGEANDINA CONSULTORES DE INGENIERIA S.A.S.</t>
  </si>
  <si>
    <t>APPLUS SERVICIOS INTEGRALES SAS</t>
  </si>
  <si>
    <t>CONSORCIO INTERVIAL RJ.</t>
  </si>
  <si>
    <t>FJB INGENIERIA SAS</t>
  </si>
  <si>
    <t>R&amp;Q INGENIERIA COLOMBIA SA</t>
  </si>
  <si>
    <t>JOYCO S.A.S. BIC</t>
  </si>
  <si>
    <t>PROPONENTE 10 - CONTRATO DE ORDEN 1 y 2: 
Referente al contrato de orden N°1 aportado por el  integrante PROYECTOS E INTERVENTORÍAS S.A.S, y contrato de orden N°2 aportado por el integrante INESAS, Cuyo objeto es: “Interventoría Integral que incluye, pero no se limita a la interventoría Técnica, Económica, Financiera, Contable, Jurídica, Administrativa, Operativa, Medio Ambiental y Socio Predial del Contrato de Concesión bajo un Esquema de Asociación Público-Privada de Iniciativa Pública que se derive del Proceso Licitatorio VJ-VE-IP-LP-022-2013 correspondiente al corredor denominado "Concesión Autopista al mar 1" del Proyecto Autopistas para la Prosperidad.”
De conformidad con lo establecido en el Anexo de Generalidades:
“1.10. GLOSARIO
Contrato Ejecutado o Contrato Terminado: Para efectos de acreditación de experiencia, aquellos en los que su objeto y obligaciones se encuentran ejecutadas y recibidas a satisfacción por parte del contratante y se soportan en los documentos de recibo a satisfacción y/o liquidación. En caso de que el acta de liquidación y/o recibo a satisfacción contenga salvedades u obligaciones pendientes a cargo del contratista, se dará el tratamiento a las reglas establecidas para Contratos en ejecución”
“3.4.1.3. ACREDITACIÓN DE EXPERIENCIA DE CONTRATOS EN EJECUCIÓN:
(…)
(iv) Para efectos de evaluación, únicamente para los contratos en ejecución suscritos con la Agencia Nacional de Infraestructura, se realizará la conversión a SMMLV efectivamente pagado en pesos corrientes; valores tomados de la información que certifiquen internamente las Vicepresidencias a cargo de cada contrato, con la fecha de corte del último pago realizado y certificado por la ANI. Para tal fin, el oferente deberá anunciar la experiencia que pretende acreditar en el Formato No. 4 de experiencia, sin aportar la certificación y, por lo mismo, se tomará el valor certificado por la ANI.
(v) Para la acreditación de la experiencia de contratos en ejecución en el certificado de experiencia debe verificarse el valor facturado y pagado antes del cierre del Proceso de Contratación y las demás condiciones establecidas por la Entidad que permitan conocer las actividades realizadas y el respectivo valor. (…)” 
Si bien la experiencia acreditada con la Agencia Nacional de Infraestructura es válida, es preciso indicarle al oferente que se realiza un ajuste en el valor facturado del contrato y se da tratamiento al mismo como contrato en Ejecución, conforme a lo certificado por la Vicepresidencia encarga del respectivo contrato que indica:
Frente al estado del contrato: Salvedades u obligaciones pendientes (X)
Valor reportado VEJ:
“Valor Pagado en Pesos Corrientes (Acumulado) antes del 09 de marzo de 2026 el valor acumulado facturado asciende a $49.232.893.470,53 pesos corrientes, ultimo pago 07/05/2024, Radicado ANI No.: 20265000069213. (25.03.26)
El respectivo ajuste se evidencia en la matriz de evaluación técnica.
El referido memorando, junto con la respuesta emitida, así como el informe de evaluación preliminar es objeto de publicación en la Plataforma SECOP II
Radicado ANI No.: 20265000069213. (25.03.26)</t>
  </si>
  <si>
    <t>No aplica solicitud de subsane y/o aclaración</t>
  </si>
  <si>
    <t>PROPONENTE 11 - CONTRATO DE ORDEN 2: 
Referente al contrato de orden N°2 aportado por el  integrante SERVINC S.A.S, Cuyo objeto es: “Realizar la Interventoría integral que incluye pero no se limita a la Intervención Técnica, Económica, Financiera, Contable, Jurídica, Administrativa, Operativa, Medio Ambiental y Socio Predial del Contrato de Concesión bajo el esquema de Asociación Público Privada de iniciativa privada que se derive del proceso licitatorio VE-VE-APP-IPV-008-2015 correspondiente al corredor denominado “VIAS DEL NUS” Cuyo objeto es “Realizar estudios y diseños, financiación, gestión ambiental, predial y social, construcción, rehabilitación, mejoramiento, operación, mantenimiento reversión de la Concesión Vías del Nus.” Incluida la Interventoría a los estudios y diseños correspondientes” El objeto del Contrato comprende sin limitarse:
(i) La Interventoría técnica, económica, financiera, contable, jurídica, administrativa, operativa, ambiental, social, y predial del Contrato de Concesión.
(ii) La medición de los indicadores en los términos señalados en el Contrato de Concesión.  (iii) La definición de las acciones necesarias para el logro de los objetos previstos en el Contrato de Concesión. (iv) Colaborar con la ANI en el seguimiento al comportamiento de los riesgos, por lo cual deberá alertar tanto a la ANI como al Concesionario frente a la posibilidad materialización de estos. Lo anterior incluye la elaboración de los insumos y parámetros de cuantificación de riesgo para el respectivo cumplimiento por parte de la ANI de la ley 448 de 1998 y el Decreto 423 de 2001, o las normas que los modifiquen.”
De conformidad con lo establecido en el Anexo de Generalidades:
“1.10. GLOSARIO
Contrato Ejecutado o Contrato Terminado: Para efectos de acreditación de experiencia, aquellos en los que su objeto y obligaciones se encuentran ejecutadas y recibidas a satisfacción por parte del contratante y se soportan en los documentos de recibo a satisfacción y/o liquidación. En caso de que el acta de liquidación y/o recibo a satisfacción contenga salvedades u obligaciones pendientes a cargo del contratista, se dará el tratamiento a las reglas establecidas para Contratos en ejecución”
“3.4.1.3. ACREDITACIÓN DE EXPERIENCIA DE CONTRATOS EN EJECUCIÓN:
(…)
(iv) Para efectos de evaluación, únicamente para los contratos en ejecución suscritos con la Agencia Nacional de Infraestructura, se realizará la conversión a SMMLV efectivamente pagado en pesos corrientes; valores tomados de la información que certifiquen internamente las Vicepresidencias a cargo de cada contrato, con la fecha de corte del último pago realizado y certificado por la ANI. Para tal fin, el oferente deberá anunciar la experiencia que pretende acreditar en el Formato No. 4 de experiencia, sin aportar la certificación y, por lo mismo, se tomará el valor certificado por la ANI.
(v) Para la acreditación de la experiencia de contratos en ejecución en el certificado de experiencia debe verificarse el valor facturado y pagado antes del cierre del Proceso de Contratación y las demás condiciones establecidas por la Entidad que permitan conocer las actividades realizadas y el respectivo valor. (…)” 
Si bien la experiencia acreditada con la Agencia Nacional de Infraestructura es válida, es preciso indicarle al oferente que se realiza un ajuste en el valor facturado del contrato y se da tratamiento al mismo como contrato en Ejecución, conforme a lo certificado por la Vicepresidencia encarga del respectivo contrato que indica:
Frente al estado del contrato: Ejecución (X)
Valor reportado VEJ:
“Valor Pagado en Pesos Corrientes (Acumulado) antes del 09 de marzo de 2026 el valor acumulado facturado asciende a $49.920.672.966 pesos corrientes, ultimo pago 23/01/2026, Radicado ANI No.: 20265000069213. (25.03.26)
El respectivo ajuste se evidencia en la matriz de evaluación técnica.
El referido memorando, junto con la respuesta emitida, así como el informe de evaluación preliminar es objeto de publicación en la Plataforma SECOP II
Radicado ANI No.: 20265000069213. (25.03.26)</t>
  </si>
  <si>
    <t xml:space="preserve">El proponente  aporta 5 contratos válidos para acreditar experiencia según lo solicitado en el Anexo de generalidades al Pliego de Condiciones, con lo cual el proponente recibe la calificación en los aspectos técnicos de HÁBIL. </t>
  </si>
  <si>
    <t xml:space="preserve">El proponente  aporta 4 contratos válidos para acreditar experiencia según lo solicitado en el Anexo de generalidades al Pliego de Condiciones, con lo cual el proponente recibe la calificación en los aspectos técnicos de HÁBIL. </t>
  </si>
  <si>
    <r>
      <rPr>
        <b/>
        <sz val="12"/>
        <rFont val="Calibri"/>
        <family val="2"/>
        <scheme val="minor"/>
      </rPr>
      <t xml:space="preserve">(1) Contrato de Orden N°5
</t>
    </r>
    <r>
      <rPr>
        <sz val="12"/>
        <rFont val="Calibri"/>
        <family val="2"/>
        <scheme val="minor"/>
      </rPr>
      <t xml:space="preserve">La información presentada en el Formato 4 presenta inconsistencia en el numero de RUP relacionado para el contrato de Orden N° 5, el cual no permite la verificación de la información contenida en la propuesta ni certificaciones adjuntas, como lo especifica el numeral 3.4.1.1 literal (C) del Anexo Complementario al Pliego de Condiciones del Concurso de Meritos Abiertos. 
En consecuencia, la documentación aportada no permite validar la experiencia del contrato referido, al no existir concordancia entre el certificado presentado y la información declarada en el Formato 4.
</t>
    </r>
    <r>
      <rPr>
        <b/>
        <sz val="12"/>
        <rFont val="Calibri"/>
        <family val="2"/>
        <scheme val="minor"/>
      </rPr>
      <t>(2) Contrato de Orden N° 6</t>
    </r>
    <r>
      <rPr>
        <sz val="12"/>
        <rFont val="Calibri"/>
        <family val="2"/>
        <scheme val="minor"/>
      </rPr>
      <t xml:space="preserve"> NO CUMPLE INFRAESTRUCTURA DE TRANSPORTE VIAL DEBE ACLARAR MALLA VIAL ARTERIAL 
Referente al contrato de orden N°6 aportado por el proponente CONSORCIO CORREDOR CAUCA 3M, cuyo objeto es "ASESORÍA E INTERVENTORÍA TÉCNICA, ADMINISTRATIVA, LEGAL, FINANCIERA Y AMBIENTAL DEL CONTRATO DE CONCESIÓN DE OBRA PARA EL DISEÑO Y LA CONSTRUCCIÓN DEL PORTAL DEL GALLO Y EL PATIO-TALLER DEL SITM TRANSCARIBE Y DE LA CONSTRUCCIÓN DEL TRAMO DE CORREDOR COMPRENDIDO ENTRE LA TERMINACIÓN DEL TRAMO IV Y LA ENTRADA DEL PORTAL, PATIO TALLER DEL SITM TRANSCARIBE DE CARTAGENA DE INDIAS D.T.Y.C." No se puede constatar el cumplimiento a lo establecido en el Anexo Complementario Nota Geneal 9, toda vez que, frente a un proyecto de infraestructura de transporte vial, este debe cumplir con las definiciones indicadas en el numeral 1.10 “Infraestructura de Transporte Vial”. Acorde a lo anterior, dentro de la documentación aportada no se evidencia documento donde se identifique que dicho contrrato corresponda a ser de Infraestructura de transporte vial que cumpla alguna con las condiciones antes descritas. Es por lo cual que el Contrato de orden N° 6 No cumple con los requisitos establecidos en el Anexo de Generalidades del Pliego de Condiciones, específicamente en el numeral 3.4.1.1. CONSIDERACIONES ADICIONALES APLICABLES A LOS REQUISITOS HABILITANTES TÉCNICOS, literal (E) , el cual señala que la experiencia podrá acreditarse mediante alguno o algunos de los documentos definidos en el Pliego de Condiciones, conforme a lo indicado en el literal I del mismo numeral.
En consecuencia, la documentación aportada no permite validar la experiencia del contrato referido, al no existir concordancia entre el certificado presentado y la información declarada en el Formato 4. 
</t>
    </r>
    <r>
      <rPr>
        <b/>
        <sz val="12"/>
        <rFont val="Calibri"/>
        <family val="2"/>
        <scheme val="minor"/>
      </rPr>
      <t xml:space="preserve">(3) Contrato de Orden N°7
</t>
    </r>
    <r>
      <rPr>
        <sz val="12"/>
        <rFont val="Calibri"/>
        <family val="2"/>
        <scheme val="minor"/>
      </rPr>
      <t>La información presentada en el Formato 4 presenta inconsistencia en el numero de RUP relacionado para el contrato de Orden N° 7, el cual no permite la verificación de la información contenida en la propuesta ni certificaciones adjuntas, como lo especifica el numeral 3.4.1.1 literal (C) del Anexo Complementario al Pliego de Condiciones del Concurso de Meritos Abiertos. 
En consecuencia, la documentación aportada no permite validar la experiencia del contrato referido, al no existir concordancia entre el certificado presentado y la información declarada en el Formato 4.
Los</t>
    </r>
    <r>
      <rPr>
        <b/>
        <sz val="12"/>
        <rFont val="Calibri"/>
        <family val="2"/>
        <scheme val="minor"/>
      </rPr>
      <t xml:space="preserve"> Contrato de Orden N° 5, 6 y 7</t>
    </r>
    <r>
      <rPr>
        <sz val="12"/>
        <rFont val="Calibri"/>
        <family val="2"/>
        <scheme val="minor"/>
      </rPr>
      <t xml:space="preserve">, no son valido para acreditar experiencia con la totalidad de los requisitos en el Anexo de Generalidades al Pliego de Condiciones, sin embargo el proponente acredita la expeiencia por los contratos de Orden N° 1, 2, 3 Y 4 , que se encuentran habilitados para acreditar experiencia. 
Se determina que el proponente recibe la calificación técnica de HÁBIL, debido a que este cumple para acreditar experiencia en los contratos de orden N° 1, 2, 3 y 4: el incumplimiento de los Contratos de Orden N° 5, 6 y 7 no le permite acreditar la totalidad de la experiencia habilitante para ponderar en estos contratos , conforme a lo establecido en el numeral 3.4.1. EXIGENCIA MÍNIMA DE LA EXPERIENCIA DEL PROPONENTE. </t>
    </r>
  </si>
  <si>
    <r>
      <t>Para dar validez a los</t>
    </r>
    <r>
      <rPr>
        <b/>
        <sz val="12"/>
        <rFont val="Calibri"/>
        <family val="2"/>
        <scheme val="minor"/>
      </rPr>
      <t xml:space="preserve"> Contratos de Orden N° 5 y 7 </t>
    </r>
    <r>
      <rPr>
        <sz val="12"/>
        <rFont val="Calibri"/>
        <family val="2"/>
        <scheme val="minor"/>
      </rPr>
      <t xml:space="preserve">conforme a la OBSERVACIÓN presentadda por la Agencia,, el proponente deberá acreditar a traves del </t>
    </r>
    <r>
      <rPr>
        <b/>
        <sz val="12"/>
        <rFont val="Calibri"/>
        <family val="2"/>
        <scheme val="minor"/>
      </rPr>
      <t xml:space="preserve">Formato 4 </t>
    </r>
    <r>
      <rPr>
        <sz val="12"/>
        <rFont val="Calibri"/>
        <family val="2"/>
        <scheme val="minor"/>
      </rPr>
      <t xml:space="preserve">las aclaraciones necesarias al Numero de RUP relacionado en este, que permitan validar los contratos en mención, lo anterior en cumplimiento de lo establecido en el numeral 1.6 REGLAS DE SUBSANACIÓN, EXPLICACIONES Y ACLARACIONES.
PARA ESTE CASO EN PARTICULAR, NO SE EVALUO LOS CONTRATOS DE ORDEN 5 y 7 POR INCONSISTENCIA EN LA INFORMACIÓN PRESENTADA EN EL FORMATO 4. 
</t>
    </r>
    <r>
      <rPr>
        <b/>
        <sz val="12"/>
        <rFont val="Calibri"/>
        <family val="2"/>
        <scheme val="minor"/>
      </rPr>
      <t>Para el contrato de orden N° 6</t>
    </r>
    <r>
      <rPr>
        <sz val="12"/>
        <rFont val="Calibri"/>
        <family val="2"/>
        <scheme val="minor"/>
      </rPr>
      <t xml:space="preserve">: para la validez del Contrato Conforme a la OBSERVACIÓN presenada por la Entidad, el proponente deberá acreditar a traves de los documentos validos establecidos  en el numeral 3.4.1.1. CONSIDERACIONES ADICIONALES APLICABLES A LOS REQUISITOS HABILITANTES TÉCNICOS:  en el numeral 1.10 GLOSARIO ESPECÍFICO: “ (…)  “Infraestructura de Transporte Vial”: Son: a) Las obras de infraestructura de carreteras pavimentadas con un ancho de carril mayor o igual a 3.50 metros, que incluyan obras de Drenaje; ó b) Las obras de infraestructura de carreteras primarias pavimentadas que cumplen la función básica de integración de ciudades o localidades entre sí, y/o conexión con zonas portuarias o fronterizas; y/o las obras de infraestructura de carreteras secundarias pavimentadas que unen cabeceras municipales entre sí y/o que provienen de una cabecera municipal y conectan con una carretera primaria; ó c.) Las obras de infraestructura de vías urbanas, que en su construcción tengan pavimentos rígidos y/o flexibles. Para el caso de vías urbanas serán aquellas que se consideren de la malla vial arterial."
PARA ESTE CASO EN PARTICULAR, LOS CERTIFICADOS PRESENTADOS NO DESCRIBEN EL ANCHO DEL CARRIL, NI ACLARA LA CATEGORIZACIÓN VIAL (TIPO DE VÍA) QUE SEGÚN LA CERTIFICACIÓN APORTADA DEBERÍA SER MALLA VIAL ARTERIAL </t>
    </r>
  </si>
  <si>
    <t xml:space="preserve">El proponente  aporta 3 contratos válidos para acreditar experiencia según lo solicitado en el Anexo de generalidades al Pliego de Condiciones, con lo cual el proponente recibe la calificación en los aspectos técnicos de HÁBIL. </t>
  </si>
  <si>
    <r>
      <rPr>
        <b/>
        <sz val="12"/>
        <rFont val="Calibri"/>
        <family val="2"/>
        <scheme val="minor"/>
      </rPr>
      <t xml:space="preserve">(1) NO CUMPLE INFRAESTRUCTURA DE TRANSPORTE VIAL  DEBE ACLARAR CATEGORIAZACIÓN VÍAL (TIPO DE VÍA) ( NO CUMPLE ) Y /O DEBE ACLARAR  ANCHO DE CARRIL (NO CUMPLE)
</t>
    </r>
    <r>
      <rPr>
        <sz val="12"/>
        <rFont val="Calibri"/>
        <family val="2"/>
        <scheme val="minor"/>
      </rPr>
      <t xml:space="preserve">
Referente a los contratos de orden N°4  y 5 aportado por el proponente CONSORCIO INTERVIAL RJ., cuyo objeto es "Interventoría Terminación del Túnel de la Línea y Segunda Calzada Calarcá -Cajamarca - Proyecto Cruce de Coordillera Central"  no se puede constatar el cumplimiento a lo establecido en el Anexo Complementario Nota General 9, toda vez que, frente a un proyecto de infraestructura de transporte vial, este debe cumplir con las definiciones indicadas en el numeral 1.10 “Infraestructura de Transporte Vial”: Son: a) Las obras de infraestructura de carreteras pavimentadas con un ancho de carril mayor o igual a 3.50 metros, que incluyan obras de Drenaje; ó b) Las obras de infraestructura de carreteras primarias pavimentadas que cumplen la función básica de integración de ciudades o localidades entre sí, y/o conexión con zonas portuarias o fronterizas; y/o las obras de infraestructura de carreteras secundarias pavimentadas que unen cabeceras municipales entre sí y/o que provienen de una cabecera municipal y conectan con una carretera primaria; ó c.) Las obras de infraestructura de vías urbanas, que en su construcción tengan pavimentos rígidos y/o flexibles. Para el caso de vías urbanas serán aquellas que se consideren de la malla vial arterial. (…). 
Acorde a lo anterior, dentro de la documentación aportada no se evidencia documento donde se identifique que dicho contrrato corresponda a ser de Infraestructura de transporte vial que cumpla alguna con las condiciones antes descritas. Es por lo cual que los Contrato de orden N° 4 y 5 No cumplen con los requisitos establecidos en el Anexo de Generalidades del Pliego de Condiciones, específicamente en el numeral 3.4.1.1. CONSIDERACIONES ADICIONALES APLICABLES A LOS REQUISITOS HABILITANTES TÉCNICOS, literal (E) , el cual señala que la experiencia podrá acreditarse mediante alguno o algunos de los documentos definidos en el Pliego de Condiciones, conforme a lo indicado en el literal I del mismo numeral. En consecuencia, la documentación aportada no permite validar la experiencia del contrato referido, al no existir concordancia entre el certificado presentado y la información declarada en el Formato 4.
</t>
    </r>
    <r>
      <rPr>
        <b/>
        <sz val="12"/>
        <rFont val="Calibri"/>
        <family val="2"/>
        <scheme val="minor"/>
      </rPr>
      <t xml:space="preserve">(2) Contrato de Orden N° 7 NO CUMPLE INFRAESTRUCTURA DE TRANSPORTE VIAL DEBE ACLARAR MALLA VIAL ARTERIAL 
Referente al contrato de orden N°7 aportado por el proponente  CONSORCIO INTERVIAL RJ, cuyo objeto es "“INTERVENTORÍA TÉCNICA, ADMINISTRATIVA, FINANCIERA, LEGAL, SOCIAL Y AMBIENTAL, PARA LA CONSTRUCCIÓN DE LAS OBRAS DE LA INTERSECCIÓN A DESNIVEL DE LA AVENIDA LAUREANO GOMEZ (AK 9) CON CALLE 94 Y SU CONEXION CON LA AVENIDA SANTA BARBARA (AK 19), CORRESPONDIENTE AL CODIGO DE OBRA 104 DEL ACUERDO 180 DE 2005 DE VALORIZACION, EN BOGOTA D.C”.." No se puede constatar el cumplimiento a lo establecido en el Anexo Complementario Nota General 9, toda vez que, frente a un proyecto de infraestructura de transporte vial, este debe cumplir con las definiciones indicadas en el numeral 1.10 “Infraestructura de Transporte Vial”. Acorde a lo anterior, dentro de la documentación aportada no se evidencia documento donde se identifique que dicho contrato corresponda a ser de Infraestructura de transporte vial que cumpla alguna con las condiciones antes descritas. Es por lo cual que el Contrato de orden N° 7 No cumple con los requisitos establecidos en el Anexo de Generalidades del Pliego de Condiciones, específicamente en el numeral 3.4.1.1. CONSIDERACIONES ADICIONALES APLICABLES A LOS REQUISITOS HABILITANTES TÉCNICOS, literal (E) , el cual señala que la experiencia podrá acreditarse mediante alguno o algunos de los documentos definidos en el Pliego de Condiciones, conforme a lo indicado en el literal I del mismo numeral. En consecuencia, la documentación aportada no permite validar la experiencia del contrato referido, al no existir concordancia entre el certificado presentado y la información declarada en el Formato 4. </t>
    </r>
    <r>
      <rPr>
        <sz val="12"/>
        <rFont val="Calibri"/>
        <family val="2"/>
        <scheme val="minor"/>
      </rPr>
      <t xml:space="preserve">
Los Contrato de Orden N° 4, 5 y 7, no son validos para acreditar experiencia con la totalidad de los requisitos en el Anexo de Generalidades al Pliego de Condiciones, sin embargo el proponente acredita la expeiencia por los contratos de Orden N° 1, 2, 3 ,6 y 8 , que se encuentran habilitados para acreditar experiencia. 
Se determina que el proponente recibe la calificación técnica de HÁBIL, debido a que este cumple para acreditar experiencia en los contratos de orden N° 1, 2, 3 ,6 y 8: el incumplimiento de los Contratos de Orden N° 4, 5 y 7 no le permite acreditar la totalidad de la experiencia habilitante para ponderar en estos contratos , conforme a lo establecido en el numeral 3.4.1. EXIGENCIA MÍNIMA DE LA EXPERIENCIA DEL PROPONENTE. </t>
    </r>
  </si>
  <si>
    <t xml:space="preserve">Para dar validez de los contratos de orden N° 4, 5 y 7: para la validez de los Contratos Conforme a la OBSERVACIÓN presenada por la Entidad, el proponente deberá acreditar a traves de los documentos validos establecidos  en el numeral 3.4.1.1. CONSIDERACIONES ADICIONALES APLICABLES A LOS REQUISITOS HABILITANTES TÉCNICOS:  en el numeral 1.10 GLOSARIO ESPECÍFICO: “ (…)  “Infraestructura de Transporte Vial”: Son: a) Las obras de infraestructura de carreteras pavimentadas con un ancho de carril mayor o igual a 3.50 metros, que incluyan obras de Drenaje; ó b) Las obras de infraestructura de carreteras primarias pavimentadas que cumplen la función básica de integración de ciudades o localidades entre sí, y/o conexión con zonas portuarias o fronterizas; y/o las obras de infraestructura de carreteras secundarias pavimentadas que unen cabeceras municipales entre sí y/o que provienen de una cabecera municipal y conectan con una carretera primaria; ó c.) Las obras de infraestructura de vías urbanas, que en su construcción tengan pavimentos rígidos y/o flexibles. Para el caso de vías urbanas serán aquellas que se consideren de la malla vial arterial."
PARA ESTE CASO EN PARTICULAR, LOS CERTIFICADOS PRESENTADOS NO DESCRIBEN EL ANCHO DEL CARRIL, NI ACLARA LA CATEGORIZACIÓN VIAL (TIPO DE VÍA) </t>
  </si>
  <si>
    <t>ANI</t>
  </si>
  <si>
    <t>478-2015</t>
  </si>
  <si>
    <t xml:space="preserve">Interventoría Integral que incluye, pero no se limita a la interventoría Técnica, Económica, Financiera, Contable, Jurídica, Administrativa, Operativa, Medio Ambiental y Socio Predial del Contrato de Concesión bajo un Esquema de Asociación Público-Privada de Iniciativa Pública que se derive del Proceso Licitatorio VJ-VE-IP-LP-022-2013 correspondiente al corredor denominado "Concesión Autopista al mar 1" del Proyecto Autopistas para la Prosperidad </t>
  </si>
  <si>
    <t>92 DE 2008</t>
  </si>
  <si>
    <t>INTERVENTORIA TECNICA, ADMINISTRATIVA, FINANCIERA, LEGAL, SOCIAL Y AMBIENTAL DE LAS OBRAS Y ACTIVIDADES PARA LA MALLA VIAL ARTERIAL, INTERMEDIA Y LOCAL DE LOS DISTRITOS DE CONSERVACION EN LA CIUDAD DE BOGOTA D.C. CORRESPONDIENTE AL GRUPO 2 - CENTRO</t>
  </si>
  <si>
    <t>1937 DE 2004</t>
  </si>
  <si>
    <t>INTERVENTORIA DEL MEJORAMIENTO Y MANTENIMIENTO INTEGRAL DE LA RUTA LA MATA-BOSCONIA DEL CORREDOR VIAL DEL MAGDALENA RUTA 45 TRAMO 4515 Y 4516.</t>
  </si>
  <si>
    <t>2319 DE 2004</t>
  </si>
  <si>
    <t>INTERVENTORIA MEJORAMIENTO Y MANTENIMIENTO CARRETERA OCAÑA - SARDINATA - CUCUTA. SECTOR ALTO DEL POZO - SARDINATA PR69+000 AL PR 128+000, RUTA 70, TRAMO 7008.</t>
  </si>
  <si>
    <t>AGENCIA NACIONAL DE INFRAESTRUCTURA</t>
  </si>
  <si>
    <t>SEA-16 DE 2012</t>
  </si>
  <si>
    <t>INTERVENTORÍA INTEGRAL DEL CONTRATO DE CONCESIÓN,QUE INCLUYE PERO NO SE LIMITA A LA INTERVENTORÍA TÉCNICA, FINANCIERA, CONTABLE, JURÍDICA, MEDIOAMBIENTAL, SOCIO-PREDIAL, ADMINISTRATIVA, DE SEGUROS, OPERATIVA Y DE MANTENIMIENTO DEL CONTRATO DE CONCESIÓN, EL CUAL HACE PARTE DEL PROYECTO VIAL RUTA DEL SOL Y QUE CORRESPONDE AL SECTOR 2 COMPRENDIDO ENTRE PUERTO SALGAR – SAN ROQUE.</t>
  </si>
  <si>
    <t>071 de 2016</t>
  </si>
  <si>
    <t>REALIZAR LA INTERVENTORIA INTEGRAL QUE INCLUYE PERO NO SE LIMITA A LA INTERVENCIÓN TÉCNICA, ECONÓMICA, FINANCIERA, CONTABLE, JURIDICA, ADMINISTRATIVA, OPERATIVA, MEDIO AMBIENTAL Y SOCIO PREDIAL DEL CONTRATO DE CONCESIÓN BAJO EL ESQUEMA DE ASOCIACIÓN PÚBLICO PRIVADA DE INICIATIVA PRIVADA QUE SE DERIVE DEL PROCESO LICITATORIO VE-VE-APP-IPV-008-2015 CORRESPONDIENTE AL CORREDOR DENOMINADO "VIAS DEL NUS" CUYO OBJETO ES REALIZAR ESTUDIOS Y DISEÑOS, FINANCIACIÓN, GESTIÓN AMBIENTAL, PREDIAL Y SOCIAL, CONSTRUCCIÓN, REHABILITACIÓN, MEJORAMIENTO, OPERACIÓN, MANTENIMIENTO REVERSIÓN DE LA CONCESIÓN VIAS DEL NUS. INCLUIDA LA INTERVENTORIA A LOS ESTUDIOS Y DISEÑOS CORRESPONDIENTES.</t>
  </si>
  <si>
    <t>INSTITUTO DE INFRAESTRUCTURA Y CONCESIONES DE CUNDINAMARCA - ICCU</t>
  </si>
  <si>
    <t>SOP-V-049-2006</t>
  </si>
  <si>
    <t>INTERVENTORÍA TECNICA, SOCIOAMBIENTAL, ADMINISTRATIVA Y FINANCIERA DE LOS PROYECTOS: 1.- REHABILITACIÓN DE LA VÍA TENJO - LA PUNTA - SIBERIA - TENJO - TABIO - CAJICA, MUNICIPIO TENJO. 2.- MEJORAMIENTO DE LA VÍA SUBACHOQUE. 3 - ESTUDIOS, DISEÑOS Y PAVIMENTACIÓN VÍA CASCO URBANO DE MADRID - LOS ARBOLES PUENTE PIEDRA EN EL MUNICIPIO MADRID. 4- MEJORAMIENTO DE LA VÍA ZIPAQUIRÁ - NEMOCÓN - SUESCA, MUNICIPIO ZIPAQUIRÁ. 5- REHABILITACIÓN DE LA VÍA CAPELLANÍA - GUACHETÁ. 6- MEJORAMIENTO Y PAVIMENTACIÓN DE LA VÍA AUTOPISTA A MEDELLÍN PARQUE LA FLORIDA COSTADO OCCIDENTAL AEROPUERTO EL DORADO, MUNICIPIO DE COTA CUNDINAMARCA. 7- MEJORAMIENTO Y REHABILITACIÓN DE LA VÍA LOS ALPES -QUIPILE - CAJITAS, MUNICIPIO QUIPILE, 8- REHABILITACIÓN VÍA CARTAGENITA - ZIPACON - CACHIPA - LA GRAN VÍA- TENA - LOS ALPES - PETALUMA - ANOLAIMA -CORRALEJAS Y SAN CARLOS -  LA FLORIDA. 9-  REHABILITACIÓN Y MANTENIMIENTO VÍA PUERTA AMARILLA (RICAURTE) LOS MANUELES - AGUA DE DÍOS - TOCAIMA Y CONSTRUCCIÓN PUENTE SOBRE RIO BOGOTÁ. 10- MEJORAMIENTO VÍA ZIPAQUIRÁ -PACHO - LA PALMA, MUNICIPIO PACHO, DEPARTAMENTO CUNDINAMARCA.</t>
  </si>
  <si>
    <t xml:space="preserve">AGENCIA NACIONAL DE INFRAESTRUCTURA
</t>
  </si>
  <si>
    <t>087 de 2012</t>
  </si>
  <si>
    <t>INTERVENTORÍA INTEGRAL DEL CONTRATO DE CONCESIÓN, QUE INCLUYE, PERO NO SE LIMITA A LA INTERVENTORÍA TÉCNICA, FINANCIERA, OPERATIVA, CONTABLE, JURÍDICA, MEDIOAMBIENTAL, SOCIOPREDIAL, ADMINISTRATIVA, DEL CONTRATO DE CONCESIÓN NO. 937 DE 1995 Y DEMÁS DOCUMENTOS QUE LOS MODIFIQUEN, ADICIONEN O COMPLEMENTEN. PARA LA CONCESIÓN BOGOTÁ (FONTIBÓN) – FACATATIVÁ – LOS ALPES. CONCESIONARIA CCFC S.A.</t>
  </si>
  <si>
    <t>UNIDAD ADMINISTRATIVA ESPECIAL DE AERONAUTICA CIVIL</t>
  </si>
  <si>
    <t>12000253 - OK - 2012</t>
  </si>
  <si>
    <t>REALIZAR LA INTERVENTORÍA TÉCNICA Y ADMINISTRATIVA PARA LAS OBRAS DE CONSTRUCCIÓN DE LA TORRE DE CONTROL DEL AEROPUERTO INTERNACIONAL EL DORADO Y DEL CENTRO DE GESTIÓN AERONÁUTICO DE COLOMBIA C.G.A.C.</t>
  </si>
  <si>
    <t>790-2012</t>
  </si>
  <si>
    <t>INTERVENTORÍA INTEGRAL QUE INCLUYE PERO NO SE LIMITA A LA INTERVENTORÍA TÉCNICA, FINANCIERA, ADMINISTRATIVA, JURÍDICA, GESTIÓN SOCIAL, PREDIAL Y AMBIENTAL PARA LA CONSTRUCCIÓN DE LA SEGUNDA CALZADA DEL PR45+700 AL 49+000 SECTOR PLAYA LARGA-CISNEROS Y ADECUACIÓN Y  RECTIFICACIÓN DE LA CALZADA EXISTENTE DEL PR 29+000 AL PR 49+000 ALTOS DE ZARAGOZA - CISNEROS (INCLUYENDO PUENTES Y VIADUCTOS) EN EL PROGRAMA DE CORREDORES PRIORITARIOS PARA LA PROSPERIDAD</t>
  </si>
  <si>
    <t>INSTITUTO NACIONAL DE CONCESIONES - INCO</t>
  </si>
  <si>
    <t>015-2009</t>
  </si>
  <si>
    <t xml:space="preserve">INTERVENTORÍA TÉCNICA, JURÍDICA, ADMINISTRATIVA, OPERATIVA Y FINANCIERA AL CONTRATO DE CONCESIÓN NO 0377 DE 2002 CONCESIÓN “BRICEÑO - TUNJA  - SOGAMOSO” </t>
  </si>
  <si>
    <t>034-2005</t>
  </si>
  <si>
    <t>INTERVENTORÍA TÉCNICA, FINANCIERA, AMBIENTAL Y OPERATIVA EN LA ETAPA DE CONSTRUCCIÓN DEL CONTRATO DE CONCESIÓN NO 0113 DE 1997 DESARROLLO VIAL ARMENIA-PEREIRA-MANIZALES</t>
  </si>
  <si>
    <t>PUERTO BRISA SA</t>
  </si>
  <si>
    <t>INTERVENTORÍA INTEGRAL DEL PROYECTO DE CONSTRUCCIÓN DE PUERTO BRISA EN EL MUNICIPIO DE DIBULLA, DEPARTAMENTO DE LA GUAJIRA.</t>
  </si>
  <si>
    <t>ENTIDAD BINACIONAL YACYRETA</t>
  </si>
  <si>
    <t>"SERVICIOS DE CONSULTORÍA DE DIRECCIÓN TÉCNICA DE OBRA, REVISIÓN DE PROYECTOS, DESARROLLO DE PROYECTOS EJECUTIVOS, FISCALIZACIÓN Y ADMINISTRACIÓN DE CONTRATOS DE LAS OBRAS DE NEXO INTERNACIONAL: BY PASS ARCO GARITA; NODO VIAL GARITA; MULTITROCHA RUTA 12 GARITA-GARUPA; ACCESO SUR Y TRATAMIENTO COSTERO EN LA FRANJA DE TRANSPORTE NORTE SUR EN LA PROVINCIA DE MISIONES-REPÚBLICA ARGENTINA" LICITACIÓN PÚBLICA N° 361</t>
  </si>
  <si>
    <t>IDU-095-2008</t>
  </si>
  <si>
    <t>INTERVENTORÍA TÉCNICA, ADMINISTRATIVA, FINANCIERA, LEGAL, SOCIAL Y AMBIENTAL DE LAS OBRAS Y ACTIVIDADES PARA LA MALLA VIAL ARTERIAL, INTERMEDIA Y LOCAL DE LOS DISTRITOS DE CONSERVACIÓN EN LA CIUDAD DE BOGOTÁ D.C., CORRESPONDIENTE AL GRUPO NO 5 ( NO DE CONTRATO 95 DE 2008)</t>
  </si>
  <si>
    <t>INSTITUTO DE INFRAESTRUCTURA Y CONCESIONES DE CUNDINAMARCA</t>
  </si>
  <si>
    <t>ICCU-052-2013</t>
  </si>
  <si>
    <t xml:space="preserve">INTERVENTORÍA TÉNCICA, SOCI.AMBIENTAL, ADMINISTRATIVA, JURÍDICA Y FINANCIERA PARA UN PERDIODO DE LA ETAPA DE OPERACIÓN AL CONTRATO DE CONCESIÓN No. 001 DE 1996 EN EL CORREDOR VIAL CHÍA, MOSQUERA - LA MESA - GIRARDOT, RAMAL A SOACHA Y PARA LAS ACTIVIDADES DE LA ETAPA PREOPERATIVA DEL PERIODO DE OPERACIÓN RESPECTIVO EN LOS TRAMOS DE LA S VÍAS REGIONALES Y ALCANCES PROGRESIVOS CONTENIDOS EN EL ADICIONAL No. 15 </t>
  </si>
  <si>
    <t>SECRETARÍA DE COMUNICACIONES Y TRANSPORTE DE MÉXICO</t>
  </si>
  <si>
    <t>MÉXICO</t>
  </si>
  <si>
    <t>S/N FIDEICOMISO No. F/1261</t>
  </si>
  <si>
    <t>CONTRATO DE PRESTACIÓN DE SERVICIOS DE INGENIERO INDEPENDIENTE DE LA CONCESIÓN PARA CONSTRUÍR, OPERAR, EXPLOTAR, CONSERVAR Y MANTENER POR 30 AÑOS CONTADOS A PARTIR DE LA FECHA DE INICIO DE VIGENCIA DE LA CONCESIÓN LA AUTOPISTA SALAMANCA LEÓN Y EL RAMAL DE CONEXIÓN AL PUERTO INTERIOR</t>
  </si>
  <si>
    <t>GENERELALITAT VALENCIANA</t>
  </si>
  <si>
    <t>APOYO A LA DIRECCIÓN DE OBRA: RONDA NORTE DE VALENCIA. TRAMO BENIMÁMET-CIUDAD FALLERA</t>
  </si>
  <si>
    <t>283 DE 2010</t>
  </si>
  <si>
    <t>INTERVENTORÍA INTEGRAL DEL CONTRATO DE CONCESIÓN , QUE INCLUYE PERO NO SE LIMITA A LA INTERVENTORÍA TÉCNICA, FINANCIERA, CONTABLE, JURÍDICA, MEDIO-AMBIENTAL, SOCIO-PREDIAL, ADMINISTRATIVA, DE SEGUROS, OPERATIVA Y DE MANTENIMIENTO DEL CONTRATO DE CONCESIÓN , EL CUAL HACE PARTE DEL PROYECTO VIAL RUTA DEL SOL Y QUE CORRESPONDE AL SECTOR 1 COMPRENDIDO ENTRE TOBIAGRANDE/VILLETA – EL KORÁN</t>
  </si>
  <si>
    <t>172-2007</t>
  </si>
  <si>
    <t>INTERVENTORÍA TÉCNICA, ADMINISTRATIVA, LEGAL, FINANCIERA, AMBIENTAL Y SOCIAL PARA LA EJECUCIÓN DE LAS OBRAS DE CONSTRUCCIÓN Y TODAS LAS ACTIVIDADES NECESARIAS PARA LA ADECUACIÓN DE LA CALLE 26 (AVENIDA JORGE ELIÉCER GAITÁN) Y DE LA CARRERA 10ª (AVENIDA FERNANDO MAZUERA)</t>
  </si>
  <si>
    <t>0644-2015</t>
  </si>
  <si>
    <t>INTERVENTORIA PARA LA CONSTRUCCION DE LAS OBRAS DE INFRAESTRUCTURA VIAL PARA LA SOLUCION INTEGRAL DEL PASO SOBRE EL RIO MAGDALENA EN BARRANQUILLA, EN LA CARRETERA BARRANQUILLA – SANTAMARTA, RUTA 9007. DEPARTAMENTOS ATLANTICO Y MAGDALENA.</t>
  </si>
  <si>
    <t>1558 DE 2018</t>
  </si>
  <si>
    <t>INTERVENTORÍA PARA LA CONSTRUCCIÓN DE LA AVENIDA TINTAL, AVENIDA ALSACIA, AVENIDA CONSTITUCIÓN, AVENIDA BOSA Y OBRAS COMPLEMENTARIAS, EN BOGOTÁ D.C. - GRUPO 5 OBRA</t>
  </si>
  <si>
    <t>3606-08</t>
  </si>
  <si>
    <t>INTERVENTORÍA PARA EL MEJORAMIENTO Y MANTENIMIENTO MEDIA CANOA - ANSERMANUEVO - LA VIRGINIA CÓDIGO 2302 Y MIRANDA - RÍO DESBARATADO - PRADERA - PALMIRA CÓDIGO 3105</t>
  </si>
  <si>
    <t>TRANSCARIBE S.A.</t>
  </si>
  <si>
    <t>CPI-TC-001-2011</t>
  </si>
  <si>
    <t>ASESORÍA E INTERVENTORÍA TÉCNICA, ADMINISTRATIVA, LEGAL, FINANCIERA Y AMBIENTAL DEL CONTRATO DE CONCESIÓN DE OBRA PARA EL DISEÑO Y LA CONSTRUCCIÓN DEL PORTAL DEL GALLO Y EL PATIO-TALLER DEL SITM TRANSCARIBE Y DE LA CONSTRUCCIÓN DEL TRAMO DE CORREDOR COMPRENDIDO ENTRE LA TERMINACIÓN DEL TRAMO IV Y LA ENTRADA DEL PORTAL, PATIO TALLER DEL SITM TRANSCARIBE DE CARTAGENA DE INDIAS D.T.Y.C.</t>
  </si>
  <si>
    <t>1125 DE 2018</t>
  </si>
  <si>
    <t>INTERVENTORÍA TÉCNICA, ADMINISTRATIVA, FINANCIERA Y AMBIENTAL PARA EL MEJORAMIENTO, MANTENIMIENTO Y CONSERVACION DE VIAS PARA CONECTIVIDAD REGIONAL FINANCIADOS CON RECURSOS DE LA ENAJENACIÓN DE ISAGEN, MUNICIPIOS DE EL PEÑOL, SAN RAFAEL Y ALEJANDRIA EN EL DEPARTAMENTO DE ANTIOQUIA</t>
  </si>
  <si>
    <t>Dirección General de Carreteras
Ministerio de Fomento</t>
  </si>
  <si>
    <t>12-BA-3330 REF. 41/03</t>
  </si>
  <si>
    <t>CONTROL Y VIGILANCIA DE LAS OBRAS: AUTOVÍA A-66 DE LA PLATA. CN-630 DE GRIJÓN A SEVILLA. TRAMO: FUENTE DE CANTOS (N) - FUENTE DE CANTOS (S)</t>
  </si>
  <si>
    <t>22-CC-2520 REF 16/98</t>
  </si>
  <si>
    <t>CONTROL Y VIGILANCIA DE LAS OBRAS: PROYECTO DE CONSTRUCCION: VARIANTE DE LA CN-630 DE GIJÓN AL PUERTO DE SEVILLA. PK. 426,3 AL 443,4. TRAMO: PUERTO DE BÉJAR - ALDEANUEVA DEL CAMINO. PROVINCIAS DE CÁCERES Y SALAMANCA.</t>
  </si>
  <si>
    <t>Agencia Nacional de infraestructura</t>
  </si>
  <si>
    <t>SEA 069 DEL 20/04/2012</t>
  </si>
  <si>
    <t>INTERVENTORIA INTEGRAL DEL CONTRATO DE CONCESIÓN, QUE INCLUYE PERO NO SE LIMITA A LA INTERVENTORIA TÉCNICA, FINANCIERA, CONTABLE, JURÍDICA, MEDIOAMABIENTAL, SOCIO-PREDIAL, ADMINISTRATIVA, DE SEGUROS, OPERATIVA Y DE MANTENIMIENTO DEL CONTRATO DE CONCESIÓN No. 008 DE 2007, Y DEMÁS DOCUMENTOS QUE LO MODIFFIQUENN, ADICIONEN O COMPLEMENTEN PARA LA CONCESIÓN VIAL RUTA CARIBE</t>
  </si>
  <si>
    <t>Instituto Nacional de Vías - Invias</t>
  </si>
  <si>
    <t>132 DE1987</t>
  </si>
  <si>
    <t>INTERVENTORÍA DE LAS OBRAS DE CONSTRUCCIÓN Y PAVIMENTACIÓN DE LOS SECTORES RÍO HUMEA - AGUAZUL DE LA CARRETERA CUMARAL - RÍO HUMEA - AGUAZUL.</t>
  </si>
  <si>
    <t>Sociedad Puerto Industrial Aguadulce  - S.A.</t>
  </si>
  <si>
    <t>SPIA-CI-02-2014-001</t>
  </si>
  <si>
    <t>ASESORÍA E INTERVENTORÍA TÉCNICA, ADMINISTRATIVA Y DE SEGURIDAD (SISO) DURANTE LA CONSTRUCCIÓN DE LAS OBRAS CIVILES DEL PUERTO INDUSTRIAL AGUADULCE, FASE 1.</t>
  </si>
  <si>
    <t>ALCALDIA LOCAL DE ENGATIVA</t>
  </si>
  <si>
    <t>296-2018</t>
  </si>
  <si>
    <t>REALIZAR LA INTERVENTORIA TÉCNICA, ADMINISTRRATIVA, LEGAL, FINANCIERA, SOCIAL, AMBIENTAL Y DE SEGURIDAD Y SALUD EN EL TRABAJO AL CONTRATO CUYO OBJETO ES: CONTRATAR BAJO LA MODALIDAD DE PRECIOS UNITARIOS FIJOS, Y A MONTO AGOTABLE, LAS OBRAS Y ACTIVIDADES PARA LA CONSERVACION DE LA MALLA VIAL DE LA LOCALIDAD DE ENGATIVÁ Y SU ESPACIO PÚBLICO ASOCIADO</t>
  </si>
  <si>
    <t>1767-2021</t>
  </si>
  <si>
    <t>INTERVENTORIA A LA EJECUCION A PRECIOS UNITARIOS DE LAS OBRAS Y ACTIVIDADES NECESARIAS PARA LA CONSERVACION DE LA MALLA VIAL AFRTERIAL TRONCAL, EN LA CIUDAD DE BOGOTÁ D.C. GRUPO 2</t>
  </si>
  <si>
    <t xml:space="preserve">COLOMBIA </t>
  </si>
  <si>
    <t>EJECUTAR PARA LA OBRA CIVIL LA INTERVENTORIA A LAS OBRAS DE MODERNIZACION Y EXPANSION DE LA CONCENSION DE LA ADMINISTRACION, OPERACIÓN, EXPLOTACION COMERCIAL, MANTENIMIENTO,MODERNIZACION, EXPANSION, DEL AEROPUERTO INTERNACIONAL DEL DORADO DE LA CIUDAD DE BOGOTA D.C.</t>
  </si>
  <si>
    <t>Agencia Nacional de infraestructura ANI</t>
  </si>
  <si>
    <t>Contrato 169 DE 2014</t>
  </si>
  <si>
    <t>Interventoría técnica, económica, financiera, jurídica, administrativa, operativa, medio ambiental  y socio predial  de los contratos de concesión bajo un esquema  de asociación público privada que se derive de los procesos licitatorios no. Vj-ve-ip-lp-010-2013 correspondiente al corredor concesionado “perimetral oriente”.</t>
  </si>
  <si>
    <t>DIRRECIÓN DE VIALIDAD MINISTERIO DE OBRAS PUBLICAS GOBIERNO DE CHILE</t>
  </si>
  <si>
    <t>Chile</t>
  </si>
  <si>
    <t>No tiene</t>
  </si>
  <si>
    <t>Consultoría (Urbana e Interurbana) de la Asesoría a la Inspección Fiscal (Interventoría)  de la construcción de la obra " Concesión Ruta 5 Tramo Santiago - Talca y Acceso Sur a Santiago.</t>
  </si>
  <si>
    <t>ASESORIA A LA INSPECCIÓN FISCAL DEL PROYECTO MEJORAMIENTO AVDA. SALVADOR ALLENTE, TRAMO 2, SECTOR CALLE SARMIENTO - AVDA. A. RENDIC, TRAMO SARMIENTO - AV. COSTERA, PROVINCIA DE ANTOFAGASTA, II REGIÓN.</t>
  </si>
  <si>
    <t xml:space="preserve">MINISTERIO DE FOMENTO </t>
  </si>
  <si>
    <t>Contrato de consultoría y asistencia: control y vigilancia de las obras. Autovía A-7 Tramo: Bandallos - L´Hospitalet de I'Infant. Provincia de Tarragona. Demarcación de carreteras del estado en Cataluña.</t>
  </si>
  <si>
    <t>ADMINISTRADOR DE INFRAESTRUCTURAS FERROVIARIAS - ADIF</t>
  </si>
  <si>
    <t>Consultoría y asistencia para el control y vigilancia de las obras del nuevo acceso ferroviario al Norte y Noroeste de España. Tramo: Soto del real- Segovia. Infraestructura y vía. Lote N° 5</t>
  </si>
  <si>
    <t>Ministerio de Obras Públicas de Chile</t>
  </si>
  <si>
    <t>CHILE</t>
  </si>
  <si>
    <t>Asesoría a la Inspección Fiscal Construcción Eje Caupolicán, IX Región, Tramo Km 667,36300 a Km 674,61380.</t>
  </si>
  <si>
    <t>Agencia Nacional de Infraestructura ANI</t>
  </si>
  <si>
    <t>No. SEA-016 de 2012</t>
  </si>
  <si>
    <t xml:space="preserve">Interventoría Integral del Contrato , que incluye pero no se limita a la Interventoría técnica, financiera, contable, juridica, medioambiental, socio-predial, administrativa, de seguros, operativa y de mantenimiento del Contrato de Concesión, el cual hace parte del proyecto Vial Ruta del Sol y que corresponde al Sector 2 comprendido entre Puerto Salgar - San Roque </t>
  </si>
  <si>
    <t>Asesoria a la Inspección Fiscal del proyecto Construcción del By Pass Penco, VIII Región.</t>
  </si>
  <si>
    <t>si</t>
  </si>
  <si>
    <t>INSTITUTO NACIONAL DE VIAS</t>
  </si>
  <si>
    <t>No. 853-2017</t>
  </si>
  <si>
    <t>Interventoría Terminación del Túnel de la Línea y Segunda Calzada Calarcá -Cajamarca - Proyecto Cruce de Coordillera Central</t>
  </si>
  <si>
    <t>124-96</t>
  </si>
  <si>
    <t>Consultoría, Asesoría e Interventoría Técnica y Administrativa para la Construcción y Pavimentación de la Carretera Popayán — Totoró — Inzá. Sector Popayán — Totoró.</t>
  </si>
  <si>
    <t>INSTITUTO DE DESARROLLO URBANO</t>
  </si>
  <si>
    <t>073-2009</t>
  </si>
  <si>
    <t>“INTERVENTORÍA TÉCNICA, ADMINISTRATIVA, FINANCIERA, LEGAL, SOCIAL Y AMBIENTAL, PARA LA CONSTRUCCIÓN DE LAS OBRAS DE LA INTERSECCIÓN A DESNIVEL DE LA AVENIDA LAUREANO GOMEZ (AK 9) CON CALLE 94 Y SU CONEXION CON LA AVENIDA SANTA BARBARA (AK 19), CORRESPONDIENTE AL CODIGO DE OBRA 104 DEL ACUERDO 180 DE 2005 DE VALORIZACION, EN BOGOTA D.C”.</t>
  </si>
  <si>
    <t>601-12</t>
  </si>
  <si>
    <t>INTERVENTORIA INTEGRAL QUE INCLUYE PERO NO SE LIMITA A LA INTERVENTORIA TECNICA, FINANCIERA,ADMINISTRATIVA,JURIDICA,GESTION SOCIAL,PREDIAL Y AMBIENTAL PARA EL MEJORAMIENTO DEL PROYECTO CORREDOR TRANSVERSAL MEDELLIN-QUIBDO FASE 2 PARA EL PROGRAMA CORREDORES PRIORITARIOS PARA LA PROSPERIDAD - MODULO 1.</t>
  </si>
  <si>
    <t>CONSORCIO EVOLUCION.</t>
  </si>
  <si>
    <t>INGENIERÍA DE PROYECTOS S.A.S.</t>
  </si>
  <si>
    <t>INGENIEROS CIVILES ESPECIALISTAS S.A.S.</t>
  </si>
  <si>
    <t>CONSORCIO INTERVENTOR ESTANQUILLO H-H.</t>
  </si>
  <si>
    <t>HMV SERVICIOS S.A.S</t>
  </si>
  <si>
    <t>HMV SOLUCIONES S.A.S</t>
  </si>
  <si>
    <t>HMV CONSULTORIA S.A.S</t>
  </si>
  <si>
    <t>3O%</t>
  </si>
  <si>
    <t>CONSORCIO SURCOLOMBIA 002-26</t>
  </si>
  <si>
    <t>JOSÉ MANUEL GUARDO POLO</t>
  </si>
  <si>
    <t>JAHV MCGREGOR S.A.S.</t>
  </si>
  <si>
    <t>GRUPO POSSO S.A.S.</t>
  </si>
  <si>
    <t>CONSORCIO CAUCA MIP</t>
  </si>
  <si>
    <t>INTERPRO S.A.S.</t>
  </si>
  <si>
    <t>META ENGINEERING S.A.</t>
  </si>
  <si>
    <t>PROCONSULTING S.A.S.</t>
  </si>
  <si>
    <t>CONSORCIO PIVICSA POPAYAN</t>
  </si>
  <si>
    <t>PROYECTOS CONSTRUCCIONES CIVILES Y VIALES S.A.S. – PIV INGENIERÍA S.A.S.</t>
  </si>
  <si>
    <t>IV INGENIEROS CONSULTORES SUCURSAL COLOMBIA S.A.</t>
  </si>
  <si>
    <t>CONSORCIO INTERVENTOR VIAL</t>
  </si>
  <si>
    <t>Estudios TÈcnicos S.A.S.</t>
  </si>
  <si>
    <t>SIGA IngenierÌa y ConsultorÌa S.A. Sucursal Colombia</t>
  </si>
  <si>
    <t>Grupo Intecon S.A.S.</t>
  </si>
  <si>
    <t>CONSORCIO ID ESTANQUILLO POPAYAN</t>
  </si>
  <si>
    <t>INTERDISEÑOS ASOCIADOS S.A.S.</t>
  </si>
  <si>
    <t>INTERVENTORIAS Y DISEÑOS S.A. – INTERDISEÑOS</t>
  </si>
  <si>
    <t>CONSORCIO TG ESTANQUILLO POPAYAN</t>
  </si>
  <si>
    <t>TRIADA MEXICO COLOMBIA</t>
  </si>
  <si>
    <t>GRUPO METRO COLOMBIA SAS</t>
  </si>
  <si>
    <t>CONSORCIO CONCESIÓN ESTANQUILLO- POPAYAN</t>
  </si>
  <si>
    <t>AFA CONSULTORES Y CONSTRUCTORES S. A</t>
  </si>
  <si>
    <t>INTECON CONSULTORES S.A.S</t>
  </si>
  <si>
    <t>El formato 11 no corresponde al solicitado por la entidad, en dicho formato la puntuación de la formación académica adicional para el Director de Interventoría debe ser de 5.0 si Presenta 2 postgrados o más de acuerdo a los especificados en el literal B romanito 3 y no 2.5 como se encuentra en el formato allegado, por tanto, no se otorga el punto para este criterio</t>
  </si>
  <si>
    <t>419 DE 2015</t>
  </si>
  <si>
    <t>INTERVENTORÍA INTEGRAL QUE INCLUYE, PERO NO SE LIMITA A LA INTERVENTORÍA TÉCNICA, ECONÓMICA, FINANCIERA, CONTABLE, JURÍDICA, ADMINISTRATIVA, OPERATIVA, MEDIO AMBIENTAL Y SOCIO PREDIAL DEL CONTRATO DE CONCESIÓN BAJO EL ESQUEMA DE ASOCIACIÓN PÚBLICO PRIVADA DE INICIATIVA PRIVADA QUE SE DERIVE DEL PROCESO LICITATORIO VJ-VE-APP-IPV-004-2015 CORRESPONDIENTE AL PROYECTO DENOMINADO “CAMBAO – MANIZALES, CUYO OBJETO ES “REALIZAR LA OPERACIÓN MANTENIMIENTO Y REHABILITACIÓN DEL CORREDOR IBAGUÉ – ARMERO – MARIQUITA – HONDA Y LA FINANCIACIÓN, OPERACIÓN, MANTENIMIENTO, MEJORAMIENTO Y REHABILITACIÓN DEL CORREDOR EXISTENTE ENTRE CAMBAO – ARMERO – LÍBANO – MURILLO – LA ESPERANZA</t>
  </si>
  <si>
    <t>VGC-495 DE 2018</t>
  </si>
  <si>
    <t>INTERVENTORÍA INTEGRAL QUE INCLUYE, PERO NO SE LIMITA A LA INTERVENTORÍA TÉCNICA, ECONÓMICA, CONTABLE, FINANCIERA, JURÍDICA, ADMINISTRATIVA, AFORO Y RECAUDO, OPERATIVA, MEDIO AMBIENTAL, SOCIAL, PREDIAL, JURÍDICO PREDIAL Y RIESGOS DEL CONTRATO DE CONCESIÓN No. 0113 DE 1997, SUSCRITO ENTRE LA AGENCIA Y AUTOPISTAS DEL CAFÉ S.A. PROYECTO DESARROLLO VIAL ARMENIA PEREIRA MANIZALES</t>
  </si>
  <si>
    <t>INSTITUTO NACIONAL DE VÍAS - INVÍAS</t>
  </si>
  <si>
    <t>1948 de 2004</t>
  </si>
  <si>
    <t>INTERVENTORÍA DEL MEJORAMIENTO Y MANTENIMIENTO INTEGRAL DE LA RUTA BUENAVENTURA - BUGA DEL CORREDOR VIAL DEL PACÍFICO (INCLUIDO EL MANTENIMIENTO RUTINARIO, LA SEÑALIZACIÓN, EL MONITOREO Y VIGILANCIA Y LOS CONTEOS DE</t>
  </si>
  <si>
    <t>IDU-214-2005</t>
  </si>
  <si>
    <t>INTERVENTORÍA TÉCNICA, ADMINISTRATIVA , FINANCIERA Y AMBIENTAL
PARA LA CONSTRUCCIÓN DE LA AVENIDA CIUDAD DE CALI DESDE LA
TRANSVERSAL 91 HASTA EL APROCHE ORIENTAL DE LOS PUENTES
VEHICULARES SOBRE EL BRAZO DEL HUMEDAL JUAN AMARILLO EN
BOGOTÁ D.C</t>
  </si>
  <si>
    <t>IDU 189 de 2006</t>
  </si>
  <si>
    <t>INTERVENTORÍA TÉCNICA, ADMINISTRATIVA, FINANCIERA, AMBIENTAL Y
SOCIAL PARA LA REHABILITACIÓN DE TRAMOS ROJOS DE LAS VÍAS DE LA
MALLA VIAL ARTERIAL PRINCIPAL Y COMPLEMENTARIA
CORRESPONDIENTE AL GRUPO 1 EN BOGOTÁ D.C</t>
  </si>
  <si>
    <t>METROPULUS SA</t>
  </si>
  <si>
    <t>44 DE 2007</t>
  </si>
  <si>
    <t>SUPERVISIÓN PARA LA CONSTRUCCIÓN PARCIAL DE LA TRONCAL
MEDELLÍN PARA EL SISTEMA INTEGRADO DEL TRANSPORTE MASIVO,
METROPLÚS DEL VALLE DE ABURRA, INCLUYENDO LAS ESTACIONES</t>
  </si>
  <si>
    <t>0779 de 1998</t>
  </si>
  <si>
    <t>INTERVENTORÍA DE LA CONSTRUCCIÓN Y PAVIMENTACIÓN DEL SECTOR
QUEBRADA LAS DORADAS - DEPRESIÓN EL VERGEL - ORRAPIHUASI DE
LA CARRETERA ALTAMIRA FLORENCIA.</t>
  </si>
  <si>
    <t>484 de 2015</t>
  </si>
  <si>
    <t>CONTRATAR LA INTERVENTORÍA INTEGRAL QUE INCLUYE PERO NO SE LIMITA A LA INTERVENTORÍA TÉCNICA, ECONÓMICA, FINANCIERA, CONTABLE, JURÍDICA, ADMINISTRATIVA, OPERATIVA, MEDIO AMBIENTAL Y SOCIO PREDIAL DEL CONTRATO DE CONCESIÓN BAJO UN ESQUEMA DE ASOCIACIÓN PÚBLICO PRIVADA DE INICIATIVA PÚBLICA QUE SE DERIVE DEL PROCESO LICITATORIO VJ-VE-IP-LP-014-2013 CORRESPONDIENTE AL CORREDOR DENOMINADO RUMICHACA - PASTO</t>
  </si>
  <si>
    <t xml:space="preserve">ALCALDIA DISTRITAL DE BARRANQUILLA </t>
  </si>
  <si>
    <t>GPI-001-2000</t>
  </si>
  <si>
    <t>INTERVENTORÍA A LOS TRABAJOS DE DISEÑO, CONSTRUCCIÓN, REHABILITACIÓN Y MANTENIMIENTO DE LA MALLA VIAL DEL DISTRITO DE BARRANQUILLA POR EL SISTEMA DE CONCESIÓN.</t>
  </si>
  <si>
    <t>AERONAUTICA CIVIL</t>
  </si>
  <si>
    <t>7000357-OH-2007</t>
  </si>
  <si>
    <t>INTERVENTORÍA FINANCIERA CONTABLE TRIBUTARIA Y ADMINISTRATIVA PARA LA CONCESIÓN DE LA ADMINISTRACIÓN, OPERACIÓN, EXPLOTACIÓN COMERCIAL, MANTENIMIENTO MODERNIZACIÓN Y EXPANSIÓN DEL AEROPUERTO INTERNACIONAL EL DORADO DE LA CIUDAD DE BOGOTÁ D.C</t>
  </si>
  <si>
    <t>GOBERNACION DE SUCRE</t>
  </si>
  <si>
    <t>CM 001-2014</t>
  </si>
  <si>
    <t>INTERVENTORIA TECNICA, ADMINISTRATIVA, FINANCIERA Y AMBIENTAL PARA LAS OBRAS DE MEJORAMIENTO EN PAVIMENTO ASFALTICO DE LA VIA SAMPUES - SAN BENITO ABAD, MUNICIPIOS DE SAMPUES (K49+500) Y SAN BENITO ABAD (K+000) EN EL DEPARTAMENTO DE SUCRE</t>
  </si>
  <si>
    <t>CM-006-2018</t>
  </si>
  <si>
    <t>INTERVENTORÍA TÉCNICA, ADMINISTRATIVA, FINANCIERA Y AMBIENTAL PARA LAS OBRAS DE MEJORAMIENTO EN PAVIMENTO ASFÁLTICO DE LA VÍA LAS TABLITAS - SAN MARCOS, MUNICIPIOS DE EL ROBLE, CAIMITO Y SAN MARCOS EN EL DEPARTAMENTO DE SUCRE.</t>
  </si>
  <si>
    <t>375 de 2013</t>
  </si>
  <si>
    <t xml:space="preserve">Interventoría Técnica, Financiera, Contable, Jurídica, Administrativa, Operativa, Ambiental y Socio – Predial del Contrato de Concesión No 113 de 12997 Concesión Armenia – Pereira – Manizales - La Paila. </t>
  </si>
  <si>
    <t>MUNICIPIO DE BUCARAMANGA</t>
  </si>
  <si>
    <t xml:space="preserve"> 331 de 2014</t>
  </si>
  <si>
    <t xml:space="preserve">Interventoría Ampliación del Corredor Vial Primario Bucaramanga – Floridablanca Sector Puerta del Sol – Puente Provenza del Municipio de Bucaramanga. </t>
  </si>
  <si>
    <t>GOBERNACIÓN DE SANTANDER</t>
  </si>
  <si>
    <t>1945 de 2009</t>
  </si>
  <si>
    <t>Interventoría Técnica, Administrativa, Financiera, Ambiental y Social para el Mejoramiento y Pavimentación de la Vía Vado Real-Paipa, Sector Gambita-Vado Real, Municipio de Gambita, Departamento de Santander Fase II.</t>
  </si>
  <si>
    <t>Infraestructures de la Generalitat de Catalunya SAU</t>
  </si>
  <si>
    <t xml:space="preserve">España </t>
  </si>
  <si>
    <t>TM-00509.6A2 - TM-00509.6B - TM-00509.5F - TM-00509.6A1</t>
  </si>
  <si>
    <t>SUPERVISIÓN DE LAS OBRAS PROYECTO CONSTRUCTIVO DE LA L9 DEL METRO DE BARCELONA.TRAMO 1 AEROPUERTO - PARQUE LOGÍSTICO. SUBTRAMO: LLOBREGAT - PARQUE LOGÍSTICO - FIRA - TERMINAL</t>
  </si>
  <si>
    <t>TM-00509.35.1
TM-00509.35.2</t>
  </si>
  <si>
    <t>SUPERVISIÓN DE LAS OBRAS PROYECTO CONSTRUCTIVO DE LA L9 DEL METRO DE BARCELONA. TRAMO 2 PARQUE LOGÍSTICO - ZONA UNIVERSITARIA. SUBTRAMO: BIFURCACIÓN, TRAMO BIFURCACIÓN - FIRA Y SUPERVISIÓN DE LAS OBRAS PROYECTO CONSTRUCTIVO DE LA L9 DEL METRO DE BARCELONA. TRAMO 2 PARQUE LOGÍSTICO - ZONA UNIVERSITARIA. SUBTRAMO: POZO DE ATAQUE C/MOTORS - ZONA FRANCA ZAL</t>
  </si>
  <si>
    <t>METROLÍNEA S.A.</t>
  </si>
  <si>
    <t>002 de 2006</t>
  </si>
  <si>
    <t xml:space="preserve">Interventoría Técnica, Administrativa, Legal, Financiera y Ambiental para construcción de cuatro tramos de infraestructura del sistema integrado de transporte masivo para el Área Metropolitana de Bucaramanga, sobre la carrera quince entre la virgen y la Avenida Quebradaseca, sobre la autopista Bucaramanga – Floridablanca, entre el puente provenza y el puente vehicular de cañaveral y entre el puente vehicular de cañaveral y papi quiero piña, sobre la carrera veintisiete entre la UIS y la Avenida Quebrada Seca y el par vial calle 10-calle 11 del Municipio de Bucaramanga.  </t>
  </si>
  <si>
    <t>DPTO.  CASANARE</t>
  </si>
  <si>
    <t>4610007176 de 2011</t>
  </si>
  <si>
    <t>Interventoría Técnica, Ambiental, Administrativa, Financiera para el Contrato que Tiene como objeto la Construcción de Pavimento en Concreto Asfáltico desde el K4+400 o Entrada Principal a CPF de Cusiana hasta la Vía Marginal de la Selva e Intersección a Desnivel en Trompeta con Puente sobre la Vía Marginal.</t>
  </si>
  <si>
    <t>947-89</t>
  </si>
  <si>
    <t>CONSULTORÍA, ASESORÍA E INTERVENTORÍA TÉCNICA Y ADMINISTRATIVA DE LAS OBRAS DE REHABILITACIÓN DEL SECTOR RÍO ARIGUANÍ-FUNDACIÓN. CONSTRUCCIÓN Y PAVIMENTACIÓN DE LA VARIANTE DE FUNDACIÓN Y DE LA REHABILITACIÓN DEL SECTOR BOSCONIA-RÍO ARIGUANÍ DE LA CARRETERA BUCARAMANGA - SANTA MARTA.</t>
  </si>
  <si>
    <t xml:space="preserve"> 2217 DE 2012</t>
  </si>
  <si>
    <t>INTERVENTORÍA PARA EL MANTENIMIENTO Y REHABILITACIÓN DE LAS CARRETERAS SAN JUAN DE PASTO-MOJARRAS, RUTA 25 TRAMO 2502 Y CEBADAL-SANDONA-PASTO. SECTOR LA FLORIDA-PASTO RUTA 2501B. DEPARTAMENTO DE NARIÑO MÓDULO 1</t>
  </si>
  <si>
    <t xml:space="preserve">1173-95 </t>
  </si>
  <si>
    <t>INTERVENTORÍA TÉCNICA Y FINANCIERA EN SUS ETAPAS DE DISEÑO Y PROGRAMACIÓN Y CONSTRUCCIÓN DE LA CONCESION DE LA CARRETERA ESPINAL-NEIVA. DEL TRAMO 06 NEIVA - CASTILLA Y EL SECTOR CASTILLA-ESPINAL DEL TRAMO 07 DE LA RUTA 45 EN LOS DEPARTAMENTOS DE HUILA Y TOLIMA.</t>
  </si>
  <si>
    <t>481 de 2010</t>
  </si>
  <si>
    <t>DESARROLLO VIAL TRANSVERSAL DEL SUR. MÓDULO 2. INTERVENTORÍA PARA EL MEJORAMIENTO Y MANTENIMIENTO DEL CORREDOR TUMACO - PASTO - MOCOA.</t>
  </si>
  <si>
    <t>Aeropuerto de Castellón S.L.</t>
  </si>
  <si>
    <t>ASISTENCIA TÉCNICA A LA DIRECCIÓN DE LAS OBRAS DEL PROYECTO DE EDIFICACIÓN Y CAMPO DE VUELOS (INTERVENTORÍA) Y LA ASISTENCIA A LA DIRECCIÓN GENERAL (GERENCIA) DEL AEROPUERTO DE CASTELLÓN.</t>
  </si>
  <si>
    <t>INSTITUTO NACIONAL DEL VÍAS-INVIAS</t>
  </si>
  <si>
    <t>1478 DE 2009</t>
  </si>
  <si>
    <t>INTERVENTORÍA TÉCNICA , LEGAL, FINANCIERA, ADMINISTRATIVA, AMBIENTAL, PREDIAL Y SOCIAL DEL PROYECTO ESTUDIOS Y DISEÑOS, GESTIÓN SOCIAL, PREDIAL , AMBIENTAL Y CONSTRUCCIÓN DEL PROYECTO “HONDA MANIZALES"</t>
  </si>
  <si>
    <t>001 de 2016</t>
  </si>
  <si>
    <t>REALIZAR LA INTERVENTORÍA INTEGRAL QUE INCLUYE PERO NO SE LIMITA A LA INTERVENTORÍA TÉCNICA, ECONÓMICA, FINANCIERA, CONTABLE, JURÍDICA, ADMINISTRATIVA, OPERATIVA, MEDIO AMBIENTAL Y SOCIO PREDIAL DEL CONTRATO DE CONCESIÓN BAJO EL ESQUEMA DE ASOCIACIÓN PÚBLICO PRIVADA DE INICIATIVA PÚBLICA QUE SE DERIVE DEL PROCESO LICITATORIO VJ-VE-APP-IPB-002-2015 CORRESPONDIENTE AL CORREDOR DENOMINADO “AUTOPISTA AL MAR 2” CUYO OBJETO ES “REALIZAR LOS ESTUDIOS Y DISEÑOS DEFINITIVOS, LA FINANCIACIÓN, GESTIÓN AMBIENTAL,PREDIAL Y SOCIAL, CONSTRUCCIÓN, REHABILITACIÓN, MEJORAMIENTO, OPERACIÓN, MANTENIMIENTO Y REVERSIÓN DE LA CONCESIÓN AUTOPISTA AL MAR 2 DEL PROYECTO AUTOPISTAS PARA LA PROSPERIDAD”</t>
  </si>
  <si>
    <t>205 de 2017</t>
  </si>
  <si>
    <t>INTERVENTORÍA INTEGRAL QUE INCLUYE PERO NO SE LIMITA A LA INTERVENTORÍA TÉCNICA, FINANCIERA, ECONÓMICA,FINANCIERA, CONTABLE, JURÍDICA, ADMINISTRATIVA, OPERATIVA, MEDIO AMBIENTAL Y SOCIO-PRESIAL DEL CONTRATO DE CONCESIÓN BAJO UN ESQUEMA DE ASOCIACIÓN PÚBLICO PRIVADA (APP) DE INICIATIVA QUE SE DERIVE DEL PROCESO DE SELECCIÓN VJ-VE-APP-SA-008-2016 CORRESPONDIENTE AL CORREDOR DENOMINADO "ACCESOS NORTE A LA CIUDAD DE BOGOTÁ D.C."</t>
  </si>
  <si>
    <t>AGENCIA NACIONAL DE
INFRAESTRUCTURA - ANI</t>
  </si>
  <si>
    <t>SEA 068 DE 2012</t>
  </si>
  <si>
    <t>INTERVENTORÍA INTEGRAL QUE INCLUYE PERO NO SE LIMITA A LA INTERVENTORÍA TÉCNICA, ADMINISTRATIVA, FINANCIERA, JURÍDICA, OPERATIVA, PREDIAL, SOCIO PREDIAL, MEDIOAMBIENTAL DEL PROYECTO DE CONCESIÓN MALLA VIAL DEL VALLE DEL CAUCA Y CAUCA MVVCC, EN EL MARCO DEL CONTRATO DE CONCESIÓN 005 DE 1999</t>
  </si>
  <si>
    <t>1632 del 2020</t>
  </si>
  <si>
    <t>INTERVENTORÍA PARA LA GESTIÓN, OPERACIÓN Y MANTENIMIENTO INTEGRAL (INCLUYE MANTENIMIENTO RUTINARIO) EN LAS CARRETERAS: SANTUARIO - CRUCE RUTA 45 (CAÑO ALEGRE) PR3+0000 - PR135+0600 RUTA 6005, HOYO RICO - LOS LLANOS (PR 52+0474- PR87+1295) RUTA 2510, LOS LLANOS - TARAZÁ (PR 0+0000-PR124+0705) RUTA 2511, TARAZÁ- CAUCASIA (PR0+0000- PR63+0996) RUTA 2512, Y LA PINTADA – MEDELLÍN (AUTOPISTA SUR) PR 64+0000 - PR 72+0084 RUTA 2509, EN EL DEPARTAMENTO DE ANTIOQUIA.</t>
  </si>
  <si>
    <t>Interventoría para el mantenimiento y rehabilitación de la Carretera Ibagué – Mariquita Ruta 43 Tramo 4305. Departamento del Tolima.</t>
  </si>
  <si>
    <t>TRANSMETRO</t>
  </si>
  <si>
    <t>CPI-TM-300-001-08</t>
  </si>
  <si>
    <t>Interventoría Técnica, Administrativa, Financiera y Ambiental para la Construcción de las Obras del Sistema Integrado de Transporte Masivo, del Distrito de Barranquilla y su Área Metropolitana, Sistema Transmetro, de Acuerdo con los Planos de Intervención de cada uno de los Componentes.</t>
  </si>
  <si>
    <t>190/03</t>
  </si>
  <si>
    <t>Interventoría Técnica, Administrativa, Financiera, Social, Ambiental y Legal al contrato de concesión N° 146 de 2003, para la Adecuación de la Troncal Avenida Suba al Sistema Transmilenio, para el Tramo 2: comprendido entre la Calle 127A y la Av. Ciudad de Cali en Bogotá D.C.</t>
  </si>
  <si>
    <t>SEA 20 de 2012</t>
  </si>
  <si>
    <t>Interventoría integral del Contrato de Concesión No. 008 de 2010, cuyo objeto es el otorgamiento de una concesión, para que un concesionario realice por su cuenta y riesgo las obras necesarias para la construcción, rehabilitación, ampliación, mejoramiento y conservación, según corresponda, del proyecto vial Transversal de las Américas y la preparación de los estudios y diseños definitivos, la gestión predial, social y ambiental, la obtención y/o modificación de licencias ambientales, la financiación, la operación y el mantenimiento de las obras, en el corredor vial “Transversal de las Américas sector 1”, denominado Corredor Vial del Caribe”</t>
  </si>
  <si>
    <t xml:space="preserve"> SECRETARIA DE COMUNICACIONES Y TRANSPORTES DE MÉXICO - DIRECCIÓN GENERAL DE CARRETERAS</t>
  </si>
  <si>
    <t>MEXICO</t>
  </si>
  <si>
    <t xml:space="preserve">  8-I-CF-A-010-Y-0-8</t>
  </si>
  <si>
    <t xml:space="preserve">  ASESORÍAESPÉCIALIZADA(SUPERVISIÓNTÉCNICO-ADMINISTRATIVA/INTERVENTORÍA)PARALAADMINISTRACIÓNINTEGRALDELOSTRABAJOSDURANTELAETAPADECONSTRUCCIÓNEINICIODEOPERACIÓNESTABLECIDOSENELCONTRATODEPRESTACIÓNDESERVICIOS(PPS)DELPROYECTONUEVONECAXA-TIHUATLÁNENLOSESTADOSDEPUEBLAYVERACRUZ</t>
  </si>
  <si>
    <t>ANI-365-2015</t>
  </si>
  <si>
    <t>INTERVENTORÍA INTEGRAL QUE INCLUYE PERO NO SE LIMITA A LA INTERVENTORÍA TÉCNICA, ECONÓMICA, FINANCIERA, CONTABLE, JURÍDICA, ADMINISTRATIVA, OPERATIVA, MEDIO AMBIENTAL Y SOCIO PREDIAL DEL CONTRATO DE CONCESIÓN BAJO EL ESQUEMA DE ASOCIACIÓN PÚBLICO PRIVADA DE INICIATIVA PRIVADA CUYO OBJETO ES "REALIZAR LOS ESTUDIOS, DISEÑOS, FINANCIACIÓN, CONSTRUCCIÓN, OPERACIÓN, MANTENIMIENTO, GESTIÓN SOCIAL, PREDIAL Y AMBIENTAL DE UNA NUEVA CALZADA ENTRE CHIRAJARA Y LA INTERSECCIÓN FUNDADORES, Y EL MANTENIMIENTO DE TODO EL CORREDOR BOGOTÁ - VILLAVICENCIO".</t>
  </si>
  <si>
    <t>001 de 2014</t>
  </si>
  <si>
    <t>INTERVENTORÍA INTEGRAL DEL CONTRATO DE CONCESIÓN, QUE INCLUYE PERO NO SE LIMITA A LA INTERVENTORÍA FINANCIERA, ADMINISTRATIVA, TÉCNICA, LEGAL, OPERATIVA, AMBIENTAL, Y DE SEGURIDAD, DEL CONTRATO NO. 0186 DE 1996 Y SUS ANEXOS Y OTROSÍES, CUYO OBJETO ES LA ADMINISTRACIÓN Y EXPLOTACIÓN ECONÓMICA POR EL SISTEMA DE CONCESIÓN DEL AEROPUERTO RAFAEL NÚÑEZ, UBICADO EN EL DISTRITO ESPECIAL DE CARTAGENA DE INDIAS, EL CUAL PRESTA SERVICIO PRINCIPALMENTE A LA CIUDAD DE CARTAGENA. LA ADMINISTRACIÓN Y EXPLOTACIÓN ECONÓMICA INCLUYEN EL MANEJO Y MANTENIMIENTO DIRECTO DEL TERMINAL, PISTA, RAMPA, INSTALACIONES AEROPORTUARIAS, AYUDAS VISUALES DE APROXIMACIÓN, ZONAS ACCESORIAS Y LAS OBRAS DEL PLAN DE MODERNIZACIÓN Y EXPANSIÓN. (OTROSÍ Nº 4).</t>
  </si>
  <si>
    <t>450 de 2015</t>
  </si>
  <si>
    <t>INTERVENTORÍA INTEGRAL QUE INCLUYE PERO NO SE LIMITA A LA INTERVENTORÍA TÉCNICA, ECONÓMICA, FINANCIERA, CONTABLE, JURÍDICA, ADMINISTRATIVA, OPERATIVA, MEDIO AMBIENTAL Y SOCIO PREDIAL DEL CONTRATO DE CONCESIÓN BAJO UN ESQUEMA DE ASOCIACIÓN PÚBLICO PRIVADA DE INICIATIVA PUBLICA QUE SE DERIVE DEL PROCESO LICITATORIO VJ-VE-IP-LP-018-2013 CORRESPONDIENTE AL PROYECTO DENOMINADO “POPAYÁN – SANTANDER DE QUILICHAO"</t>
  </si>
  <si>
    <t>Gobernación del Departamento del Magdalena</t>
  </si>
  <si>
    <t>001 de 2007</t>
  </si>
  <si>
    <t>INTERVENTORÍA DE LOS ESTUDIOS Y DISEÑOS DEFINITIVOS Y GESTIÓN PREDIAL DE LA DOBLE CALZADA YÉ DE CIÉNAGA - SANTA MARTA Y DE LA DOBLE CALZADA DE LA VÍA ALTERNA AL PUERTO, SECTOR QUEBRADA DEL DOCTOR - MAMATOCO Y DISEÑO DE LAS OBRAS COMPLEMENTARIAS Y DEL ESPACIO PÚBLICO DEL PLAN VIAL.  INTERVENTORÍA DE LA CONSTRUCCIÓN Y FINANCIACIÓN DE LA SEGUNDA CALZADA ENTRE LA YÉ DE CIÉNAGA Y SANTA MARTA Y REHABILITACIÓN DE LA CALZADA EXISTENTE. CONSTRUCCIÓN Y FINANCIACIÓN DE UNA CALZADA DE LA VÍA ALTERNA AL PUERTO, SECTOR QUEBRADA DEL DOCTOR - MAMATOCO.   INTERVENTORÍA OPERACIÓN, MANTENIMIENTO Y CONSERVACIÓN Y PRESTACIÓN DE SERVICIOS, DE UNA CALZADA DE LA VÍA ALTERNA AL PUERTO, SECTOR QUEBRADA DEL DOCTOR - MAMATOCO Y LA DOBLE CALZADA YÉ DE CIÉNAGA - SANTA MARTA.   INTERVENTORÍA AL MANTENIMIENTO, CONSERVACIÓN Y OPERACIÓN DE LA CARRETERA BARRANQUILLA – CIÉNAGA, ACTUALMENTE ENTREGADA EN CONCESIÓN POR EL DEPARTAMENTO MEDIANTE EL CONTRATO NO. 044-93 A PARTIR DEL 1º DE ENERO DE 2013.  INTERVENTORÍA DE OBRAS COMPLEMENTARIAS O ADICIONALES DENTRO DEL CONTRATO OBJETO DE LA LICITACIÓN DM-020-96 DEL DEPARTAMENTO DEL MAGDALENA.</t>
  </si>
  <si>
    <t>Departamento del Magdalena - Gobernación</t>
  </si>
  <si>
    <t>51 de 1993</t>
  </si>
  <si>
    <t>INTERVENTORÍA AL CONTRATO DE CONCESIÓN Nº 044 DE 1993 PARA LAS REHABILITACIÓN, MEJORAMIENTO, CONSERVACIÓN, MANTENIMIENTO Y OPERACIÓN DE LA VÍA BARRANQUILLA - CIÉNAGA, ENTRE LAS ABCISAS K0+000 AL K62+000.</t>
  </si>
  <si>
    <t>El proponente  aporta 5 contratos válidos para acreditar experiencia según lo solicitado en el Anexo de generalidades al Pliego de Condiciones, con lo cual el proponente recibe la calificación en los aspectos técnicos de HÁBIL.
No aplica solicitud de subsane
Es importante mencionar que los contratos ANI fueron validados conforme al memorando de la VEJ No. 20265000069213</t>
  </si>
  <si>
    <t>El proponente  aporta 5 contratos válidos para acreditar experiencia según lo solicitado en el Anexo de generalidades al Pliego de Condiciones, con lo cual el proponente recibe la calificación en los aspectos técnicos de HÁBIL.
No aplica solicitud de subsane</t>
  </si>
  <si>
    <t>PROPONENTE 24 
Referente a los contrato de orden N° 2 y 3, Cuyo objeto es: “REALIZAR LA INTERVENTORÍA INTEGRAL QUE INCLUYE PERO NO SE LIMITA A LA INTERVENTORÍA TÉCNICA, ECONÓMICA, FINANCIERA, CONTABLE, JURÍDICA, ADMINISTRATIVA, OPERATIVA, MEDIO AMBIENTAL Y SOCIO PREDIAL DEL CONTRATO DE CONCESIÓN BAJO EL ESQUEMA DE ASOCIACIÓN PÚBLICO PRIVADA DE INICIATIVA PÚBLICA QUE SE DERIVE DEL PROCESO LICITATORIO VJ-VE-APP-IPB-002-2015 CORRESPONDIENTE AL CORREDOR DENOMINADO “AUTOPISTA AL MAR 2” CUYO OBJETO ES “REALIZAR LOS ESTUDIOS Y DISEÑOS DEFINITIVOS, LA FINANCIACIÓN, GESTIÓN AMBIENTAL,PREDIAL Y SOCIAL, CONSTRUCCIÓN, REHABILITACIÓN, MEJORAMIENTO, OPERACIÓN, MANTENIMIENTO Y REVERSIÓN DE LA CONCESIÓN AUTOPISTA AL MAR 2 DEL PROYECTO AUTOPISTAS PARA LA PROSPERIDAD” y INTERVENTORÍA INTEGRAL QUE INCLUYE PERO NO SE LIMITA A LA INTERVENTORÍA TÉCNICA, FINANCIERA, ECONÓMICA,FINANCIERA, CONTABLE, JURÍDICA, ADMINISTRATIVA, OPERATIVA, MEDIO AMBIENTAL Y SOCIO-PRESIAL DEL CONTRATO DE CONCESIÓN BAJO UN ESQUEMA DE ASOCIACIÓN PÚBLICO PRIVADA (APP) DE INICIATIVA QUE SE DERIVE DEL PROCESO DE SELECCIÓN VJ-VE-APP-SA-008-2016 CORRESPONDIENTE AL CORREDOR DENOMINADO "ACCESOS NORTE A LA CIUDAD DE BOGOTÁ D.C.".”
De conformidad con lo establecido en el Anexo de Generalidades:
“1.10. GLOSARIO
Contrato Ejecutado o Contrato Terminado: Para efectos de acreditación de experiencia, aquellos en los que su objeto y obligaciones se encuentran ejecutadas y recibidas a satisfacción por parte del contratante y se soportan en los documentos de recibo a satisfacción y/o liquidación. En caso de que el acta de liquidación y/o recibo a satisfacción contenga salvedades u obligaciones pendientes a cargo del contratista, se dará el tratamiento a las reglas establecidas para Contratos en ejecución”
“3.4.1.3. ACREDITACIÓN DE EXPERIENCIA DE CONTRATOS EN EJECUCIÓN:
(…)
(iv) Para efectos de evaluación, únicamente para los contratos en ejecución suscritos con la Agencia Nacional de Infraestructura, se realizará la conversión a SMMLV efectivamente pagado en pesos corrientes; valores tomados de la información que certifiquen internamente las Vicepresidencias a cargo de cada contrato, con la fecha de corte del último pago realizado y certificado por la ANI. Para tal fin, el oferente deberá anunciar la experiencia que pretende acreditar en el Formato No. 4 de experiencia, sin aportar la certificación y, por lo mismo, se tomará el valor certificado por la ANI.
(v) Para la acreditación de la experiencia de contratos en ejecución en el certificado de experiencia debe verificarse el valor facturado y pagado antes del cierre del Proceso de Contratación y las demás condiciones establecidas por la Entidad que permitan conocer las actividades realizadas y el respectivo valor. (…)” 
Si bien la experiencia acreditada con la Agencia Nacional de Infraestructura es válida, es preciso indicarle al oferente que se realiza un ajuste en el valor facturado del contrato y se da tratamiento al mismo como contrato en Ejecución, conforme a lo certificado por la Vicepresidencia encarga del respectivo contrato que indica:
Frente al estado del contrato: En ejecucion (X)
Valor reportado VEJ:
“Valor Pagado en Pesos Corrientes (Acumulado) antes del 09 de marzo de 2026” el valor acumulado facturado asciende a $ 62229651291 pesos corrientes, fecha de ultimo pago 27-01-2026 y $ 45935247871,16 pesos corrientes, fecha de ultimo pago 30/12/2025. Radicado ANI No.: 20265000069213
El respectivo ajuste se evidencia en la matriz de evaluación técnica.
El referido memorando, junto con la respuesta emitida, así como el informe de evaluación preliminar es objeto de publicación en la Plataforma SECOP II
Radicado ANI No.: 20265000069213 (25-03-2026)
Realizado lo anterior, el proponente  aporta 6 contratos válidos para acreditar experiencia según lo solicitado en el Anexo de generalidades al Pliego de Condiciones, con lo cual el proponente recibe la calificación en los aspectos técnicos de HÁBIL.
No aplica solicitud de subsane</t>
  </si>
  <si>
    <t>El proponente  aporta 4 contratos válidos para acreditar experiencia según lo solicitado en el Anexo de generalidades al Pliego de Condiciones, con lo cual el proponente recibe la calificación en los aspectos técnicos de HÁBIL.
No aplica solicitud de subsane
Es importante mencionar que los contratos ANI fueron validados conforme al memorando de la VEJ No. 20265000069213</t>
  </si>
  <si>
    <t xml:space="preserve">Referente al contrato de orden N°2, Cuyo objeto es: “INTERVENTORÍA INTEGRAL QUE INCLUYE PERO NO SE LIMITA A LA INTERVENTORÍA TÉCNICA, ECONÓMICA, FINANCIERA, CONTABLE, JURÍDICA, ADMINISTRATIVA, OPERATIVA, MEDIO AMBIENTAL Y SOCIO PREDIAL DEL CONTRATO DE CONCESIÓN BAJO EL ESQUEMA DE ASOCIACIÓN PÚBLICO PRIVADA DE INICIATIVA PRIVADA CUYO OBJETO ES "REALIZAR LOS ESTUDIOS, DISEÑOS, FINANCIACIÓN, CONSTRUCCIÓN, OPERACIÓN, MANTENIMIENTO, GESTIÓN SOCIAL, PREDIAL Y AMBIENTAL DE UNA NUEVA CALZADA ENTRE CHIRAJARA Y LA INTERSECCIÓN FUNDADORES, Y EL MANTENIMIENTO DE TODO EL CORREDOR BOGOTÁ - VILLAVICENCIO".
De conformidad con lo establecido en el Anexo de Generalidades:
“1.10. GLOSARIO
Contrato Ejecutado o Contrato Terminado: Para efectos de acreditación de experiencia, aquellos en los que su objeto y obligaciones se encuentran ejecutadas y recibidas a satisfacción por parte del contratante y se soportan en los documentos de recibo a satisfacción y/o liquidación. En caso de que el acta de liquidación y/o recibo a satisfacción contenga salvedades u obligaciones pendientes a cargo del contratista, se dará el tratamiento a las reglas establecidas para Contratos en ejecución”
“3.4.1.3. ACREDITACIÓN DE EXPERIENCIA DE CONTRATOS EN EJECUCIÓN:
(…)
(iv) Para efectos de evaluación, únicamente para los contratos en ejecución suscritos con la Agencia Nacional de Infraestructura, se realizará la conversión a SMMLV efectivamente pagado en pesos corrientes; valores tomados de la información que certifiquen internamente las Vicepresidencias a cargo de cada contrato, con la fecha de corte del último pago realizado y certificado por la ANI. Para tal fin, el oferente deberá anunciar la experiencia que pretende acreditar en el Formato No. 4 de experiencia, sin aportar la certificación y, por lo mismo, se tomará el valor certificado por la ANI.
(v) Para la acreditación de la experiencia de contratos en ejecución en el certificado de experiencia debe verificarse el valor facturado y pagado antes del cierre del Proceso de Contratación y las demás condiciones establecidas por la Entidad que permitan conocer las actividades realizadas y el respectivo valor. (…)” 
Si bien la experiencia acreditada con la Agencia Nacional de Infraestructura es válida, es preciso indicarle al oferente que se realiza un ajuste en el valor facturado del contrato y se da tratamiento al mismo como contrato en Ejecución, conforme a lo certificado por la Vicepresidencia encarga del respectivo contrato que indica:
Frente al estado del contrato: Salvedades u obligaciones pendientes (X)
Valor reportado VEJ:
“Valor Pagado en Pesos Corrientes (Acumulado) antes del 09 de marzo de 2026” el valor acumulado facturado asciende a $ 64129033958,67 pesos corrientes, fecha de ultimo pago 05/04/2024 Radicado ANI No.: 20265000069213
El respectivo ajuste se evidencia en la matriz de evaluación técnica.
El referido memorando, junto con la respuesta emitida, así como el informe de evaluación preliminar es objeto de publicación en la Plataforma SECOP II
Radicado ANI No.: 20265000069213 (25-03-2026)
Una vez realizado el ajuste anterior en la matriz de evaluación, se evidencia que el proponente 26 no cumple con lo establecido en la nota general 3 del pliego de condiciones que menciona: 
“Nota General 3: Para proponentes individuales y proponentes plurales, la sumatoria de los valores de los contratos acreditados para la experiencia debe corresponder como mínimo al 100% del presupuesto oficial expresado en SMMLV del año de cierre del proceso de selección. Lo anterior teniendo en cuenta las buenas prácticas establecidas por Colombia Compra Eficiente y la necesidad de contar con un proponente que hayan manejado presupuestos como el del presente proceso”
Lo anterior, toda vez que la sumatoria de los contratos acreditados para la experiencia allegados por el proponentes es de 31.270,25 SMMLV y la sumatoria solicitada para el proceso es de 39.680,70 SMMLV, es decir, no se cumple con el 100% del presupuesto oficial. </t>
  </si>
  <si>
    <t>CONSORCIO CORREDOR EP 2026</t>
  </si>
  <si>
    <t>Donovan Consultores SAS</t>
  </si>
  <si>
    <t xml:space="preserve">DF Consultoría </t>
  </si>
  <si>
    <t xml:space="preserve">Jorge Piddo Seguido de la Expresión Colombia </t>
  </si>
  <si>
    <t>CONSORCIO DEL SUR SEG - SAITEC - INCOPLAN</t>
  </si>
  <si>
    <t>Incoplan SA</t>
  </si>
  <si>
    <t>SEG</t>
  </si>
  <si>
    <t>Saitec</t>
  </si>
  <si>
    <t>CONSORCIO CONEXIÓN POPAYÁN</t>
  </si>
  <si>
    <t>REMAR INGENIERIA S.A.S</t>
  </si>
  <si>
    <t>INGENIERIA MASTER S.A.S</t>
  </si>
  <si>
    <t>DIRAC INGENIEROS CONSULTORES SAS</t>
  </si>
  <si>
    <t>CONSORCIO CORREDOR SUR</t>
  </si>
  <si>
    <t>SEDIC S.A.</t>
  </si>
  <si>
    <t>SEDIC CONSULTING S.A.S</t>
  </si>
  <si>
    <t>GAB INGENIERÍA S.A.S.</t>
  </si>
  <si>
    <t>CONSORCIO ESTANQUILLO SCD</t>
  </si>
  <si>
    <t>SILVA CARREÑO Y ASOCIADOS S.A.S</t>
  </si>
  <si>
    <t>CONURMA INGENIEROS CONSULTORES SL SUCURSAL COLOMBIA</t>
  </si>
  <si>
    <t>DOHWA COLOMBIA S.A.S</t>
  </si>
  <si>
    <t>CONSORCIO GIS INFRAVISIÓN PACÍFICO</t>
  </si>
  <si>
    <t>GIS-EAP S.A.S.</t>
  </si>
  <si>
    <t>GESTIÓN INTEGRAL DEL SUELO SL COLOMBIA</t>
  </si>
  <si>
    <t>CONSORCIO INTERVENTOR ESTANQUILLO IEB</t>
  </si>
  <si>
    <t>EGIS CONSULTORIA S.A.S</t>
  </si>
  <si>
    <t>BB CONSULTORA SAS</t>
  </si>
  <si>
    <t>INCOSA SUCURSAL COLOMBIA</t>
  </si>
  <si>
    <t>CONSORCIO STC CORREDOR EP</t>
  </si>
  <si>
    <t>SESAC S. A.</t>
  </si>
  <si>
    <t>TRANSCONSULT SUCURSAL COLOMBIA</t>
  </si>
  <si>
    <t>COPEBA S.A.S.</t>
  </si>
  <si>
    <t>CONSORCIO INTERVENTORES PED ESTANQUILLO</t>
  </si>
  <si>
    <t>PROGIN COLOMBIA</t>
  </si>
  <si>
    <t>EPYPSA S.A.S.</t>
  </si>
  <si>
    <t>DESARROLLO TECNOLOGÍA Y PLANEACIÓN COLOMBIA S.A.S.</t>
  </si>
  <si>
    <t xml:space="preserve">PROPONENTE 28
CONTRATO DE ORDEN 2
OBSERVACIÓN 
NO CUMPLE INFRAESTRUCTURA DE TRANSPORTE VIAL – MALLA VIAL ARTERIAL
Referente al contrato de orden N°2 aportado por el integrante DF Consultoria, cuyo objeto es: “ Interventoría técnica, administrativa, financiera, legal, social y ambiental, para la construcción de la Avenida Laureano Gómez (AK 9) desde Av. San Juan Bosco (AC 170) hasta la Av. Cedritos (AC-147) y construcción de la calzada sur de la Av. San José desde Av. Boyaá - hasta Av. Cota (AK 91), correspondientes a las obras con código de obra 101 y 107 del acuerdo 180 de 2005 de valorización en Bogotá D.C.”
Frente a la experiencia acreditada por el oferente, no se puede constatar el cumplimiento a lo establecido en el Anexo de Generalidades, toda vez que, frente a un proyecto de infraestructura de transporte, este debe cumplir con las definiciones indicadas en el numeral 1.10 GLOSARIO ESPECÍFICO: Infraestructura de Transporte: “Son todos aquellos proyectos que incluyen dentro de su objeto o alcance la construcción o mejoramiento o rehabilitación o reconstrucción o mantenimiento o ampliación de obras de Infraestructura de Transporte: Vial, Puertos, Aeropuertos o infraestructura Férrea de pasajeros o de carga o mixto, urbano o interurbano.”
Por tanto, como el contrato presentado es para acreditar una concesión de infraestructura vial (urbana), se requiere cumplir las condiciones de infraestructura de transporte vial literal C :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Acorde con lo anterior, dentro de la documentación aportada no se evidencia documento alguno que permita identificar que el proyecto corresponda a infraestructura de transporte vial que cumpla alguna de las condiciones indicadas en el numeral 1.10. GLOSARIO “ (…) GLOSARIO ESPECÍFICO: Infraestructura de Transporte Vial. 
Siendo que para la condición C, se requiere en el numeral 3.4.1 EXIGENCIA MÍNIMA DE LA EXPERIENCIA DEL PROPONENTE NOTA GENERAL 9, del anexo de generalidades del Pliego de Condiciones Definitivo, “Nota General 9: Frente a la acreditación de experiencia en infraestructura de transporte vial (Numeral 1.10 Glosario Específico), literal b) y c) de la respectiva definición, el oferente deberá aportar en su Propuesta,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Por lo anterior, el CONTRATO DE ORDEN N°02 NO cumple con los requisitos establecidos en el Anexo de Generalidades al Pliego de Condiciones.
Solicitud de subsane
El oferente deberá aportar documento válido conforme a lo solicitado en el anexo de generalidades del pliego de condiciones dando cumplimiento a la definición de infraestructura vial, del numeral 1.10. GLOSARIO “ (…) GLOSARIO ESPECÍFICO: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El oferente deberá aportar documento válido conforme a lo solicitado en el anexo de generalidades del pliego de condiciones el numeral 3.4.1. EXIGENCIA MÍNIMA DE LA EXPERIENCIA DEL PROPONENTE NOTA GENERAL 9,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Por lo anterior, el CONTRATO DE ORDEN N°02 NO cumple con los requisitos establecidos en el Anexo de Generalidades al Pliego de Condiciones.
CONTRATO DE ORDEN 03
OBSERVACIÓN 
NO SE IDENTIFICA ANCHO CARRIL
NO SE IDENTIFICA CATEGORIZACION VIAS (PRIMARIA O SECUNDARIA)
Referente al contrato de orden N°3 aportado por el integrante Jorge Piddo Seguido de la Expresión Colombia cuyo objeto es: “Asesoría a la Inspección Fiscal a la Concesión Internacional Interconexión Vial Santiago - Valparaiso - Viña del Mar”
Frente a la experiencia acreditada por el oferente, no se puede constatar el cumplimiento a lo establecido en el Anexo de Generalidades, toda vez que, frente a un proyecto de infraestructura de transporte, este debe cumplir con las definiciones indicadas en el numeral 1.10 GLOSARIO ESPECÍFICO: Infraestructura de Transporte: “Son todos aquellos proyectos que incluyen dentro de su objeto o alcance la construcción o mejoramiento o rehabilitación o reconstrucción o mantenimiento o ampliación de obras de Infraestructura de Transporte: Vial, Puertos, Aeropuertos o infraestructura Férrea de pasajeros o de carga o mixto, urbano o interurbano.”
Por tanto, como el contrato presentado es para acreditar una concesión de infraestructura vial, se requiere cumplir las condiciones de infraestructura de transporte vial literal: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Acorde con lo anterior, dentro de la documentación aportada no se evidencia documento alguno que permita identificar que el proyecto corresponda a infraestructura de transporte vial que cumpla alguna de las condiciones A o B indicadas en el numeral 1.10. GLOSARIO “ (…) GLOSARIO ESPECÍFICO: Infraestructura de Transporte Vial. 
Para la condición A,  no se idéntica las obras de infraestructura de carreteras pavimentadas con un ancho de carril mayor o igual a 3.50 metros.
Para la condición B, no se identifica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Siendo que para la condición B, de carreteras primarias y/o carreteras secundarias se requiere en el numeral 3.4.1 EXIGENCIA MÍNIMA DE LA EXPERIENCIA DEL PROPONENTE NOTA GENERAL 9, del anexo de generalidades del Pliego de Condiciones Definitivo, “Nota General 9: Frente a la acreditación de experiencia en infraestructura de transporte vial (Numeral 1.10 Glosario Específico), literal b) y c) de la respectiva definición, el oferente deberá aportar en su Propuesta,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Por lo anterior, el CONTRATO DE ORDEN N°3 NO cumple con los requisitos establecidos en el Anexo de Generalidades al Pliego de Condiciones.
Solicitud de subsane: 
El oferente deberá aportar documento válido conforme a lo solicitado en el anexo de generalidades del pliego de condiciones dando cumplimiento a la definición de infraestructura vial, del numeral 1.10. GLOSARIO “ (…) GLOSARIO ESPECÍFICO: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El oferente deberá aportar documento válido conforme a lo solicitado en el anexo de generalidades del pliego de condiciones el numeral 3.4.1. EXIGENCIA MÍNIMA DE LA EXPERIENCIA DEL PROPONENTE NOTA GENERAL 9,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t>
  </si>
  <si>
    <t xml:space="preserve">PROPONENTE 28
CONTRATO DE ORDEN 2
OBSERVACIÓN 
NO CUMPLE INFRAESTRUCTURA DE TRANSPORTE VIAL – MALLA VIAL ARTERIAL
Solicitud de subsane
El oferente deberá aportar documento válido conforme a lo solicitado en el anexo de generalidades del pliego de condiciones dando cumplimiento a la definición de infraestructura vial, del numeral 1.10. GLOSARIO “ (…) GLOSARIO ESPECÍFICO: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El oferente deberá aportar documento válido conforme a lo solicitado en el anexo de generalidades del pliego de condiciones el numeral 3.4.1. EXIGENCIA MÍNIMA DE LA EXPERIENCIA DEL PROPONENTE NOTA GENERAL 9,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Por lo anterior, el CONTRATO DE ORDEN N°02 NO cumple con los requisitos establecidos en el Anexo de Generalidades al Pliego de Condiciones.
CONTRATO DE ORDEN 03
Solicitud de subsane: 
El oferente deberá aportar documento válido conforme a lo solicitado en el anexo de generalidades del pliego de condiciones dando cumplimiento a la definición de infraestructura vial, del numeral 1.10. GLOSARIO “ (…) GLOSARIO ESPECÍFICO: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El oferente deberá aportar documento válido conforme a lo solicitado en el anexo de generalidades del pliego de condiciones el numeral 3.4.1. EXIGENCIA MÍNIMA DE LA EXPERIENCIA DEL PROPONENTE NOTA GENERAL 9,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RESUMEN EVALUACIÓN TÉCNICA PROPONENTE 28: NO HÁBIL
El proponente presenta el contrato de orden 2 y 3,  NO VÁLIDOS
Conforme a las observaciones realizadas el proponente NO cumple con la totalidad de los requisitos en el Anexo de Generalidades del Pliego de Condiciones, según lo dispuesto numeral 3.4.1 EXPERIENCIA,  el cual solicita : 
¿EN CASO DE FIGURA ASOCIATIVA, CADA UNO DE LOS INTEGRANTES CUMPLE CON LO ESTABLECIDO DENTRO DE LA NOTA GENERAL 6 DEL NUMERAL 3.4.1.?
“Cada uno de los integrantes que conforman la Figura asociativa deberá acreditar por lo menos un (1) contrato de los citados en las condiciones anteriores descritas, cuyo valor debe ser igual o superior al 10% del presupuesto oficial, expresado en SMMLV del año de cierre del proceso de selección. Para efectos de la acreditación de la experiencia se tomarán los valores expresados en SMMLV del año de cierre del proceso de selección.” 
El integrante que no cumple esta condición es DF CONSULTORIA.
</t>
  </si>
  <si>
    <t>PROPONENTE 29
CONTRATO DE ORDEN 5
OBSERVACIÓN 
NO SE IDENTIFICA OBRAS DE DRENAJE
NO SE IDENTIFICA CATEGORIZACION VIAS (PRIMARIA O SECUNDARIA)
Referente al contrato de orden N°5 por el integrante SAITEC, cuyo objeto es: “Asistencia Técnica para las obras de la Autovía del Ebro A-68, desdoblamiento N-232: tramo 1 Castejón-Tudela y tramo 4 Buñuel-Cortés”
Frente a la experiencia acreditada por el oferente, no se puede constatar el cumplimiento a lo establecido en el Anexo de Generalidades, toda vez que, frente a un proyecto de infraestructura de transporte, este debe cumplir con las definiciones indicadas en el numeral 1.10 GLOSARIO ESPECÍFICO: Infraestructura de Transporte: “Son todos aquellos proyectos que incluyen dentro de su objeto o alcance la construcción o mejoramiento o rehabilitación o reconstrucción o mantenimiento o ampliación de obras de Infraestructura de Transporte: Vial, Puertos, Aeropuertos o infraestructura Férrea de pasajeros o de carga o mixto, urbano o interurbano.”
Por tanto, como el contrato presentado es para acreditar una concesión de infraestructura vial, se requiere cumplir las condiciones de infraestructura de transporte vial: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Acorde con lo anterior, dentro de la documentación aportada no se evidencia documento alguno que permita identificar que el proyecto corresponda a infraestructura de transporte vial que cumpla alguna de las condiciones A o B indicadas en el numeral 1.10. GLOSARIO “ (…) GLOSARIO ESPECÍFICO: Infraestructura de Transporte Vial. 
Para la condición A, no se identifica obras de Drenaje.
Para la condición B, no se identifica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Siendo que para la condición B, de carreteras primarias y/o carreteras secundarias se requiere en el numeral 3.4.1 EXIGENCIA MÍNIMA DE LA EXPERIENCIA DEL PROPONENTE NOTA GENERAL 9, del anexo de generalidades del Pliego de Condiciones Definitivo, “Nota General 9: Frente a la acreditación de experiencia en infraestructura de transporte vial (Numeral 1.10 Glosario Específico), literal b) y c) de la respectiva definición, el oferente deberá aportar en su Propuesta,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Por lo anterior, el CONTRATO DE ORDEN N°5 NO cumple con los requisitos establecidos en el Anexo de Generalidades al Pliego de Condiciones.
El oferente deberá aportar documento válido conforme a lo solicitado en el anexo de generalidades del pliego de condiciones dando cumplimiento a la definición de infraestructura vial, del numeral 1.10. GLOSARIO “ (…) GLOSARIO ESPECÍFICO: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El oferente deberá aportar documento válido conforme a lo solicitado en el anexo de generalidades del pliego de condiciones el numeral 3.4.1. EXIGENCIA MÍNIMA DE LA EXPERIENCIA DEL PROPONENTE NOTA GENERAL 9,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t>
  </si>
  <si>
    <t xml:space="preserve">PROPONENTE 30
CONTRATO DE ORDEN 2
OBSERVACIÓN 
NO CUMPLE INFRAESTRUCTURA DE TRANSPORTE VIAL – MALLA VIAL ARTERIAL
Referente al contrato de orden N°2 aportado por el integrante INGENIERIA MASTER S.A.S, cuyo objeto es: “REALIZAR LA INTERVENTORÍA TÉCNICA, ADMINISTRATIVA Y FINANCIERA DEL CONTRATO MEDIANTE EL CUAL SE REALIZARÁN LAS OBRAS DE MANTENIMIENTO, REHABILITACIÓN Y MEJORAMIENTO DE LA INFRAESTRUCTURA DEL SISTEMA DE TRANSPORTE MASIVO, A CARGO DE LA EMPRESA DE TRANSPORTE DEL TERCER MILENIO – TRANSMILENIO S.A.”
Frente a la experiencia acreditada por el oferente, no se puede constatar el cumplimiento a lo establecido en el Anexo de Generalidades, toda vez que, frente a un proyecto de infraestructura de transporte, este debe cumplir con las definiciones indicadas en el numeral 1.10 GLOSARIO ESPECÍFICO: Infraestructura de Transporte: “Son todos aquellos proyectos que incluyen dentro de su objeto o alcance la construcción o mejoramiento o rehabilitación o reconstrucción o mantenimiento o ampliación de obras de Infraestructura de Transporte: Vial, Puertos, Aeropuertos o infraestructura Férrea de pasajeros o de carga o mixto, urbano o interurbano.”
Por tanto, como el contrato presentado es para acreditar una concesión de infraestructura vial (urbana), se requiere cumplir las condiciones de infraestructura de transporte vial literal C :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Acorde con lo anterior, dentro de la documentación aportada no se evidencia documento alguno que permita identificar que el proyecto corresponda a infraestructura de transporte vial que cumpla alguna de las condiciones indicadas en el numeral 1.10. GLOSARIO “ (…) GLOSARIO ESPECÍFICO: Infraestructura de Transporte Vial. 
Siendo que para la condición C, se requiere en el numeral 3.4.1 EXIGENCIA MÍNIMA DE LA EXPERIENCIA DEL PROPONENTE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Por lo anterior, el CONTRATO DE ORDEN N°02 NO cumple con los requisitos establecidos en el Anexo de Generalidades al Pliego de Condiciones.
El oferente deberá aportar documento válido conforme a lo solicitado en el anexo de generalidades del pliego de condiciones dando cumplimiento a la definición de infraestructura vial, del numeral 1.10. GLOSARIO “ (…) GLOSARIO ESPECÍFICO: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El oferente deberá aportar documento válido conforme a lo solicitado en el anexo de generalidades del pliego de condiciones el numeral 3.4.1. EXIGENCIA MÍNIMA DE LA EXPERIENCIA DEL PROPONENTE NOTA GENERAL 9,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Por lo anterior, el CONTRATO DE ORDEN N°02 NO cumple con los requisitos establecidos en el Anexo de Generalidades al Pliego de Condiciones.
PROPONENTE 30
CONTRATO DE ORDEN 2
OBSERVACIÓN 
NO CUMPLE INFRAESTRUCTURA DE TRANSPORTE VIAL – MALLA VIAL ARTERIAL
Referente al contrato de orden N°2 aportado por el integrante INGENIERIA MASTER S.A.S, cuyo objeto es: “REALIZAR LA INTERVENTORÍA TÉCNICA, ADMINISTRATIVA Y FINANCIERA DEL CONTRATO MEDIANTE EL CUAL SE REALIZARÁN LAS OBRAS DE MANTENIMIENTO, REHABILITACIÓN Y MEJORAMIENTO DE LA INFRAESTRUCTURA DEL SISTEMA DE TRANSPORTE MASIVO, A CARGO DE LA EMPRESA DE TRANSPORTE DEL TERCER MILENIO – TRANSMILENIO S.A.”
Frente a la experiencia acreditada por el oferente, no se puede constatar el cumplimiento a lo establecido en el Anexo de Generalidades, toda vez que, frente a un proyecto de infraestructura de transporte, este debe cumplir con las definiciones indicadas en el numeral 1.10 GLOSARIO ESPECÍFICO: Infraestructura de Transporte: “Son todos aquellos proyectos que incluyen dentro de su objeto o alcance la construcción o mejoramiento o rehabilitación o reconstrucción o mantenimiento o ampliación de obras de Infraestructura de Transporte: Vial, Puertos, Aeropuertos o infraestructura Férrea de pasajeros o de carga o mixto, urbano o interurbano.”
Por tanto, como el contrato presentado es para acreditar una concesión de infraestructura vial (urbana), se requiere cumplir las condiciones de infraestructura de transporte vial literal C :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Acorde con lo anterior, dentro de la documentación aportada no se evidencia documento alguno que permita identificar que el proyecto corresponda a infraestructura de transporte vial que cumpla alguna de las condiciones indicadas en el numeral 1.10. GLOSARIO “ (…) GLOSARIO ESPECÍFICO: Infraestructura de Transporte Vial. 
Siendo que para la condición C, se requiere en el numeral 3.4.1 EXIGENCIA MÍNIMA DE LA EXPERIENCIA DEL PROPONENTE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Por lo anterior, el CONTRATO DE ORDEN N°02 NO cumple con los requisitos establecidos en el Anexo de Generalidades al Pliego de Condiciones.
El oferente deberá aportar documento válido conforme a lo solicitado en el anexo de generalidades del pliego de condiciones dando cumplimiento a la definición de infraestructura vial, del numeral 1.10. GLOSARIO “ (…) GLOSARIO ESPECÍFICO: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El oferente deberá aportar documento válido conforme a lo solicitado en el anexo de generalidades del pliego de condiciones el numeral 3.4.1. EXIGENCIA MÍNIMA DE LA EXPERIENCIA DEL PROPONENTE NOTA GENERAL 9,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Por lo anterior, el CONTRATO DE ORDEN N°02 NO cumple con los requisitos establecidos en el Anexo de Generalidades al Pliego de Condiciones.
</t>
  </si>
  <si>
    <t xml:space="preserve">PROPONENTE 30
CONTRATO DE ORDEN 2
OBSERVACIÓN 
NO CUMPLE INFRAESTRUCTURA DE TRANSPORTE VIAL – MALLA VIAL ARTERIAL.
Solicitud de subsane 
El oferente deberá aportar documento válido conforme a lo solicitado en el anexo de generalidades del pliego de condiciones dando cumplimiento a la definición de infraestructura vial, del numeral 1.10. GLOSARIO “ (…) GLOSARIO ESPECÍFICO: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El oferente deberá aportar documento válido conforme a lo solicitado en el anexo de generalidades del pliego de condiciones el numeral 3.4.1. EXIGENCIA MÍNIMA DE LA EXPERIENCIA DEL PROPONENTE NOTA GENERAL 9,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Por lo anterior, el CONTRATO DE ORDEN N°02 NO cumple con los requisitos establecidos en el Anexo de Generalidades al Pliego de Condiciones.
RESUMEN EVALUACIÓN TÉCNICA PROPONENTE 30: NO HÁBIL
El proponente presenta el contrato de orden 2,  NO VÁLIDO
Conforme a las observaciones realizadas el proponente NO cumple con la totalidad de los requisitos en el Anexo de Generalidades del Pliego de Condiciones, según lo dispuesto numeral 3.4.1 EXPERIENCIA,  el cual solicita : 
¿EN CASO DE FIGURA ASOCIATIVA, CADA UNO DE LOS INTEGRANTES CUMPLE CON LO ESTABLECIDO DENTRO DE LA NOTA GENERAL 6 DEL NUMERAL 3.4.1.?
“Cada uno de los integrantes que conforman la Figura asociativa deberá acreditar por lo menos un (1) contrato de los citados en las condiciones anteriores descritas, cuyo valor debe ser igual o superior al 10% del presupuesto oficial, expresado en SMMLV del año de cierre del proceso de selección. Para efectos de la acreditación de la experiencia se tomarán los valores expresados en SMMLV del año de cierre del proceso de selección.” 
El integrante que no cumple esta condición es INGENIERIA MASTER S.A.S
</t>
  </si>
  <si>
    <t>El proponente  aporta 7 contratos válidos para acreditar experiencia según lo solicitado en el Anexo de generalidades al Pliego de Condiciones, con lo cual el proponente recibe la calificación en los aspectos técnicos de HÁBIL.
No aplica solicitud de subsane</t>
  </si>
  <si>
    <t xml:space="preserve">PROPONENTE 33
CONTRATO DE ORDEN 3
OBSERVACIÓN 
NO SE IDENTIFICA OBRAS DE DRENAJE
NO SE IDENTIFICA CATEGORIZACION VIAS (PRIMARIA O SECUNDARIA)
Referente al contrato de orden N°3 por el integrante GIS-EAP S.A.S., cuyo objeto es: “Asesoría técnica y Dirección de obra en la fase de Construcción de la Autovía de la Plata (Benavente-Zamora)”
Frente a la experiencia acreditada por el oferente, no se puede constatar el cumplimiento a lo establecido en el Anexo de Generalidades, toda vez que, frente a un proyecto de infraestructura de transporte, este debe cumplir con las definiciones indicadas en el numeral 1.10 GLOSARIO ESPECÍFICO: Infraestructura de Transporte: “Son todos aquellos proyectos que incluyen dentro de su objeto o alcance la construcción o mejoramiento o rehabilitación o reconstrucción o mantenimiento o ampliación de obras de Infraestructura de Transporte: Vial, Puertos, Aeropuertos o infraestructura Férrea de pasajeros o de carga o mixto, urbano o interurbano.”
Por tanto, como el contrato presentado es para acreditar una concesión de infraestructura vial, se requiere cumplir las condiciones de infraestructura de transporte vial: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Acorde con lo anterior, dentro de la documentación aportada no se evidencia documento alguno que permita identificar que el proyecto corresponda a infraestructura de transporte vial que cumpla alguna de las condiciones A o B indicadas en el numeral 1.10. GLOSARIO “ (…) GLOSARIO ESPECÍFICO: Infraestructura de Transporte Vial. 
Para la condición A, no se identifica obras de Drenaje.
Para la condición B, no se identifica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Siendo que para la condición B, de carreteras primarias y/o carreteras secundarias se requiere en el numeral 3.4.1 EXIGENCIA MÍNIMA DE LA EXPERIENCIA DEL PROPONENTE NOTA GENERAL 10, del anexo de generalidades del Pliego de Condiciones Definitivo, “Nota General 10: Frente a la acreditación de experiencia en infraestructura de transporte vial (Numeral 1.10 Glosario Específico), literal b) y c) de la respectiva definición, el oferente deberá aportar en su Propuesta,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Por lo anterior, el CONTRATO DE ORDEN N°3 NO cumple con los requisitos establecidos en el Anexo de Generalidades al Pliego de Condiciones.
Solicitud de subsane: 
El oferente deberá aportar documento válido conforme a lo solicitado en el anexo de generalidades del pliego de condiciones dando cumplimiento a la definición de infraestructura vial, del numeral 1.10. GLOSARIO “ (…) GLOSARIO ESPECÍFICO: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El oferente deberá aportar documento válido conforme a lo solicitado en el anexo de generalidades del pliego de condiciones el numeral 3.4.1. EXIGENCIA MÍNIMA DE LA EXPERIENCIA DEL PROPONENTE NOTA GENERAL 9,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CONTRATO DE ORDEN 4
OBSERVACIÓN 
NO SE IDENTIFICA OBRAS DE DRENAJE
NO SE IDENTIFICA CATEGORIZACION VIAS (PRIMARIA O SECUNDARIA)
Referente al contrato de orden N°4 por el integrante GIS-EAP S.A.S., cuyo objeto es: “Servicios Para El Control Y Vigilancia De La Obra: Corredor Norte-Noroeste De Alta Velocidad. Línea De Alta Velocidad Madrid- Galicia. Tramo: Zamora - Lubian. Subtramo: Otero De Bodas - Cernadilla. Plataforma”
Frente a la experiencia acreditada por el oferente, no se puede constatar el cumplimiento a lo establecido en el Anexo de Generalidades, toda vez que, frente a un proyecto de infraestructura de transporte, este debe cumplir con las definiciones indicadas en el numeral 1.10 GLOSARIO ESPECÍFICO: Infraestructura de Transporte: “Son todos aquellos proyectos que incluyen dentro de su objeto o alcance la construcción o mejoramiento o rehabilitación o reconstrucción o mantenimiento o ampliación de obras de Infraestructura de Transporte: Vial, Puertos, Aeropuertos o infraestructura Férrea de pasajeros o de carga o mixto, urbano o interurbano.”
Por tanto, como el contrato presentado es para acreditar una concesión de infraestructura vial, se requiere cumplir las condiciones de infraestructura de transporte vial: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Acorde con lo anterior, dentro de la documentación aportada no se evidencia documento alguno que permita identificar que el proyecto corresponda a infraestructura de transporte vial que cumpla alguna de las condiciones A o B indicadas en el numeral 1.10. GLOSARIO “ (…) GLOSARIO ESPECÍFICO: Infraestructura de Transporte Vial. 
Para la condición A, no se identifica obras de Drenaje.
Para la condición B, no se identifica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Siendo que para la condición B, de carreteras primarias y/o carreteras secundarias se requiere en el numeral 3.4.1 EXIGENCIA MÍNIMA DE LA EXPERIENCIA DEL PROPONENTE NOTA GENERAL 9, del anexo de generalidades del Pliego de Condiciones Definitivo, “Nota General 9: Frente a la acreditación de experiencia en infraestructura de transporte vial (Numeral 1.10 Glosario Específico), literal b) y c) de la respectiva definición, el oferente deberá aportar en su Propuesta,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Por lo anterior, el CONTRATO DE ORDEN N°4 NO cumple con los requisitos establecidos en el Anexo de Generalidades al Pliego de Condiciones.
Solicitud de subsane: 
El oferente deberá aportar documento válido conforme a lo solicitado en el anexo de generalidades del pliego de condiciones dando cumplimiento a la definición de infraestructura vial, del numeral 1.10. GLOSARIO “ (…) GLOSARIO ESPECÍFICO: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El oferente deberá aportar documento válido conforme a lo solicitado en el anexo de generalidades del pliego de condiciones el numeral 3.4.1. EXIGENCIA MÍNIMA DE LA EXPERIENCIA DEL PROPONENTE NOTA GENERAL 9,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CONTRATOS ANI 
PROPONENTE 33
CONTRATO DE ORDEN 1: 
Referente al contrato de orden N°1 aportado por el  integrante GESTIÓN INTEGRAL DEL SUELO SL COLOMBIA objeto es : Realizar la lnterventoría integral que incluye pero no se limita a la interventoría técnica, económica, financiera, contable, jurídica, administrativa, operativa, medio ambiental, y socio predial del contrato de concesión bajo el esquema de asociación público privada cuyo objeto es "Realizar los estudios y diseños definitivos, financiación, gestión ambiental, predial y social, construcción, mejoramiento, rehabilitación, operación, mantenimiento y reversión del corredor vial Bucaramanga - Barrancabermeja - Yondó".
De conformidad con lo establecido en el Anexo de Generalidades:
“1.10. GLOSARIO
Contrato Ejecutado o Contrato Terminado: Para efectos de acreditación de experiencia, aquellos en los que su objeto y obligaciones se encuentran ejecutadas y recibidas a satisfacción por parte del contratante y se soportan en los documentos de recibo a satisfacción y/o liquidación. En caso de que el acta de liquidación y/o recibo a satisfacción contenga salvedades u obligaciones pendientes a cargo del contratista, se dará el tratamiento a las reglas establecidas para Contratos en ejecución”
“3.4.1.3. ACREDITACIÓN DE EXPERIENCIA DE CONTRATOS EN EJECUCIÓN:
(…)
(iv) Para efectos de evaluación, únicamente para los contratos en ejecución suscritos con la Agencia Nacional de Infraestructura, se realizará la conversión a SMMLV efectivamente pagado en pesos corrientes; valores tomados de la información que certifiquen internamente las Vicepresidencias a cargo de cada contrato, con la fecha de corte del último pago realizado y certificado por la ANI. Para tal fin, el oferente deberá anunciar la experiencia que pretende acreditar en el Formato No. 4 de experiencia, sin aportar la certificación y, por lo mismo, se tomará el valor certificado por la ANI.
(v) Para la acreditación de la experiencia de contratos en ejecución en el certificado de experiencia debe verificarse el valor facturado y pagado antes del cierre del Proceso de Contratación y las demás condiciones establecidas por la Entidad que permitan conocer las actividades realizadas y el respectivo valor. (…)” 
Si bien la experiencia acreditada con la Agencia Nacional de Infraestructura es válida, es preciso indicarle al oferente que se realiza un ajuste en el valor facturado del contrato y se da tratamiento al mismo como contrato en Ejecución, conforme a lo certificado por la Vicepresidencia encarga del respectivo contrato que indica:
Frente al estado del contrato: Salvedades u obligaciones pendientes ( X )
Valor reportado Vicepresidencia Ejecutiva ANI:
“Valor Pagado en Pesos Corrientes (Acumulado) antes del 09 de marzo de 2026 el valor acumulado facturado asciende a $54.469.088.518,00, pesos corrientes, ultimo pago 23/07/2025, Radicado ANI No.: : 20265000069213. (25.03.26)”
El respectivo ajuste se evidencia en la matriz de evaluación técnica.
El referido memorando, junto con la respuesta emitida, así como el informe de evaluación preliminar es objeto de publicación en la Plataforma SECOP II
Radicado ANI No.: 20265000069213. (25.03.26). 
</t>
  </si>
  <si>
    <t xml:space="preserve">PROPONENTE 33
CONTRATO DE ORDEN 3
OBSERVACIÓN 
NO SE IDENTIFICA OBRAS DE DRENAJE
NO SE IDENTIFICA CATEGORIZACION VIAS (PRIMARIA O SECUNDARIA)
CONTRATO DE ORDEN 3 
Solicitud de subsane: 
El oferente deberá aportar documento válido conforme a lo solicitado en el anexo de generalidades del pliego de condiciones dando cumplimiento a la definición de infraestructura vial, del numeral 1.10. GLOSARIO “ (…) GLOSARIO ESPECÍFICO: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El oferente deberá aportar documento válido conforme a lo solicitado en el anexo de generalidades del pliego de condiciones el numeral 3.4.1. EXIGENCIA MÍNIMA DE LA EXPERIENCIA DEL PROPONENTE NOTA GENERAL 9,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CONTRATO DE ORDEN 4 
El oferente deberá aportar documento válido conforme a lo solicitado en el anexo de generalidades del pliego de condiciones dando cumplimiento a la definición de infraestructura vial, del numeral 1.10. GLOSARIO “ (…) GLOSARIO ESPECÍFICO: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El oferente deberá aportar documento válido conforme a lo solicitado en el anexo de generalidades del pliego de condiciones el numeral 3.4.1. EXIGENCIA MÍNIMA DE LA EXPERIENCIA DEL PROPONENTE NOTA GENERAL 9,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RESUMEN EVALUACIÓN TÉCNICA PROPONENTE 33: HÁBIL
El proponente presenta los contratos de orden 3 y 4,  NO VÁLIDOS
Conforme a las observaciones realizadas el proponente NO cumple con la totalidad de los requisitos en el Anexo de Generalidades del Pliego de Condiciones, según lo dispuesto numeral 3.4.1 EXPERIENCIA,  el cual solicita : 
SUMATORIA EXPERIENCIA ACREDITADA
“Nota General 3: Para proponentes individuales y proponentes plurales, la sumatoria de los valores de los contratos acreditados para la experiencia debe corresponder como mínimo al 100% del presupuesto oficial expresado en SMMLV del año de cierre del proceso de selección. Lo anterior teniendo en cuenta las buenas prácticas establecidas por Colombia Compra Eficiente y la necesidad de contar con un proponente que hayan manejado presupuestos como el del presente proceso.”
EXPERIENCIA MÍNIMA AL MENOS UNO DE LOS INTEGRANTES ACREDITA EL 51% DE LA EXPERIENCIA SOLICITADA.
“Nota General 5: Para proponentes plurales, al menos uno de los integrantes de la figura asociativa deberá acreditar como mínimo el 51% de la experiencia solicitada.”
</t>
  </si>
  <si>
    <t>PROPONENTE 34
CONTRATO DE ORDEN 5
OBSERVACIÓN 
NO CUMPLE INFRAESTRUCTURA DE TRANSPORTE VIAL – MALLA VIAL ARTERIAL
Referente al contrato de orden N°5 aportado por el INCOSA SUCURSAL COLOMBIA, cuyo objeto es:  INTERVENTORÍA TÉCNICA, ADMINISTRATIVA, FINANCIERA, AMBIENTAL Y SOCIAL PARA LAS OBRAS DE CONSTRUCCIÓN Y TODAS LAS ACTIVIDADES NECESARIAS PARA LA ADECUACIÓN DE LA CALLE 26 (AVENIDA JORGE ELIÉCER GAITÁN) Y DE LA CARRERA 10ª (AVENIDA FERNANDO MAZUERA), AL SISTEMA TRANSMILENIO EN BOGOTÁ D.C. INCLUYE PUENTES.”
Frente a la experiencia acreditada por el oferente, no se puede constatar el cumplimiento a lo establecido en el Anexo de Generalidades, toda vez que, frente a un proyecto de infraestructura de transporte, este debe cumplir con las definiciones indicadas en el numeral 1.10 GLOSARIO ESPECÍFICO: Infraestructura de Transporte: “Son todos aquellos proyectos que incluyen dentro de su objeto o alcance la construcción o mejoramiento o rehabilitación o reconstrucción o mantenimiento o ampliación de obras de Infraestructura de Transporte: Vial, Puertos, Aeropuertos o infraestructura Férrea de pasajeros o de carga o mixto, urbano o interurbano.”
Por tanto, como el contrato presentado es para acreditar una concesión de infraestructura vial (urbana), se requiere cumplir las condiciones de infraestructura de transporte vial literal C :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Acorde con lo anterior, dentro de la documentación aportada no se evidencia documento alguno que permita identificar que el proyecto corresponda a infraestructura de transporte vial que cumpla alguna de las condiciones indicadas en el numeral 1.10. GLOSARIO “ (…) GLOSARIO ESPECÍFICO: Infraestructura de Transporte Vial. 
Siendo que para la condición C, se requiere en el numeral 3.4.1 EXIGENCIA MÍNIMA DE LA EXPERIENCIA DEL PROPONENTE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Por lo anterior, el CONTRATO DE ORDEN N°05 NO cumple con los requisitos establecidos en el Anexo de Generalidades al Pliego de Condiciones.
El oferente deberá aportar documento válido conforme a lo solicitado en el anexo de generalidades del pliego de condiciones dando cumplimiento a la definición de infraestructura vial, del numeral 1.10. GLOSARIO “ (…) GLOSARIO ESPECÍFICO: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El oferente deberá aportar documento válido conforme a lo solicitado en el anexo de generalidades del pliego de condiciones el numeral 3.4.1. EXIGENCIA MÍNIMA DE LA EXPERIENCIA DEL PROPONENTE NOTA GENERAL 9,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Por lo anterior, el CONTRATO DE ORDEN N°05 NO cumple con los requisitos establecidos en el Anexo de Generalidades al Pliego de Condiciones.</t>
  </si>
  <si>
    <t xml:space="preserve">PROPONENTE 34
CONTRATO DE ORDEN 5
OBSERVACIÓN 
NO CUMPLE INFRAESTRUCTURA DE TRANSPORTE VIAL – MALLA VIAL ARTERIAL
Solicitud de subsane
El oferente deberá aportar documento válido conforme a lo solicitado en el anexo de generalidades del pliego de condiciones dando cumplimiento a la definición de infraestructura vial, del numeral 1.10. GLOSARIO “ (…) GLOSARIO ESPECÍFICO: Infraestructura de Transporte Vial: Son: a) Las obras de infraestructura de carreteras pavimentadas con un ancho de carril mayor o igual a 3.50 metros, que incluyan obras de Drenaje; ó b) Las obras de infraestructura de carreteras primarias pavimentadas que cumplen la función básica de integración de ciudades o localidades entre sí, y/o conexión con zonas portuarias o fronterizas; y/o las obras de infraestructura de carreteras secundarias pavimentadas que unen cabeceras municipales entre sí y/o que provienen de una cabecera municipal y conectan con una carretera primaria; ó c.) Las obras de infraestructura de vías urbanas, que en su construcción tengan pavimentos rígidos y/o flexibles. Para el caso de vías urbanas serán aquellas que se consideren de la malla vial arterial. (…).
El oferente deberá aportar documento válido conforme a lo solicitado en el anexo de generalidades del pliego de condiciones el numeral 3.4.1. EXIGENCIA MÍNIMA DE LA EXPERIENCIA DEL PROPONENTE NOTA GENERAL 9, “Nota General 9 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Por lo anterior, el CONTRATO DE ORDEN N°05 NO cumple con los requisitos establecidos en el Anexo de Generalidades al Pliego de Condiciones.
RESUMEN EVALUACIÓN TÉCNICA PROPONENTE 34: NO HÁBIL
El proponente presenta el contrato de orden 5,  NO VÁLIDO
Conforme a las observaciones realizadas el proponente NO cumple con la totalidad de los requisitos en el Anexo de Generalidades del Pliego de Condiciones, según lo dispuesto numeral 3.4.1 EXPERIENCIA,  el cual solicita : 
¿EN CASO DE FIGURA ASOCIATIVA, CADA UNO DE LOS INTEGRANTES CUMPLE CON LO ESTABLECIDO DENTRO DE LA NOTA GENERAL 6 DEL NUMERAL 3.4.1.?
“Cada uno de los integrantes que conforman la Figura asociativa deberá acreditar por lo menos un (1) contrato de los citados en las condiciones anteriores descritas, cuyo valor debe ser igual o superior al 10% del presupuesto oficial, expresado en SMMLV del año de cierre del proceso de selección. Para efectos de la acreditación de la experiencia se tomarán los valores expresados en SMMLV del año de cierre del proceso de selección.” 
El integrante que no cumple esta condición es INCOSA SUCURSAL COLOMBIA
</t>
  </si>
  <si>
    <t>El proponente  aporta 3 contratos válidos para acreditar experiencia según lo solicitado en el Anexo de generalidades al Pliego de Condiciones, con lo cual el proponente recibe la calificación en los aspectos técnicos de HÁBIL.
No aplica solicitud de subsane</t>
  </si>
  <si>
    <t xml:space="preserve">Agencia NacIonal de Infraestructura - ANI </t>
  </si>
  <si>
    <t>015 del 2 de febrero de 2015</t>
  </si>
  <si>
    <t xml:space="preserve">Interventoría a los estudios y diseños definitivos, financiación, gestión, ambiental, predial y social, construcción, mejoramiento, rehabilitación, operación, mantenimiento y reversión de la Concesión Autopista Conexión Norte, del proyecto "Autopistas para la Prosperidad" </t>
  </si>
  <si>
    <t xml:space="preserve">Instituto de Desarrollo Urbano - IDU </t>
  </si>
  <si>
    <t xml:space="preserve">N.A. </t>
  </si>
  <si>
    <t xml:space="preserve">Interventoría técnica, administrativa, financiera, legal, social y ambiental, para la construcción de la Avenida Laureano Gómez (AK 9) desde Av. San Juan Bosco (AC 170) hasta la Av. Cedritos (AC-147) y construcción de la calzada sur de la Av. San José desde Av. Boyaá - hasta Av. Cota (AK 91), correspondientes a las obras con código de obra 101 y 107 del acuerdo 180 de 2005 de valorización en Bogotá D.C. </t>
  </si>
  <si>
    <t>Coordinación de Concesiones de Obras
Públicas
Ministerio de Obras Públicas</t>
  </si>
  <si>
    <t>Asesoría a la Inspección Fiscal a la Concesión Internacional Interconexión Vial Santiago - Valparaiso - Viña del Mar</t>
  </si>
  <si>
    <t>Asesoria a la inspección fiscal Concesión Internacional Sistema Americo Vespucio Nor-Poniente, Av. El Salto - Ruta 78, Región Metropolitana</t>
  </si>
  <si>
    <t xml:space="preserve">Asesoría a la Inspección Técnica a la explotación de Obras Concesionadas Zona Centro - Norte </t>
  </si>
  <si>
    <t xml:space="preserve">Asesoria a la inspección fiscal Concesión Red Vial Litoral Central </t>
  </si>
  <si>
    <t>Aerocivil</t>
  </si>
  <si>
    <t>14000155-OK-2014</t>
  </si>
  <si>
    <t>Realizar la interventoría técnico, administrativo, financiero, contable y jurídico a los Contratos de obra que se adelantaran en los diferentes aeropuertos de Colombia, de conformidad con los grupos 1 y 2.(Adjudicación Parcial Grupo N°2). Incluye el proceso para la construcción de obras para el AEROPUERTO PALONEGRO DE LEBRIJA DE BUCARAMANGA.</t>
  </si>
  <si>
    <t xml:space="preserve">
EUSKAL TRENBIDE SAREA</t>
  </si>
  <si>
    <t>C22002034</t>
  </si>
  <si>
    <t>Coordinación y seguimiento de proyectos y obras de plataforma de la nueva red ferroviaria del País Vasco en el territorio de Gipuzkoa</t>
  </si>
  <si>
    <t>SEA-15-2012</t>
  </si>
  <si>
    <t>Interventoría técnica, administrativa, financiera, ambiental, operativa, jurídica al plan de inversiones de los contratos de concesión Portuaria No. 006 de 1993 009 de 1994 y 003 de 2008. Construccion y Operación</t>
  </si>
  <si>
    <t>GOBERNACION NAVARRA</t>
  </si>
  <si>
    <t>Asistencia Técnica para las obras de la Autovía del Ebro A-68, desdoblamiento N-232: tramo 1 Castejón-Tudela y tramo 4 Buñuel-Cortés</t>
  </si>
  <si>
    <t>19001421 H3 de 2019</t>
  </si>
  <si>
    <t>Interventoría integral a la rehabilitación de la pista y calle de rodaje; adecuación de canales y zonas de seguridad y mantenimiento rutinario de las áreas lado aire y lado tierra del aeropuerto Alfonso López Pumarejo de Valledupar, Cesar</t>
  </si>
  <si>
    <t>04-0197-0-01 DE 2001</t>
  </si>
  <si>
    <t>Interventoría técnica, administrativa, financiera y operativa al contrato de concesión para la rehabilitación, conservación, operación y explotación de la red férrea del atlántico.</t>
  </si>
  <si>
    <t>TRANSMILENIO S.A</t>
  </si>
  <si>
    <t>384 DE 2015</t>
  </si>
  <si>
    <t>REALIZAR LA INTERVENTORÍA TÉCNICA, ADMINISTRATIVA Y FINANCIERA DEL CONTRATO MEDIANTE EL CUAL SE REALIZARÁN LAS OBRAS DE MANTENIMIENTO, REHABILITACIÓN Y MEJORAMIENTO DE LA INFRAESTRUCTURA DEL SISTEMA DE TRANSPORTE MASIVO, A CARGO DE LA EMPRESA DE TRANSPORTE DEL TERCER MILENIO – TRANSMILENIO S.A.</t>
  </si>
  <si>
    <t>SISTEMA DE AUTOPISTAS,  AEROPUERTOS, SERVICIOS CONEXOS Y  AUXILIARES DEL ESTADO DE  MEXICO (SAASCAEM)</t>
  </si>
  <si>
    <t>Sin número</t>
  </si>
  <si>
    <t>Supervisión Técnica, Administrativa y el control de calidad de la obra civil de la Segunda Fase del Sistema Carretero Oriente del Estado de México, que incluye los Tramos y longitudes: Peñón Texcoco - Bordo Xochiaca 6.6 km y Canal de la Compañía - Autopista México Puebla 30.3 km, así como las siguientes estructuras: entronques 3, Puentes 19, Piv 14, Psv 15, Pip 2.</t>
  </si>
  <si>
    <t>Supervisión Técnica, administrativa y el control de calidad de la obra civil de la primera fase del Sistema Carretero Oriente del Estado de Mexico, que incluye la supervisión y seguimiento al proyecto ejecutivo, asi como la supervisión técnica y administrativa de los tramos Jorobas- Los reyes (32 km), Los Reyes -Av. Central ( 4 km) y Av. Central - Autopista Peñón -  Texcoco (15.6 km), incluido en este último el denominado "Ramal Periférico" de 1.6 km, que incluyen 43 estructuras, consistentes en 5 viaductos, 10 pasos inferiores vehiculares (PIV), 23 pasos superiores vehiculares (PSV) y puentes, 3 cajones, y 2 puentes sobre ferrocarril".</t>
  </si>
  <si>
    <t>EMPRESAS PÚBLICAS DE
MEDELLIN</t>
  </si>
  <si>
    <t>016-2009</t>
  </si>
  <si>
    <t>SERVICIOS DE INTERVENTORÍA (SUPERVISIÓN) DURANTE LA CONSTRUCCIÓN DE LAS OBRAS DE INFRAESTRUCTURA DEL PROYECTO HIDROELECTRICO ITUANGO Y LA PRESTACIÓN DE LOS SERVICIOS COMPLEMENTARIOS REQUERIDOS POR LAS EMPRESAS ASOCIADOS CON LA GESTIÓN DEL ALCANCE, CALIDAD, TIEMPO Y COSTOS DE LAS OBRAS INTERVENIDAS, DE ACUERDO CON LOS DOCUMENTOS DEL CONTRATO EL CUAL EJECUTÓ EN EL ÁREA DE INFLUENCIA DEL PROYECTO EN LOS MUNICIPIOS DE SAN ANDRES DE CUERQUIA, TOLEDO, ITUANGO Y BRICEÑO DEPARTAMENTO DE ANTIOQUIA, REPUBLICA DE COLOMBIA</t>
  </si>
  <si>
    <t>3/DJ-9933/77</t>
  </si>
  <si>
    <t>INTERVENTORIA DE LAS OBRAS DE INFRAESTRUCTURA PARA EL PROYECTO HIDROELECTRICO PORCE I</t>
  </si>
  <si>
    <t>DISTRITO DE CARTAGENA
DISTRITAL</t>
  </si>
  <si>
    <t>VAL-04-26-99</t>
  </si>
  <si>
    <t>INTERVENTORÍA INTEGRAL TÉCNICA, ADMINISTRATIVA, AMBIENTAL Y FINANCIERA DE LA EJECUCIÓN DEL CONTRATO DE CONCESIÓN DEL PROYECTO CORREDOR DE ACCESO RAPIDO A LA VARIANTE DE CARTAGENA</t>
  </si>
  <si>
    <t>DPS</t>
  </si>
  <si>
    <t>205 FIP DE 2019</t>
  </si>
  <si>
    <t>REALIZAR LA INTERVENTORÍA A LOS PROYECTOS DE INFRAESTRUCTURA SOCIAL Y MEJORAMIENTO DE CONDICIONES DE HABITABILIDAD DERIVADOS DE LOS CONVENIOS SUSCRITOS ENTRE PROSPERIDAD SOCIAL – FIP Y LAS ENTIDADES TERRITORIALES U OTROS OPERADORES, CON EL PROPÓSITO DE APORTAR A LA INCLUSIÓN SOCIOECONÓMICA, LA GENERACIÓN DE INGRESOS, LA SUPERACIÓN DE LA POBREZA LA CONSOLIDACIÓN DE TERRITORIOS DE LA ZONA 2</t>
  </si>
  <si>
    <t>AGENCIA NACIONAL DE
INFRAESTRUCTURA - AN</t>
  </si>
  <si>
    <t xml:space="preserve">93 de 2012 </t>
  </si>
  <si>
    <t>La interventoría integral del Contrato de Concesión, que incluye pero no se limita a la interventoría técnica, financiera, contable, jurídica, medio ambiental, socio – predial, operativa y administrativa, del Contrato de Concesión No. 377 de 2002 y demás documentos que lo modifiquen, adicionen o complementen para la Concesión Briceño – Tunja – Sogamoso, así como regular los términos y condiciones bajo los cuales la AGENCIA pagará al Interventor de forma mensual la contraprestación ofrecida por el Interventor y aceptada por la AGENCIA durante el Concurso de Méritos Abiertos consistente en una suma global.</t>
  </si>
  <si>
    <t>FONDO ADAPTACIÓN</t>
  </si>
  <si>
    <t>137-2014</t>
  </si>
  <si>
    <t>INTERVENTORÍA INTEGRAL DE LAS OBRAS DE RECONSTRUCCIÓN Y ESTABILIZACIÓN DE SITIOS CRÍTICOS EN LA VÍA CÚCUTA - PAMPLONA.</t>
  </si>
  <si>
    <t>090 de 2012</t>
  </si>
  <si>
    <t>REALIZAR LA INTERVENTORÍA INTEGRAL QUE INCLUYE PERO NO SE LIMITA A LA INTERVENTORÍA TÉCNICA, JURÍDICA, ADMINISTRATIVA, FINANCIERA, OPERATIVA, PREDIAL Y SOCIO-AMBIENTAL DEL CONTRATO DE CONCESIÓN No. 006 de 2007. PARA LA CONCESIÓN ÁREA METROPOLITANA DE CÚCUTA, CONCESIONARIA SAN SIMÓN S.A.</t>
  </si>
  <si>
    <t>Consejería Carreteras
Castilla La Mancha</t>
  </si>
  <si>
    <t>Consultoría y Asistencia Técnica para la Dirección de Obra, Control y Vigilancia durante la ejecución de las Obras de la Autovía de La Sagra Tramo 1: A-5 en Valmojado - A-42 en Illescas (Toledo)</t>
  </si>
  <si>
    <t>AENA</t>
  </si>
  <si>
    <t>Asistencia Técnica para la Redacción de Proyectos y
Asistencia Técnica para Dirección de Obra y Control y Vigilancia de Proyectos de Edificación en varios aeropuertos.</t>
  </si>
  <si>
    <t xml:space="preserve">Oficina Regional de Gestión de Construcción de  Seúl </t>
  </si>
  <si>
    <t>COREA</t>
  </si>
  <si>
    <t>Supervisión de Supervisión responsable total sobre la obra de construccion de la carretera Toegyewon -  Jinjeob</t>
  </si>
  <si>
    <t xml:space="preserve">Oficina de Gestión Territorial Rural de Iksan </t>
  </si>
  <si>
    <t xml:space="preserve">Supervisión de Supervisión responsable total sobre la obra de ampliación y pavimentación de la carretera entre Munnae – Haenam </t>
  </si>
  <si>
    <t>Sede Construcción de Metro Metropolitano Seul</t>
  </si>
  <si>
    <t>Servicio de Supervisión Responsable Total sobre la
Línea No 9 del Metro Subterráneo de Seúl, sección 9-6</t>
  </si>
  <si>
    <t>469 del 1 de octubre de 2015</t>
  </si>
  <si>
    <t>Realizar la lnterventoría integral que incluye pero no se limita a la interventoría técnica, económica, financiera, contable, jurídica, administrativa, operativa, medio ambiental, y socio predial del contrato de concesión bajo el esquema de asociación público privada cuyo objeto es "Realizar los estudios y diseños definitivos, financiación, gestión ambiental, predial y social, construcción, mejoramiento, rehabilitación, operación, mantenimiento y reversión del corredor vial Bucaramanga - Barrancabermeja - Yondó".</t>
  </si>
  <si>
    <t>Administrador de Infraestructura Ferroviaria (ADIF)</t>
  </si>
  <si>
    <t>N.A.</t>
  </si>
  <si>
    <t>Servicios Para El Control Y Vigilancia De La Obra: Corredor Norte - Noroeste De Alta Velocidad. Línea De Alta Velocidad Madrid -  Galicia. Tramo: Zamora - Lubián. Subtramo: Perilla De Castro - Otero De Bodas</t>
  </si>
  <si>
    <t>UTE Sociedad Concesionaria Autovía De La Plata S.A. (Autoplata))</t>
  </si>
  <si>
    <t>Asesoría técnica y Dirección de obra en la fase de Construcción de la Autovía de la Plata (Benavente-Zamora)</t>
  </si>
  <si>
    <t>Servicios Para El Control Y Vigilancia De La Obra: Corredor Norte-Noroeste De Alta Velocidad. Línea De Alta Velocidad Madrid- Galicia. Tramo: Zamora - Lubian. Subtramo: Otero De Bodas - Cernadilla. Plataforma</t>
  </si>
  <si>
    <t>DERSA</t>
  </si>
  <si>
    <t>BRASIL</t>
  </si>
  <si>
    <t>3.578/06</t>
  </si>
  <si>
    <t>SERVICIOS TÉCNICOS DE INGENIERÍA DE APOYO A LA FISCALIZACIÓN Y SUPERVISIÓN DE LAS OBRAS Y SERVICIOS DE CONSTRUCCIÓN DEL TRAMO SUR DEL RODOANEL MÁRIO COVAS, ENTRE LA AV. PAPA JOÃO PAULO XXIII EN EL MUNICIPIO DE MAUÁ Y LA VÍA REGIS BITTENCOURT, COMPRENDIENDO EL LOTE 2 – DEL PILOTE 31.480 AL 31.825, INCLUYENDO LA INTERSECCIÓN CON LA VÍA ANCHIETA.</t>
  </si>
  <si>
    <t>SEA 020 de 2012</t>
  </si>
  <si>
    <t>INTERVENTORÍA INTEGRAL DEL CONTRATO DE CONCESIÓN NO. 008 DE 2010, CUYO OBJETO ES EL OTORGAMIENTO DE UNA CONCESIÓN, PARA QUE UN CONCESIONARIO REALICE POR SU CUENTA Y RIESGO LAS OBRAS NECESARIAS PARA LA CONSTRUCCIÓN, REHABILITACIÓN, AMPLIACIÓN, MEJORAMIENTO Y CONSERVACIÓN, SEGÚN CORRESPONDA DEL PROYECTO VIAL TRANSVERSAL DE LAS AMÉRICAS Y LA PREPARACIÓN DE LOS ESTUDIOS Y DISEÑOS DEFINITIVOS, LA GESTIÓN PREDIAL, SOCIAL Y AMBIENTAL, LA OBTENCIÓN Y/O MODIFICACIÓN DE LICENCIAS AMBIENTALES, AL FINANCIACIÓN, LA OPERACIÓN Y EL MANTENIMIENTO DE LAS OBRAS, EN EL CORREDOR VIAL "TRANSVERSAL DE LAS AMÉRICAS SECTOR 1", DENOMINADO CORREDOR VIAL DEL CARIBE.</t>
  </si>
  <si>
    <t>907-1989</t>
  </si>
  <si>
    <t>CONSULTORÍA, ASESORÍA E INTERVENTORÍA TÉCNICA Y ADMINISTRATIVA DE LAS OBRAS DE REHABILITACIÓN DE LOS SECTORES TIMBÍO - PIEDRASENTADA Y PIEDRASENTADA - MOJARAS DE LA CARRETERA PASTO - POPAYÁN</t>
  </si>
  <si>
    <t>SGC 012 2008</t>
  </si>
  <si>
    <t>INTERVENTORÍA TÉCNICA, FINANCIERA, OPERATIVA, PREDIAL, SOCIO - AMBIENTAL Y LEGAL DEL PROYECTO DE CONCESIÓN VIAL NO. 503 DE 1994. "CARTAGENA - BARRANQUILLA"</t>
  </si>
  <si>
    <t>IDU (Instituto de Desarrollo Urbano)</t>
  </si>
  <si>
    <t>174 DE 2007</t>
  </si>
  <si>
    <t>INTERVENTORÍA TÉCNICA, ADMINISTRATIVA, FINANCIERA, AMBIENTAL Y SOCIAL PARA LAS OBRAS DE CONSTRUCCIÓN Y TODAS LAS ACTIVIDADES NECESARIAS PARA LA ADECUACIÓN DE LA CALLE 26 (AVENIDA JORGE ELIÉCER GAITÁN) Y DE LA CARRERA 10ª (AVENIDA FERNANDO MAZUERA), AL SISTEMA TRANSMILENIO EN BOGOTÁ D.C. INCLUYE PUENTES.</t>
  </si>
  <si>
    <t>448 DE 2015</t>
  </si>
  <si>
    <t>Interventoría integral que incluye pero no se limita a la interventoría técnica, económica, financiera, contable, jurídica, administrativa, operativa, medio ambiental y socio predial del contrato de concesión bajo un esquema de asociación público privada de iniciativa pública que se derive del proceso licitarorio VJ-VE-IP-LP-017-2013 correspondiente al corredor denominado Santana - Mocoa - Neiva</t>
  </si>
  <si>
    <t>SECRETARIA DE INFRAESTRUCTURA, COMUNICACIONES Y TRANSPORTE</t>
  </si>
  <si>
    <t>DGTFM-08-15</t>
  </si>
  <si>
    <t>Supervisión, control y Certificación de auditoria independiente de Seguridad (ISA) de suministro, instalación y puesta en marcha del material rodante, señalización ferroviaria, sistemas de comunicaciones, centro de control, sistemas electromecánicos</t>
  </si>
  <si>
    <t>Instituto Nacional de Vías - INVIAS</t>
  </si>
  <si>
    <t>3795 DE 2013</t>
  </si>
  <si>
    <t>Interventoría para el mejoramiento de la carretera Palermo - Salamina, sector Palermo - sitio nuevo - Remolino - Guimaro, en el departamento de Magdalena</t>
  </si>
  <si>
    <t>SEA-070 DE 2012</t>
  </si>
  <si>
    <t>Interventoría integral que incluye pero no se limita a la interventoría técnica, económica, financiera, contable, jurídica, administrativa, operativa, medio ambiental y socio predial al contrato de concesión N° 503 de 1994 y demás documentos que los modifiquen, adicionen o complementen. Para la concesión vial Cartagena - Barranquilla vía al MAR ("Vía al Mar")</t>
  </si>
  <si>
    <t>Instituto Nacional de Conseciones - INCO</t>
  </si>
  <si>
    <t>0037 DE 2006</t>
  </si>
  <si>
    <t>Interventoría técnica, predial, socio ambieental y legal de la construcción de los tramos Capellana - Zipaquirá, variante Portachuelo y otras obras pertenecientes a contrato de concesión N° 0664 de 1994 "Desarrollo vial del norte Bogotá!</t>
  </si>
  <si>
    <t>ITALFERR S.P.A.</t>
  </si>
  <si>
    <t>ITALIA</t>
  </si>
  <si>
    <t>Servicios de ingenieria en el ámbito del Sistema Ferroviario Italiano de Alta Velocidad, relativos a los "Tramos" (Roma - Nápoles, Bolonia - Florencia y Mi lán - Verona) y a las "Penetraciones Urbanas"</t>
  </si>
  <si>
    <t>098 DE 3 DE SEPTIEMBRE DE 2014</t>
  </si>
  <si>
    <t>Interventoría de obra, que incluye pero no se limita a la Interventoría técnica, social, ambiental, predial, financiera, legal y administrativa de las obras derivadas del Otrosí No.1, correspondientes a la ejecución de las inversiones obligatorias, inversiones voluntarias, obras adicionales y obras de certificación asociadas al Contrato de Concesión No. 058-CON-2000, cuyo objeto es la administración, operación y explotación económica del área concesionada del aeropuerto Alfonso Bonilla Aragón de la ciudad de Palmira que sirve a la ciudad de Cali.</t>
  </si>
  <si>
    <t>BANCO INVEX, SA, INSTITUCIÓN DE BANCA MÚLTIPLE, INVEX GRUPO FINANCIERO</t>
  </si>
  <si>
    <t>Servicios profesionales de supervisión técnica y control de calidad respecto de la construcción del tramo 2 de la Autopista Los Remedios – Ecatepec y/o de sus diversas modificaciones</t>
  </si>
  <si>
    <t>CLP</t>
  </si>
  <si>
    <t>EUR</t>
  </si>
  <si>
    <t>MEX</t>
  </si>
  <si>
    <t>KRW</t>
  </si>
  <si>
    <t>BRL</t>
  </si>
  <si>
    <t>MXN</t>
  </si>
  <si>
    <t>34.912,21</t>
  </si>
  <si>
    <t>En el marco de la verificación de los documentos presentados dentro del proceso de selección, se evidenció que el Formato 4 – Experiencia fue allegado con un objeto que no corresponde al objeto del presente proceso, lo cual impide su correcta evaluación conforme a lo establecido en el pliego de condiciones.
En consecuencia, se solicita aclarar y ajustar el Formato 4 – Experiencia, indicando el objeto que sea consistente con el proceso de selección en curso y con la experiencia que se pretende acreditar, sin que ello implique la modificación o sustitución de la experiencia inicialmente presentada.
Sin perjuicio de que se subsane lo anterior, se realiza la evaluación técnica y se tiene que respecto a los contratos ANI se realizó la validación y se tiene que: 
Referente al contrato de orden N°1, Cuyo objeto es: “INTERVENTORÍA INTEGRAL QUE INCLUYE, PERO NO SE LIMITA A LA INTERVENTORÍA TÉCNICA, ECONÓMICA, FINANCIERA, CONTABLE, JURÍDICA, ADMINISTRATIVA, OPERATIVA, MEDIO AMBIENTAL Y SOCIO PREDIAL DEL CONTRATO DE CONCESIÓN BAJO EL ESQUEMA DE ASOCIACIÓN PÚBLICO PRIVADA DE INICIATIVA PRIVADA QUE SE DERIVE DEL PROCESO LICITATORIO VJ-VE-APP-IPV-004-2015 CORRESPONDIENTE AL PROYECTO DENOMINADO “CAMBAO – MANIZALES, CUYO OBJETO ES “REALIZAR LA OPERACIÓN MANTENIMIENTO Y REHABILITACIÓN DEL CORREDOR IBAGUÉ – ARMERO – MARIQUITA – HONDA Y LA FINANCIACIÓN, OPERACIÓN, MANTENIMIENTO, MEJORAMIENTO Y REHABILITACIÓN DEL CORREDOR EXISTENTE ENTRE CAMBAO – ARMERO – LÍBANO – MURILLO – LA ESPERANZA.”
De conformidad con lo establecido en el Anexo de Generalidades:
“1.10. GLOSARIO
Contrato Ejecutado o Contrato Terminado: Para efectos de acreditación de experiencia, aquellos en los que su objeto y obligaciones se encuentran ejecutadas y recibidas a satisfacción por parte del contratante y se soportan en los documentos de recibo a satisfacción y/o liquidación. En caso de que el acta de liquidación y/o recibo a satisfacción contenga salvedades u obligaciones pendientes a cargo del contratista, se dará el tratamiento a las reglas establecidas para Contratos en ejecución”
“3.4.1.3. ACREDITACIÓN DE EXPERIENCIA DE CONTRATOS EN EJECUCIÓN:
(…)
(iv) Para efectos de evaluación, únicamente para los contratos en ejecución suscritos con la Agencia Nacional de Infraestructura, se realizará la conversión a SMMLV efectivamente pagado en pesos corrientes; valores tomados de la información que certifiquen internamente las Vicepresidencias a cargo de cada contrato, con la fecha de corte del último pago realizado y certificado por la ANI. Para tal fin, el oferente deberá anunciar la experiencia que pretende acreditar en el Formato No. 4 de experiencia, sin aportar la certificación y, por lo mismo, se tomará el valor certificado por la ANI.
(v) Para la acreditación de la experiencia de contratos en ejecución en el certificado de experiencia debe verificarse el valor facturado y pagado antes del cierre del Proceso de Contratación y las demás condiciones establecidas por la Entidad que permitan conocer las actividades realizadas y el respectivo valor. (…)” 
Si bien la experiencia acreditada con la Agencia Nacional de Infraestructura es válida, es preciso indicarle al oferente que se realiza un ajuste en el valor facturado del contrato y se da tratamiento al mismo como contrato en Ejecución, conforme a lo certificado por la Vicepresidencia encarga del respectivo contrato que indica:
Frente al estado del contrato: Salvedades u obligaciones pendientes (X)
Valor reportado VEJ:
“Valor Pagado en Pesos Corrientes (Acumulado) antes del 09 de marzo de 2026” el valor acumulado facturado asciende a $ 38.043.035.658 pesos corrientes, fecha de ultimo pago 9/01/2026, Radicado ANI No.: 20265000069213
El respectivo ajuste se evidencia en la matriz de evaluación técnica.
El referido memorando, junto con la respuesta emitida, así como el informe de evaluación preliminar es objeto de publicación en la Plataforma SECOP II
Radicado ANI No.: 20265000069213 (25-03-2026)
Por otro lado, respecto al contrato de orden 2 cuyo objeto es “INTERVENTORÍA INTEGRAL QUE INCLUYE, PERO NO SE LIMITA A LA INTERVENTORÍA TÉCNICA, ECONÓMICA, CONTABLE, FINANCIERA, JURÍDICA, ADMINISTRATIVA, AFORO Y RECAUDO, OPERATIVA, MEDIO AMBIENTAL, SOCIAL, PREDIAL, JURÍDICO PREDIAL Y RIESGOS DEL CONTRATO DE CONCESIÓN No. 0113 DE 1997, SUSCRITO ENTRE LA AGENCIA Y AUTOPISTAS DEL CAFÉ S.A. PROYECTO DESARROLLO VIAL ARMENIA PEREIRA MANIZALES”  la VEJ ha manifestado mediante correo electrónico que “objeto de interventoría para obras de construcción y mejoramiento (…) Este contrato se encuentra terminado y recibido a satisfacción, sin obligaciones pendientes, está en liquidación.(…)” por lo tanto, se toma el valor del RUP de acuerdo a lo que indica el pliego de condiciones. 
Así las cosas, con los 3 contratos aportados no es posible acreditar la experiencia según lo solicitado en el anexo de generalidades del pliego de condiciones toda vez que no se cumple con la nota general 5 que menciona: 
“(…) Nota General 5: Para proponentes plurales, al menos uno de los integrantes de la figura asociativa deberá acreditar como mínimo el 51% de la experiencia solicitada (…)”
Lo anterior, teniendo en cuenta que para el proceso en curso este 51% corresponde a 20.237,16 SMMLV y el integrante INGENIERÍA DE PROYECTOS S.A.S. aporta 18.723 SMMLV e INGENIEROS CIVILES ESPECIALISTAS S.A.S. aporta 18.617,02 SMMLV</t>
  </si>
  <si>
    <t>De conformidad con lo establecido en el Anexo de Generalidades:</t>
  </si>
  <si>
    <t>“1.10. GLOSARIO</t>
  </si>
  <si>
    <t>Contrato Ejecutado o Contrato Terminado: Para efectos de acreditación de experiencia, aquellos en los que su objeto y obligaciones se encuentran ejecutadas y recibidas a satisfacción por parte del contratante y se soportan en los documentos de recibo a satisfacción y/o liquidación. En caso de que el acta de liquidación y/o recibo a satisfacción contenga salvedades u obligaciones pendientes a cargo del contratista, se dará el tratamiento a las reglas establecidas para Contratos en ejecución”</t>
  </si>
  <si>
    <t>En virtud del principio de primacía de lo sustancial sobre lo formal y de conformidad con los documentos aportados en la oferta, es posible validar el cumplimiento del requisito correspondiente a los criterios de MIPYMES, nómina de personas con discapacidad y criterio diferencial para emprendimientos y empresas de mujeres</t>
  </si>
  <si>
    <t>Referente al Contrato de Orden No. 2 identificado como SEA-057 - 2012, cuyo objeto es: INTERVENTORÍA TÉCNICA, FINANCIERA, CONTABLE, JURÍDICA, MEDIOAMBIENTAL, SOCIO-PREDIAL, ADMINISTRATIVA, DE SEGUROS, OPERATIVA Y DE MANTENIMIENTO DEL CONTRATO DE CONCESIÓN, EL CUAL HACE PARTE DEL PROYECTO VIAL RUTA DEL SOL Y QUE CORRESPONDE AL SECTOR 3 COMPRENDIDO ENTRE SAN ROQUE – YE DE CIÉNAGA Y VALLEDUPAR – CARMEN DE BOLÍVAR.
De conformidad con lo establecido en el Anexo de Generalidades: 
“1.10. GLOSARIO
Contrato Ejecutado o Contrato Terminado: Para efectos de acreditación de experiencia, aquellos en los que su objeto y obligaciones se encuentran ejecutadas y recibidas a satisfacción por parte del contratante y se soportan en los documentos de recibo a satisfacción y/o liquidación. En caso de que el acta de liquidación y/o recibo a satisfacción contenga salvedades u obligaciones pendientes a cargo del contratista, se dará el tratamiento a las reglas establecidas para Contratos en ejecución”
“3.4.1.3. ACREDITACIÓN DE EXPERIENCIA DE CONTRATOS EN EJECUCIÓN:
(…)
(iv) Para efectos de evaluación, únicamente para los contratos en ejecución suscritos con la Agencia Nacional de Infraestructura, se realizará la conversión a SMMLV efectivamente pagado en pesos corrientes; valores tomados de la información que certifiquen internamente las Vicepresidencias a cargo de cada contrato, con la fecha de corte del último pago realizado y certificado por la ANI. Para tal fin, el oferente deberá anunciar la experiencia que pretende acreditar en el Formato No. 4 de experiencia, sin aportar la certificación y, por lo mismo, se tomará el valor certificado por la ANI.
(v) Para la acreditación de la experiencia de contratos en ejecución en el certificado de experiencia debe verificarse el valor facturado y pagado antes del cierre del Proceso de Contratación y las demás condiciones establecidas por la Entidad que permitan conocer las actividades realizadas y el respectivo valor. (…)” 
Si bien la experiencia acreditada con la Agencia Nacional de Infraestructura es válida, es preciso indicarle al oferente que se realiza un ajuste en el valor facturado del contrato y se da tratamiento al mismo como contrato en Ejecución, conforme a lo certificado por la Vicepresidencia encarga del respectivo contrato que indica:
Frente al estado del contrato: Salvedades u obligaciones pendientes (X)
“Valor Pagado en Pesos Corrientes (Acumulado) antes del 09 de marzo de 2026 el valor acumulado facturado asciende a $ 102.465.836.655 pesos corrientes, último pago 13/01/2023. 
El respectivo ajuste se evidencia en la matriz de evaluación técnica remitida mediante memorando No. 20265000069213 del 25/03/2026. 
El referido memorando, junto con la respuesta emitida, así como el informe de evaluación preliminar es objeto de publicación en la Plataforma SECOP II</t>
  </si>
  <si>
    <t>Referente al contrato de orden N°5 aportado por el proponente  CONSORCIO RUTA NACIONAL DEL SUR, cuyo objeto es: INTERVENTORÍA TÉCNICA, ADMINISTRATIVA, FINANCIERA, LEGAL, SOCIAL Y AMBIENTAL PARA LA CONSTRUCCIÓN DE LA CALZADA SUR DE LA AVENIDA LA SIRENA (CALLE 153) DESDE LA AVENIDA PASEO DE LOS LIBERTADORES (AUTOPISTA NORTE) HASTA LA AVENIDA BOYACÁ EN BOGOTÁ D.C".
Frente a la experiencia acreditada por el oferente, no se puede constatar el cumplimiento a lo establecido en el Anexo de Generalidades, toda vez que, frente a un proyecto de infraestructura de transporte vial, este debe cumplir con las definiciones indicadas en el numeral 1.10 GLOSARIO ESPECÍFICO: “ (…)  “Infraestructura de Transporte Vial”: Son: a) Las obras de infraestructura de carreteras pavimentadas con un ancho de carril mayor o igual a 3.50 metros, que incluyan obras de Drenaje; ó b) Las obras de infraestructura de carreteras primarias pavimentadas que cumplen la función básica de integración de ciudades o localidades entre sí, y/o conexión con zonas portuarias o fronterizas; y/o las obras de infraestructura de carreteras secundarias pavimentadas que unen cabeceras municipales entre sí y/o que provienen de una cabecera municipal y conectan con una carretera primaria; ó c.) Las obras de infraestructura de vías urbanas, que en su construcción tengan pavimentos rígidos y/o flexibles. Para el caso de vías urbanas serán aquellas que se consideren de la malla vial arterial. (…). 
Acorde a lo anterior, dentro de la documentación aportada no se evidencia documento donde se identifique que dicho proyecto que corresponda a ser de Infraestructura de transporte vial que cumpla alguna de las dos (3) condiciones indicadas en el numeral 1.10. Glosario específico, literal: a) Las obras de infraestructura de carreteras pavimentadas con un ancho de carril mayor o igual a 3.50 metros, que incluyan obras de Drenaje, o la condición b) Las obras de infraestructura de carreteras primarias pavimentadas que cumplen la función básica de integración de ciudades o localidades entre sí, y/o conexión con zonas portuarias o fronterizas; y/o las obras de infraestructura de carreteras secundarias pavimentadas que unen cabeceras municipales entre sí y/o que provienen de una cabecera municipal y conectan con una carretera primaria. Siendo que para la condición b) de carreteras primarias y/o carreteras, ó c.) Las obras de infraestructura de vías urbanas, que en su construcción tengan pavimentos rígidos y/o flexibles. Para el caso de vías urbanas serán aquellas que se consideren de la malla vial arterial. 
(…).   se requiere en el numeral 3.4.1 EXIGENCIA MÍNIMA DE LA EXPERIENCIA DEL PROPONENTE NOTA GENERAL 10, del anexo de generalidades del Pliego de Condiciones Definitivo, “Nota General 10: Frente a la acreditación de experiencia en infraestructura de transporte vial (Numeral 1.10 Glosario Específico),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Por lo anterior, el CONTRATO DE ORDEN N° 5 NO cumple con los requisitos establecidos en el Anexo de Generalidades al Pliego de Condiciones. Nota general 9. en el numeral 3.4.1.1., numeral 1.10 GLOSARIO ESPECÍFICO: “(…)  “Infraestructura de Transporte Vial; en literal c.) Las obras de infraestructura de vías urbanas, que en su construcción tengan pavimentos rígidos y/o flexibles. Para el caso de vías urbanas serán aquellas que se consideren de la malla vial arterial. (…).. ya que se intervienen vías urbanas en dicho contrato.</t>
  </si>
  <si>
    <t>SUBSANE PRESENTADO:
El proponente P38 proponente CONSORCIO RUTA NACIONAL DEL SUR documentos por medio de la plataforma transaccional del SECOP II, Referencia Proceso de Contratación VJ-VEJ-CM-002-2026, anexando los siguientes archivos:  
•	1. CONSORCIO NACIONAL DEL SUR  38. PDF.</t>
  </si>
  <si>
    <t xml:space="preserve">Durante el término de traslado, el proponente CONSORCIO RUTA NACIONAL DEL SUR, presentó subsanación mediante los documentosCONSORCIO NACIONAL DEL SUR  38., realizando aclaraciones y subsanaciones a lo referente a la oferta económica. De su propuesta:
En relación con el contrato de orden N° 5, se evidencia que el proponente no presentó aclaración alguna dentro del término establecido, conforme al documento aportado “1. CONSORCIO NACIONAL DEL SUR  38. PDF. En consecuencia, dicho contrato no cuenta con la información complementaria requerida para ser tenido en cuenta y validado como soporte de experiencia.
Por lo anterior, NO SE PRESENTA SUBSANACIÓN Y / O ACLARACIÓN EN LO REFERENTE A LA EXPERIENCIA DE LA CERTIFICACIÓN AL CONTRATO OBSERVADO.
CALIFICACIÓN DEFINITIVA
De lo anterior, el contrato de orden 5, NO es Válido, para acreditar experiencia con la totalidad de los requisitos en el Anexo de Generalidades al Pliego de Condiciones. sin embargo, acredita experiencia por los contratos de orden 1, 2, 3 Y 4. Que se encuentra habilitados para acreditar experiencia.
Se determina que el proponente recibe la calificación técnica de   HÁBIL, debido a que este   cumple para acreditar experiencia en los contratos de orden 1, 2, 3 y 4: el incumplimiento del contrato de orden 3 no le permite acreditar la totalidad de la experiencia habilitante para ponderar en este contrato, conforme a lo establecido en el numeral 3.4.1. EXIGENCIA MÍNIMA DE LA EXPERIENCIA DEL PROPONENTE.
</t>
  </si>
  <si>
    <t>EL PROPONENTE P40 - CONSORCIO A1V2-SCAIN.
NO PRESENTA SUBSANE AL CONTRATO OBSERVADO:
Referente al contrato de orden N°1:  aportado por el proponente CONSORCIO A1V2-SCAIN.cuyo objeto es: CONTRATAR LA INTERVENTORÍA INTEGRAL QUE INCLUYE, PERO NO SE LIMITA A LA INTERVENTORÍA TÉCNICA, ECONÓMICA, FINANCIERA, CONTABLE, JURÍDICA, DE SEGUROS, ADMINISTRATIVA, OPERATIVA, SOCIAL, OBRA CIVIL Y MEDIO AMBIENTAL DE LOS CONTRATOS DE CONCESIÓN DERIVADOS DE LOS PROCESOS LICITATORIOS NO. TMSA-LP-01 DE 2018 Y NO. TMSA-LP-02 DE 2018</t>
  </si>
  <si>
    <t>El proponente no allegó subsanación ni aclaración respecto del contrato de orden 1; en consecuencia, dicho contrato no es válido para efectos de evaluación, por lo que no es susceptible de acreditación de experiencia ni de asignación de puntaje en el componente técnico.
No obstante, se mantiene como válido el contrato de orden 2, al evidenciar cumplimiento de las condiciones establecidas en el numeral 3.4 – Requisitos Habilitantes Técnicos.
En virtud de lo anterior, el proponente no cumple con la experiencia mínima exigida, por lo que se determina su condición de NO HABILITADO en el componente técnico, por incumplimiento de los requisitos habilitantes definidos en el citado numeral.
Como consecuencia de dicha condición, el proponente incurre en causal de RECHAZO, de conformidad con las reglas del proceso de selección.</t>
  </si>
  <si>
    <t>El proponente P41 CONSORCIO CORREDOR POPAYÁN ECI, remite documentos por medio de la plataforma transaccional del SECOP II, Referencia Proceso de Contratación VJ-VEJ-CM-002-2026, anexando los siguientes archivos:  
•	0 Respuesta Informe de Evaluación P41, PDF.
•	ANEXO 2.2 Clasificación Vial Primaria CDMX_.pdf
•	ANEXO 2.3 Ley Obras Publicas CDMX pdf.
•	ANEXO 2.4 Ley Transporte y Vialidad CDMX.pdf</t>
  </si>
  <si>
    <t>Durante el término de traslado, el proponente CONSORCIO CORREDOR POPAYÁN ECI, presentó subsanación mediante los documentos; •	0 Respuesta Informe de Evaluación P41, PDF, ANEXO 2.2 Clasificación Vial Primaria CDMX_.pdf, ANEXO 2.3 Ley Obras Publicas CDMX pdf., ANEXO 2.4 Ley Transporte y Vialidad CDMX.pdf. realizando Aclaraciones y subsanaciones a los siguientes contratos:
En relación con el Contrato de Orden N° 2, SE ACOGE SU ACLARACIÓN. Una vez verificada la aclaración presentada por el proponente, de conformidad con lo establecido en el numeral 3.4.1 – Exigencia mínima de la experiencia del proponente, y con base en las definiciones contenidas en el numeral 1.10 – Glosario específico, particularmente en lo referente a las definiciones de infraestructura vial, se precisa indicar que el anexo documentos PDF: de nombres - 	0 Respuesta Informe de Evaluación P41, PDF, ANEXO 2.2 Clasificación Vial Primaria CDMX_.pdf, ANEXO 2.3 Ley Obras Publicas CDMX pdf., ANEXO 2.4 Ley Transporte y Vialidad CDMX.pdf, describe el alcance de la Ley de transporte y viabilidad del distrito de la ciudad de México  - Articulo 91 por el cual se expide la categorización de las vías que conforman la red primaria de movilidad de las arterias principales vial en donde se valida la aclaración que las vías intervenidas en el certificado aportado para el Contrato de Orden No. 2, cuyo objeto corresponde a " SERVICIOS DE SUPERVISIÓN TÉCNICA, ADMINISTRATIVA Y FINANCIERA PARA LA CONSTRUCCIÓN DEL CORREDOR VIAL PARA El TRANSPORTE PÚBLICO LÍNEA 5 DEL METROBÚS SEGUNDA ETAPA, EN El EJE 3 ORIENTE EN El TRAMOSAN LÁZARO A LA PREPARATORIA NÚMERO 1 DE LA UNAM se encuentra directamente asociado a obras de vías de la malla vial arterial  de la ciudad de México , Por lo que se verifica y aclara en debida forma respecto al alcance de la definición de infraestructura Vial literal c).
En este sentido, y conforme a la validación técnica efectuada bajo la definición de infraestructura vial establecida en el Pliego de Condiciones, resulta aplicable lo dispuesto en el literal c) del glosario, el cual señala: “ Las obras de infraestructura de vías urbanas, que en su construcción tengan pavimentos rígidos y/o flexibles. Para el caso de vías urbanas serán aquellas que se consideren de la malla vial arterial.”
Bajo este marco normativo, la certificación aportada aclaro de manera expresa y verificable que las vías Urbanas  intervenidas en el contrato METROBUS certificado corresponden efectivamente a vías pertenecientes de la malla vial arterial, conforme a lo exigido en la definición antes citada, el análisis del documento aportado —identificado como ACLARACION\Anexo técnicos\Ley de Transporte y Vialidad del Distrito Federal ART 91.pdf; evidencia aclaración que permita determinar que el contrato de orden 2 cumple con el criterio de habilitación en cuanto al componente técnico de acuerdo con el anexo técnico del pliego de condiciones.
CALIFICACIÓN DEFINITIVA:
En Resumen, el contrato de orden N° 2, previamente observado, tiene validez, una vez presentada sus Aclaraciones; se consideran   hábil para acreditar la experiencia requerida. Adicionalmente, los contratos de orden N° 1,3,4 , 5 y 6 se ratifican como válidos y hábiles.
Una vez revisada y confirmada la experiencia mediante el documento ACLARACION\Anexo técnicos\Ley de Transporte y Vialidad del Distrito Federal ART 91.pdf; se determina que el proponente cumple con los requisitos de experiencia exigidos para cada componente, conforme al numeral 3.4 – Requisitos Habilitantes Técnicos, a través de los contratos de orden N° 1,2,3, 4, 5 y 6.
En consecuencia, el proponente obtiene la calificación técnica de HÁBIL y queda HABILITADO en lo correspondiente al componente técnico.</t>
  </si>
  <si>
    <t xml:space="preserve">El proponente a solicitado la revisión del Valor del contrato expresado en SMMLV del Contrato de Orden No. 3. Al respecto, se realizó la revisión de la observación solicitada y se validó nuevamente el valor del contrato expresado en SMMLV de la experiencia aportada en el RUP constantando el valor real. Así las cosas, se realiza el ajuste en el Contrato de Orden No. 3 y por ende el ajuste en el promedio en SMMLV de los contratos aportados. </t>
  </si>
  <si>
    <t xml:space="preserve">El proponente solicita que se corrija en la evaluación consolidada el valor del puntaje del Criterio  EMPRENDIMIENTOS Y EMPRESAS DE MUJERES toda vez que el si aportó la documentación tal y como lo acredita la evaluación de Desempate y Discapacidad. </t>
  </si>
  <si>
    <t xml:space="preserve">El proponente solicita incluir como validos los contratos de orden 4 y 5 en el promedio de los SMMLV.  No aplica o no procede la observación, ya que los contratos fueron incluidos en el cálculo del promedio en SMMLV de los contratos validos aportados.(en total 5) </t>
  </si>
  <si>
    <t xml:space="preserve">El proponente solicita que se corrija en la evaluación consolidada el valor del puntaje del Criterio  EMPRENDIMIENTOS Y EMPRESAS DE MUJERES toda vez que el si aportó la documentación tal y como lo acredita la evaluación de Desempate y Discapacidad. 
Se corrige el puntaje y se otorga el 0,25 correspondiente toda vez que el proponente en su propuesta inical aporto la certificación correspondiente. </t>
  </si>
  <si>
    <t xml:space="preserve">No Aplica </t>
  </si>
  <si>
    <r>
      <t xml:space="preserve">Mediante comunicación del proponente identificada (MAB-1C-027-26) presenta la siguiente subsanación: 
</t>
    </r>
    <r>
      <rPr>
        <b/>
        <sz val="11"/>
        <rFont val="Calibri"/>
        <family val="2"/>
        <scheme val="minor"/>
      </rPr>
      <t xml:space="preserve">
RESPUESTA OBSERVACIÓN – CONTRATOS DE ORDEN 5 y 7:
</t>
    </r>
    <r>
      <rPr>
        <i/>
        <sz val="11"/>
        <rFont val="Calibri"/>
        <family val="2"/>
        <scheme val="minor"/>
      </rPr>
      <t>"Con fundamento en los principios de transparencia, buena fe y selección objetiva que rigen la contratación estatal, nos permitimos manifestar que, por un error estrictamente humano en el diligenciamiento del Formato No. 4 – Experiencia, se relacionó de manera errónea el porcentaje de participación de los contratos de orden No.5 y No.7, situación que no impide la verificación en el RUP y en los documentos soportes de cada uno de los contratos para la acreditación de la experiencia solicitada en los documentos del proceso de la referencia.
Es importante precisar que dicha situación corresponde a un error meramente formal y no de fondo, por cuanto no altera ni modifica la información esencial ni los soportes que acompañan la oferta presentada, los cuales fueron allegados en debida forma y dentro del término de cierre del proceso. En consecuencia, la evaluación de la experiencia deberá realizarse con base en los documentos efectivamente aportados, correspondiente a las certificaciones de los contratos y el Registro único de Proponentes."</t>
    </r>
    <r>
      <rPr>
        <sz val="11"/>
        <rFont val="Calibri"/>
        <family val="2"/>
        <scheme val="minor"/>
      </rPr>
      <t xml:space="preserve">
</t>
    </r>
    <r>
      <rPr>
        <b/>
        <sz val="11"/>
        <rFont val="Calibri"/>
        <family val="2"/>
        <scheme val="minor"/>
      </rPr>
      <t xml:space="preserve">
RESPUESTA OBSERVACIÓN – CONTRATO DE ORDEN 6:</t>
    </r>
    <r>
      <rPr>
        <sz val="11"/>
        <rFont val="Calibri"/>
        <family val="2"/>
        <scheme val="minor"/>
      </rPr>
      <t xml:space="preserve">
Nos permitimos precisar que dentro de los documentos relacionados en nuestra oferta a fecha de cierre del concurso, se adjuntó certificación expedida por la Entidad Contratante en donde se relaciona todos los datos necesarios para la acreditación de la experiencia tal y como se solicita en el pliego de condiciones.</t>
    </r>
  </si>
  <si>
    <r>
      <t xml:space="preserve">De conformidad con la subsanación presentada por el Proponente para  los Contratos de </t>
    </r>
    <r>
      <rPr>
        <b/>
        <sz val="11"/>
        <rFont val="Calibri"/>
        <family val="2"/>
        <scheme val="minor"/>
      </rPr>
      <t xml:space="preserve">Orden 5 y 7 </t>
    </r>
    <r>
      <rPr>
        <sz val="11"/>
        <rFont val="Calibri"/>
        <family val="2"/>
        <scheme val="minor"/>
      </rPr>
      <t xml:space="preserve">se realizó la verificación y evaluación de los Contratos validando la experiencia y cumlimiento de estos en lo establecido en la Nota General9.
Para el </t>
    </r>
    <r>
      <rPr>
        <b/>
        <sz val="11"/>
        <rFont val="Calibri"/>
        <family val="2"/>
        <scheme val="minor"/>
      </rPr>
      <t>Contrato de Orden 6</t>
    </r>
    <r>
      <rPr>
        <sz val="11"/>
        <rFont val="Calibri"/>
        <family val="2"/>
        <scheme val="minor"/>
      </rPr>
      <t xml:space="preserve"> el proponente no realizó la aclaracion solicitada ya que en los documentos relacionados en la certificación aportada inicialmente no hace mención expresa a la Malla Vial Arterial tal como lo establece el numeral 3.4.1.1. CONSIDERACIONES ADICIONALES APLICABLES A LOS REQUISITOS HABILITANTES TÉCNICOS:  en el numeral 1.10 GLOSARIO ESPECÍFICO: “ (…)  “Infraestructura de Transporte Vial”: Son: a) Las obras de infraestructura de carreteras pavimentadas con un ancho de carril mayor o igual a 3.50 metros, que incluyan obras de Drenaje; ó b) Las obras de infraestructura de carreteras primarias pavimentadas que cumplen la función básica de integración de ciudades o localidades entre sí, y/o conexión con zonas portuarias o fronterizas; y/o las obras de infraestructura de carreteras secundarias pavimentadas que unen cabeceras municipales entre sí y/o que provienen de una cabecera municipal y conectan con una carretera primaria; ó c.) Las obras de infraestructura de vías urbanas, que en su construcción tengan pavimentos rígidos y/o flexibles. Para el caso de vías urbanas serán aquellas que se consideren de la malla vial arterial."</t>
    </r>
  </si>
  <si>
    <r>
      <t xml:space="preserve">Mediante comunicación presentada por el proponente con asunto </t>
    </r>
    <r>
      <rPr>
        <i/>
        <sz val="11"/>
        <rFont val="Calibri"/>
        <family val="2"/>
        <scheme val="minor"/>
      </rPr>
      <t xml:space="preserve">"RESPUESTA INFORME PRELIMINAR DE VERIFICACIÓN DE REQUISITOS HABILITANTES Y EVALUACIÓN DEL PROPONENTE No. 18 CONSORCIO INTERVIAL RJ." </t>
    </r>
    <r>
      <rPr>
        <sz val="11"/>
        <rFont val="Calibri"/>
        <family val="2"/>
        <scheme val="minor"/>
      </rPr>
      <t xml:space="preserve">realiza la aclaración sobre los </t>
    </r>
    <r>
      <rPr>
        <b/>
        <sz val="11"/>
        <rFont val="Calibri"/>
        <family val="2"/>
        <scheme val="minor"/>
      </rPr>
      <t>Contratos de Orden No. 4 y 5</t>
    </r>
    <r>
      <rPr>
        <sz val="11"/>
        <rFont val="Calibri"/>
        <family val="2"/>
        <scheme val="minor"/>
      </rPr>
      <t xml:space="preserve">, indicando: 
</t>
    </r>
    <r>
      <rPr>
        <i/>
        <sz val="11"/>
        <rFont val="Calibri"/>
        <family val="2"/>
        <scheme val="minor"/>
      </rPr>
      <t>"Lo anterior se encuentra debidamente respaldado en la certificación del contrato de orden No. 4 y 5 aportada por el proponente No. 18, en donde se identifica que el contrato del proyecto Segunda Calzada Calarcá – Cajamarca contempló la ejecución de obras de drenaje para la vía, como tubería de alcantarillado y cunetas, las cuales son intervenciones propias de la infraestructura vial, destinadas a garantizar la adecuada evacuación de aguas y la estabilidad de la carretera, evidenciando que corresponden a obras asociadas al desarrollo y mantenimiento de la red vial primaria."</t>
    </r>
    <r>
      <rPr>
        <sz val="11"/>
        <rFont val="Calibri"/>
        <family val="2"/>
        <scheme val="minor"/>
      </rPr>
      <t xml:space="preserve">
</t>
    </r>
    <r>
      <rPr>
        <b/>
        <sz val="11"/>
        <rFont val="Calibri"/>
        <family val="2"/>
        <scheme val="minor"/>
      </rPr>
      <t xml:space="preserve">
RESPUESTA CONTRATO DE ORDEN 7: </t>
    </r>
    <r>
      <rPr>
        <sz val="11"/>
        <rFont val="Calibri"/>
        <family val="2"/>
        <scheme val="minor"/>
      </rPr>
      <t>se presenta la demarcación de las vías intervenidas conforme al Mapa de la Malla Vial Integral, donde se evidencia que tanto la Avenida Laureano Gómez como la Avenida Santa Bárbara se encuentran clasificadas dentro de la Malla Vial Arterial de Bogotá D.C</t>
    </r>
  </si>
  <si>
    <r>
      <t xml:space="preserve">De conformidad con la aclaración presentada por el Proponente para  los Contratos de Orden 4, 5 y 7 se realizó la verificación y evaluación de los Contratos validando la experiencia cumpliendo así con la Nota General 9 que indica: 
</t>
    </r>
    <r>
      <rPr>
        <i/>
        <sz val="11"/>
        <rFont val="Calibri"/>
        <family val="2"/>
        <scheme val="minor"/>
      </rPr>
      <t>"Frente a la acreditación de experiencia en infraestructura de transporte vial (Numeral 1.10 Glosario Específico), literal b) y c) de la respectiva definición, el oferente deberá aportar en su oferta,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t>
    </r>
  </si>
  <si>
    <t>No se asigna puntaje, toda vez que el proponente no presenta formato que certifica  que acredita Emprendimiento y empresa mujer, por lo cual no cumple con el requisito establecido para la obtención del puntaje correspondiente a este criterio.</t>
  </si>
  <si>
    <t>Sobre la observación de que ninguno de los integrantes del consorcio, acredita el 51% de la experiencia solicitada, conforme a lo establecido en la Nota General 5 del ANEXO COMPLEMENTARIO AL PLIEGO DE CONDICIONES., nos permitimos remitir el contrato No. 1599 de 2021 suscrito entre INGENIEROS CIVILES ESPECIALISTAS S.A.S. y el INSTITUTO NACIONAL DE VIAS - INVIAS
(...)
En este sentido, allegamos el Formato 4 – Experiencia y sus anexos con la relación de dicho contrato. Cabe señalar que, este se aporta únicamente para efectos habilitantes; por lo tanto, la experiencia del CONSORCIO EVOLUCIÓN debe ser evaluada de la siguiente forma:
(...)
En resumen, la experiencia aportada por INGENIERIA DE PROYECTOS S.A.S. e INGENIEROS CIVILES ESPECIALISTAS S.A.S. corresponde a 18.723 SMMLV y 24.258,40 SMMLV, respectivamente, para efectos habilitantes.
Es menester mencionar que, el 51% de la experiencia solicitada, corresponde a 20.237,16 SMMLV; lo cual, se acredita con la experiencia del integrante INGENIEROS CIVILES ESPECIALISTAS S.A.S. (24.258,40 SMMLV).
Adicionalmente, dado que el Contrato No. 1599 de 2021 no se tiene en cuenta para ponderación, se mantiene que el promedio de los contratos válidos aportados por el CONSORCIO EVOLUCIÓN corresponde a 12.446,67 SMMLV.
Por lo anterior, se ha suministrado toda la información para acreditar el cumplimiento de la Nota General 5, del ANEXO COMPLEMENTARIO AL PLIEGO DE CONDICIONES.
Así las cosas, solicitamos comedidamente a la Entidad, otorgar la calificación de CUMPLE por este concepto al CONSORCIO EVOLUCION.</t>
  </si>
  <si>
    <t>Con las aclaraciones y subsanaciones presentadas por el proponente dentro del término de traslado del informe de evaluación preliminar, y de conformidad con lo establecido en el numeral 3.4. REQUISITOS HABILITANTES TÉCNICOS del pliego de condiciones, el cual dispone que:
“En caso de que con los contratos aportados no se acrediten los requisitos exigidos en este numeral, la AGENCIA solicitará al Proponente que subsane su Propuesta en los términos del numeral 1.6 del Pliego de Condiciones. Si el Proponente subsana el requisito mínimo de experiencia se habilitará en el Proceso de Contratación, pero no se tendrán en cuenta estos contratos para la asignación de puntaje. En otras palabras, el otorgamiento de puntaje se realizará con los contratos válidos allegados en su Propuesta y que no fueron objeto de subsanación por parte del Proponente”.
Así las cosas, con el contrato allegado en el término de traslado del informe de evaluación preliminar, el proponente logra acreditar el cumplimiento de la exigencia mínima de experiencia prevista en el numeral 3.4.1. EXIGENCIA MÍNIMA DE LA EXPERIENCIA DEL PROPONENTE, razón por la cual queda habilitado técnicamente dentro del proceso de selección.
No obstante, de conformidad con lo establecido en el pliego de condiciones, dicho contrato no será tenido en cuenta para la asignación de puntaje, por tratarse de un contrato aportado en etapa de subsanación. En consecuencia, la asignación del puntaje correspondiente al factor experiencia se realizará únicamente con base en los contratos válidos allegados con la propuesta inicial y que no fueron objeto de subsanación.</t>
  </si>
  <si>
    <t>Solicitamos respetuosamente se tenga en cuenta para efectos de la habilitación del proponente los contratos de orden 3 y 4 incluidos en el formato 4 METROCALI-MC-IT-01-2013 e INVIAS-1794 DE 2015 que demuestran que el proponente cuenta con la suficiente experticia para ejecutar el contrato derivado del proceso VJ-VEJ CM-002-2026 con presupuesto de 39680 smmlv. La suma de contratos de nuestra propuesta es de 42350,3 smmlv con lo cual se da cumplimiento a la nota general 3, sin que esto afecte la asignación de puntaje frente a  los contratos de orden 1 y 2, dado que no fueron objeto de subsanación.
De igual forma con los contratos aportados se está dando cumplimiento al numeral 3.4.1 de acreditación de experiencia mínima:</t>
  </si>
  <si>
    <t xml:space="preserve">Con las aclaraciones y subsanaciones presentadas por el proponente dentro del término de traslado del informe de evaluación preliminar, y de conformidad con lo establecido en el numeral 3.4. REQUISITOS HABILITANTES TÉCNICOS del pliego de condiciones, el cual dispone que:
“En caso de que con los contratos aportados no se acrediten los requisitos exigidos en este numeral, la AGENCIA solicitará al Proponente que subsane su Propuesta en los términos del numeral 1.6 del Pliego de Condiciones. Si el Proponente subsana el requisito mínimo de experiencia se habilitará en el Proceso de Contratación, pero no se tendrán en cuenta estos contratos para la asignación de puntaje. En otras palabras, el otorgamiento de puntaje se realizará con los contratos válidos allegados en su Propuesta y que no fueron objeto de subsanación por parte del Proponente”.
Así las cosas, con el contrato allegado en el término de traslado del informe de evaluación preliminar, el proponente logra acreditar el cumplimiento de la exigencia mínima de experiencia prevista en el numeral 3.4.1. EXIGENCIA MÍNIMA DE LA EXPERIENCIA DEL PROPONENTE, razón por la cual queda habilitado técnicamente dentro del proceso de selección.
No obstante, de conformidad con lo establecido en el pliego de condiciones, dicho contrato no será tenido en cuenta para la asignación de puntaje, por tratarse de un contrato aportado en etapa de subsanación. En consecuencia, la asignación del puntaje correspondiente al factor experiencia se realizará únicamente con base en los contratos válidos allegados con la propuesta inicial y que no fueron objeto de subsanación.
</t>
  </si>
  <si>
    <t>1599 de 2021</t>
  </si>
  <si>
    <t>INTERVENTORÍA TECNICA, LEGAL, ADMINISTRATIVA Y FINANCIERA PARA EL MANTENIMIENTO Y REHABILITACIÓN DE LA VÍA MOJARRAS - POPAYAN RUTA 2503 Y VARIANTE DE POPAYÁN - RUTA 25CCB Y PASTO-MOJARRAS, RUTA 2502, SECTOR CANO-MOJARRAS DEPARTAMENTOS DE CAUCA Y NARIÑO.</t>
  </si>
  <si>
    <t>METRO CALI SA</t>
  </si>
  <si>
    <t>COLOMBOA</t>
  </si>
  <si>
    <t>METROCALI-MC-IT-01-2013</t>
  </si>
  <si>
    <t>INTERVENTORÍA TÉCNICA, ADMINISTRATIVA, FINANCIERA, SOCIAL Y AMBIENTAL PARA LA ADECUACIÓN DE LA CONDICIÓN FUNCIONAL VIAL DE LOS CORREDORES PRETRONCALES Y ALIMENTADORES DEL SISTEMA INTEGRADO DE TRANSPORTE MASIVO SITM – MIO” GRUPOS 1, 2 Y 3 SANTIAGO DE CALI  ESPECIFICAMENTE EN LA ETAPA DE CONSTRUCCION Y PRECONSTRUCCION</t>
  </si>
  <si>
    <t>1794 de 2015</t>
  </si>
  <si>
    <t>INTERVENTORÍA PARA EL MEJORAMIENTO MEDIANTE LA CONSTRUCCIÓN, GESTIÓN PREDIAL, SOCIAL AMBIENTAL DEL NUEVO PUENTE DE HONDA SOBRE EL RIO MAGDALENA ENTRE LOS MUNICIPIOS DE HONDA Y PUERTO BOGOTÁ, EN LOS DEPARTAMENTOS DE CUNDINAMARCA Y TOLIMA. PARA EL PROGRAMA “VÍAS PARA LA EQUIDAD”</t>
  </si>
  <si>
    <t xml:space="preserve">El proponente P28 - CONSORCIO CORREDOR EP 2026, remite documentos por medio de la plataforma transaccional del SECOP II. </t>
  </si>
  <si>
    <t xml:space="preserve">El proponente P30 - CONSORCIO CONEXIÓN POPAYÁN, remite documentos por medio de la plataforma transaccional del SECOP II. </t>
  </si>
  <si>
    <t xml:space="preserve">CONTRATO ORDEN N°02
El proponente P 30, remite documentos por medio de la plataforma transaccional del SECOP II. Una vez revisada la información en los anexos, el proponente manifiesta en documento lo siguiente :
“(…)vías internas del sistema Transmilenio, y/o carriles exclusivos destinados para la operación de este...” 
Este elemento resulta determinante, en la medida en que los carriles exclusivos del sistema troncal hacen parte de los corredores estructurantes de transporte masivo, los cuales, por su naturaleza, se implementan sobre ejes viales de alta capacidad que soportan la movilidad principal de la ciudad. 
En el mismo sentido, la Secretaría Distrital de Movilidad ha definido estos carriles como infraestructura destinada prioritariamente al transporte público, implementada sobre corredores estratégicos de la ciudad, lo cual puede ser verificado en el siguiente enlace oficial: (…)”
Una vez revisada la información la entidad encuentra que lo informado aclara lo observado en lo referente al cumplimiento de la definición de infraestructura vial condición C del numeral 1.10. GLOSARIO, en el marco de las condiciones de experiencia requeridas por el numeral 3.4.1. EXPERIENCIA del anexo de generalidades.  
CALIFICACIÓN DEFINITIVA:
Teniendo en cuenta lo expuesto, el proponente aclara lo requerido en lo referente al contrato de ORDEN 2. Por tanto, es válido para acreditar experiencia.
El proponente se HABILITA.
</t>
  </si>
  <si>
    <t xml:space="preserve">
El proponente P32 - CONSORCIO ESTANQUILLO SCD, remite documentos por medio de la plataforma transaccional del SECOP II. </t>
  </si>
  <si>
    <t xml:space="preserve">
El proponente P32 - CONSORCIO ESTANQUILLO SCD, remite documentos por medio de la plataforma transaccional del SECOP II. 
“(…) En ese sentido, el contrato de orden No. 7 cumple plenamente con lo exigido en el citado literal, toda vez que corresponde a un contrato de interventoría en infraestructura de transporte, específicamente en el componente de infraestructura férrea de pasajeros o de carga, conforme a su objeto y alcance, lo cual además ha sido reconocido expresamente por la entidad al validarlo dentro de la matriz de evaluación.
En consecuencia, resulta procedente que dicho contrato sea considerado integralmente para todos los efectos de evaluación, incluyendo el cálculo del promedio en SMMLV. No obstante, se evidencia que el valor correspondiente no fue incorporado en dicho cálculo, pese a su validación.
Por lo anterior, solicitamos respetuosamente a la entidad realizar el ajuste correspondiente en el cálculo del promedio en SMMLV, incluyendo el valor del contrato de orden No. 7, el cual asciende a 16.040,60 SMMLV, afectado por el respectivo porcentaje de participación del proponente. (…)”
Una vez revisado lo expuesto, la entidad realiza la verificación correspondiente, evidenciando que se generó un error en la matriz preliminar, en el valor de los SMMLV del contrato ponderado.
Por lo, anterior, se ajusta la matriz, y el SMMLV del contrato ponderado : 16.040,60</t>
  </si>
  <si>
    <t xml:space="preserve">El proponente P33 - CONSORCIO GIS INFRAVISIÓN PACÍFICO, remite documentos por medio de la plataforma transaccional del SECOP II. </t>
  </si>
  <si>
    <t xml:space="preserve">RESPUESTA DE LA AGENCIA :
CONTRATO ORDEN N°03
El proponente P 33, remite documentos por medio de la plataforma transaccional del SECOP II. Una vez revisada la información en los anexos, el proponente manifiesta en documento lo siguiente :
“(…)
Por otra parte, se realizo la verificación en CATÁLOGO DE LA RED Y MAPA OFICIAL DE CARRETERAS del MINISTERTIO DE TRANSPORTE Y MOVILIDAD SOSTENIBLE de España, el cual puede ser consultado en el siguiente link: https://www.transportes.gob.es/carreteras/catalogo-y-evolucion-de-la-red-de-carreteras
El cual se da acceso al mapa de la red de carreteras de españa, así:
(…)
Como se evidencia en lo anterior, los 3 tramos intervenidos en el proyecto es la totalidad de la vía que conectan los Municipios de BENAVENTE y ZAMORA. Por esta razón hacemos hincapié que la vía intervenida da cumplimiento a la definición establecida en el GLOSARIO, obras de infraestructura de carreteras secundarias pavimentadas que unen cabeceras municipales entre si y/o que provienen de una cabecera municipal y conectan con una carretera primaria 
 (…)”
Una vez revisada la información la entidad encuentra que lo informado aclara lo observado en lo referente al cumplimiento de la definición de infraestructura vial condición B del numeral 1.10. GLOSARIO, en el marco de las condiciones de experiencia requeridas por el numeral 3.4.1. EXPERIENCIA del anexo de generalidades.  
CONTRATO ORDEN N°04
El proponente P 33, remite documentos por medio de la plataforma transaccional del SECOP II. Una vez revisada la información en los anexos, el proponente manifiesta en documento lo siguiente :
“(…)Teniendo en cuenta lo anterior, indicamos a la entidad valide nuevamente los soportes acreditados al momento del cierre, ya que el contrato de orden No. 4, hace parte de infraestructura Férrea (Linea de Alta Velocidad) 
(…)”
Una vez revisada la información la entidad encuentra que lo informado aclara lo observado en lo referente al cumplimiento de la definición de infraestructura de transporte, en el marco de las condiciones de experiencia requeridas por el numeral 3.4.1. EXPERIENCIA del anexo de generalidades.  
CONTRATO ADICIONAL
El proponente en el término del traslado presenta un contrato adicional, contrato ANI
Contrato 
624 del de 2019
Objeto 
“Realizar la interventoría integral que incluye, pero no se limita a la interventoría técnica, económico, financiera, contable, jurídica, social, predial, medio-ambiental, administrativa, de seguros, riesgos, operativa, mantenimiento, administrativos de aforo y recaudo y de gestión de calidad al contrato de concesión No. 008 de 2007 para la concesión vial 1 ruta caribe” .
Una vez revisada la experiencia aportada, se evidencia e informa que el contrato no cumple con la experiencia que se pretende acreditar, correspondiente al Literal A. Experiencia en Proyectos de Interventoría de Infraestructura de Transporte Vial.
Lo anterior, debido a que no cumple con la condición A del numeral 3.4.1. EXIGENCIA MÍNIMA DE LA EXPERIENCIA DEL PROPONENTE, que establece:
“a) Un (1) contrato debe ser de interventoría de proyectos que incluyan dentro de su objeto o alcance la construcción y/o mejoramiento y/o rehabilitación y/o reconstrucción y/o ampliación de obras de infraestructura de transporte vial.”
Lo anterior, toda vez que se elevó consulta a la Vicepresidencia Ejecutiva, la cual informó que dentro del alcance del contrato no se desarrollaron actividades de construcción, mejoramiento, rehabilitación, reconstrucción o ampliación. Por el contrario, el contrato de interventoría se ejecutó durante la fase de operación y mantenimiento, así como en parte de la liquidación del Contrato de Concesión.
Adicionalmente, en la certificación de la ANI aportada también se acreditan únicamente actividades de operación y mantenimiento, en los siguientes términos:
“Contempla las actividades y procesos de la Interventoría aplicables a la verificación de todos los productos y actividades de mantenimiento de la vía concesionada, la cual concluirá cuando se alcance el Ingreso Esperado o a más tardar el 30 de noviembre de 2022.”
Por lo anterior, la experiencia aportada no resulta válida para acreditar el cumplimiento del Literal A, en la medida en que no corresponde a un contrato de interventoría de proyectos que incluyan actividades de construcción, mejoramiento, rehabilitación, reconstrucción o ampliación de obras de infraestructura de transporte vial.
Además, si se pretendiera acreditar por la condición B o C, del numeral 3.4.1. 
Se debe tener en cuenta la nota general 12, del numeral 3.4.1. del pliego de condiciones
“Nota General 12: No serán validos los contratos cuyo alcance y/o actividades sean única y exclusivamente de interventoría de mantenimiento de proyectos de infraestructura de transporte.”
Además, conforme a lo informado por la Vicepresidencia ejecutiva el contrato se encuentra liquidado con Salvedades u obligaciones pendientes. Por tanto de conformidad con lo establecido en el Anexo de Generalidades:
“1.10. GLOSARIO
Contrato Ejecutado o Contrato Terminado: Para efectos de acreditación de experiencia, aquellos en los que su objeto y obligaciones se encuentran ejecutadas y recibidas a satisfacción por parte del contratante y se soportan en los documentos de recibo a satisfacción y/o liquidación. En caso de que el acta de liquidación y/o recibo a satisfacción contenga salvedades u obligaciones pendientes a cargo del contratista, se dará el tratamiento a las reglas establecidas para Contratos en ejecución”
“3.4.1.3. ACREDITACIÓN DE EXPERIENCIA DE CONTRATOS EN EJECUCIÓN:
(…)
(iv) Para efectos de evaluación, únicamente para los contratos en ejecución suscritos con la Agencia Nacional de Infraestructura, se realizará la conversión a SMMLV efectivamente pagado en pesos corrientes; valores tomados de la información que certifiquen internamente las Vicepresidencias a cargo de cada contrato, con la fecha de corte del último pago realizado y certificado por la ANI. Para tal fin, el oferente deberá anunciar la experiencia que pretende acreditar en el Formato No. 4 de experiencia, sin aportar la certificación y, por lo mismo, se tomará el valor certificado por la ANI.
(v) Para la acreditación de la experiencia de contratos en ejecución en el certificado de experiencia debe verificarse el valor facturado y pagado antes del cierre del Proceso de Contratación y las demás condiciones establecidas por la Entidad que permitan conocer las actividades realizadas y el respectivo valor. (…)” 
Si bien la experiencia acreditada con la Agencia Nacional de Infraestructura es válida, es preciso indicarle al oferente que se realiza un ajuste en el valor facturado del contrato y se da tratamiento al mismo como contrato en Ejecución, conforme a lo certificado por la Vicepresidencia encarga del respectivo contrato que indica:
Frente al estado del contrato: Liquidado con Salvedades u obligaciones pendientes ( X )
Valor reportado Vicepresidencia Ejecutiva ANI:
Valor Pagado en Pesos Corrientes (Acumulado) antes del 09 de marzo de 2026 el valor acumulado facturado asciende a $7.001.810.634,32, pesos corrientes, ultimo pago 23/06/2022. </t>
  </si>
  <si>
    <t xml:space="preserve">El proponente P34 - CONSORCIO INTERVENTOR ESTANQUILLO IEB, remite documentos por medio de la plataforma transaccional del SECOP II. </t>
  </si>
  <si>
    <t>CONTRATO ORDEN N°05
El proponente P 34, remite documentos por medio de la plataforma transaccional del SECOP II. Una vez revisada la información en los anexos, el proponente manifiesta en documento lo siguiente :
“(…)
Con el propósito de reforzar la naturaleza arterial del corredor intervenido como consta en la certificación aportada al momento de presentar la oferta y que es objeto de observación, solicitamos a la entidad que, en ejercicio de su facultad de verificación, consulte y corrobore la condición de vía arterial que tiene la Av Calle 26 en los siguientes portales de orden público y bajo el que se rige el desarrollo y ejecución de las obras en el Distrito Capital:
• El sistema oficial SIGIDU (https://webidu.idu.gov.co/sigidu/) toda vez que el pliego de condiciones indica en su numeral 3.4.1. – Nota 9: ...En caso de requerirse dicha información por parte de la entidad se considerará como una aclaración y en ningún caso como subsanación de la propuesta... Negrilla y cursiva por fuera del texto original (…)”
Una vez revisada la información la entidad encuentra que lo informado aclara lo observado en lo referente al cumplimiento de la definición de infraestructura vial condición C del numeral 1.10. GLOSARIO, en el marco de las condiciones de experiencia requeridas por el numeral 3.4.1. EXPERIENCIA del anexo de generalidades.  
CALIFICACIÓN DEFINITIVA:
Teniendo en cuenta lo expuesto, el proponente aclara lo requerido en lo referente al contrato de ORDEN 5. Por tanto, es válido para acreditar experiencia.
El proponente se HABILITA.</t>
  </si>
  <si>
    <t>624 2019</t>
  </si>
  <si>
    <t>Realizar la interventoría integral que incluye, pero no se limita a la interventoría técnica, económico, financiera, contable, jurídica, social, predial, medio-ambiental, administrativa, de seguros, riesgos, operativa, mantenimiento, administrativos de aforo y recaudo y de gestión de calidad al contrato de concesión No. 008 de 2007 para la concesión vial ruta caribe”1.</t>
  </si>
  <si>
    <t>EVALUACIÓN DEFINITIVA CONSOLIDADO PUNTAJE</t>
  </si>
  <si>
    <t xml:space="preserve">CONTRATO ORDEN N°02
El proponente P 28, remite documentos por medio de la plataforma transaccional del SECOP II. Una vez revisada la información en los anexos, el proponente manifiesta en documento lo siguiente :
“Así mismo, el objeto contractual establece de manera expresa la interventoría para la construcción de la Avenida Laureano Gómez (AK 9) y de la Avenida San José (AC 170), en el tramo comprendido entre la Avenida Boyacá y la Avenida Cota (AK 91), corredores viales de alta jerarquía dentro de la red urbana de Bogotá, diseñados para la movilidad de alto flujo vehicular y la integración de sectores estratégicos.
En este sentido, no se trata de vías locales ni de baja jerarquía, sino de infraestructura vial urbana de alto nivel, cuya naturaleza corresponde materialmente a la definición de malla vial arterial, conforme a los criterios técnicos de clasificación vial del Distrito.
De manera adicional, se aporta como prueba soporte la información oficial de la Malla Vial Integral de Bogotá D.C. (Año 2019), en la cual se identifica de manera expresa la Avenida Laureano Gómez (AK 9) con tipo de clasificación: Malla vial arterial, lo que constituye una verificación directa, objetiva y proveniente de fuente oficial de la condición exigida en el pliego.
(…)Ilustración 1: Fuente: Sistema de Información Geográfica del Distrito – Malla Vial Integral de Bogotá D.C. (2019). Disponible en: https://mapas.bogota.gov.co/  (…)”
Una vez revisada la información la entidad encuentra que lo informado aclara lo observado en lo referente al cumplimiento de la definición de infraestructura vial condición C del numeral 1.10. GLOSARIO, en el marco de las condiciones de experiencia requeridas por el numeral 3.4.1. EXPERIENCIA del anexo de generalidades.  
CONTRATO ORDEN N°03
El proponente P 28, remite documentos por medio de la plataforma transaccional del SECOP II. Una vez revisada la información en los anexos, el proponente manifiesta en documento lo siguiente :
“(…) Por otra parte, y conforme los datos oficiales del Ministerio de Obras Públicas de Chile, se deja en evidencia los mapas de carreteras que se pueden consultar dentro de la página principal, en formato ARCGIS y la clasificación de las mismas por todo el país. Sobre las vías intervenidas se tiene lo siguiente: (…)”
Una vez revisada la información la entidad encuentra que lo informado aclara lo observado en lo referente al cumplimiento de la definición de infraestructura de transporte vial. 
CALIFICACIÓN DEFINITIVA:
Teniendo en cuenta lo expuesto, el proponente aclara lo requerido en lo referente al contrato de ORDEN 2 Y ORDEN 3. Por tanto, es válido para acreditar experiencia.
El proponente se HABILITA técnicamente
</t>
  </si>
  <si>
    <t>Invias</t>
  </si>
  <si>
    <t>1912 de 2020</t>
  </si>
  <si>
    <t>Interventoría para las obras de mejoramiento y mantenimiento, gestión predial, social y ambiental sostenible de la carretera Duitama Pamplona en los departamentos de Boyacá, Santander y Norte de Santander, en marco del programa de obra publica "concluir y concluir para la reactivación de las regiones" Modulo 1</t>
  </si>
  <si>
    <t xml:space="preserve">SUBSANE PRESENTADO 29:
El proponente P29 - CONSORCIO DEL SUR SEG - SAITEC - INCOPLAN, remite documentos por medio de la plataforma transaccional del SECOP II. 
RESPUESTA DE LA AGENCIA :
El proponente P 29, remite documento :
“FORMATO 4. EXPERIENCIA_subsanado_vf.pdf” en el término del traslado por medio de la plataforma transaccional del SECOP II.
Una vez revisada la información remitida, se evidencia la presentación de un nuevo Formato 4, en el cual se elimina el contrato de orden 4, denominado “Asistencia Técnica para las obras de la Autovía del Ebro A-68, desdoblamiento N-232: tramo 1 Castejón-Tudela y tramo 4 Buñuel-Cortés”, y se aporta un nuevo contrato.
1912 de 2020 :
“Interventoría para las obras de mejoramiento y mantenimiento, gestión predial, social y ambiental sostenible de la carretera Duitama Pamplona en los departamentos de Boyacá, Santander y Norte de Santander, en marco del programa de obra publica "concluir y concluir para la reactivación de las regiones" Modulo 1”
Se aclara que el nuevo contrato aportado es válido, pero NO pondera conforme al numeral 4.2.1. EXPERIENCIA PONDERABLE DEL PROPONENTE, litera A y B.
“A. El Proponente cumplirá con la exigencia mínima de experiencia prevista en el numeral 3.4.1 del Pliego de Condiciones. De acuerdo con lo anterior, si el Proponente debió subsanar el cumplimiento de la experiencia mínima, para la asignación de puntaje no se tendrán en cuenta los Contratos que hayan sido objeto de subsanación ni para definir el promedio de los Contratos válidos aportados que se refiere el literal B) de este numeral.
Cuando un Proponente haya subsanado la totalidad de los Contratos aportados, su Propuesta no será tenida en cuenta para aplicar las fórmulas para la ponderación de la experiencia del Proponente, por lo que, además, por este criterio de asignación de puntaje obtendrá cero (0) puntos.
B. Para la asignación de puntaje, se tomará el promedio de los Contratos válidos aportados de cada Propuesta hábil expresados en SMMLV registrados en el Registro Único de Proponentes (RUP) o en alguno de los documentos válidos señalados en el literal I del numeral 3.4.1.1, que acredite su experiencia relacionada en el RUP, y que en total hayan cumplido con lo mencionado en el literal A de esta sección. Dicho promedio será el valor que lo hará participar para la asignación del puntaje, según se detalla en esta sección. En caso de Contratos que se encuentren en ejecución, el valor para la evaluación corresponderá al efectivamente pagado y certificado a la fecha de cierre del presente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</si>
</sst>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 #,##0.00_);_(* \(#,##0.00\);_(* &quot;-&quot;??_);_(@_)"/>
    <numFmt numFmtId="166" formatCode="dd/mm/yyyy;@"/>
    <numFmt numFmtId="167" formatCode="0.0000000"/>
    <numFmt numFmtId="168" formatCode="#,##0.0000000"/>
    <numFmt numFmtId="169" formatCode="0.0000000E+00"/>
    <numFmt numFmtId="170" formatCode="_-* #,##0.00\ _€_-;\-* #,##0.00\ _€_-;_-* &quot;-&quot;??\ _€_-;_-@_-"/>
    <numFmt numFmtId="171" formatCode="_(&quot;$&quot;\ * #,##0.00_);_(&quot;$&quot;\ * \(#,##0.00\);_(&quot;$&quot;\ * &quot;-&quot;??_);_(@_)"/>
    <numFmt numFmtId="172" formatCode="0.0"/>
    <numFmt numFmtId="173" formatCode="d/mm/yyyy;@"/>
    <numFmt numFmtId="174" formatCode="0.0%"/>
  </numFmts>
  <fonts count="5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color theme="1"/>
      <name val="Arial"/>
      <family val="2"/>
    </font>
    <font>
      <b/>
      <sz val="18"/>
      <color theme="1"/>
      <name val="Arial"/>
      <family val="2"/>
    </font>
    <font>
      <b/>
      <sz val="10"/>
      <color theme="0"/>
      <name val="Arial"/>
      <family val="2"/>
    </font>
    <font>
      <b/>
      <sz val="11"/>
      <color theme="0"/>
      <name val="Arial"/>
      <family val="2"/>
    </font>
    <font>
      <sz val="26"/>
      <color theme="1"/>
      <name val="Arial"/>
      <family val="2"/>
    </font>
    <font>
      <b/>
      <sz val="14"/>
      <color theme="0"/>
      <name val="Arial"/>
      <family val="2"/>
    </font>
    <font>
      <sz val="10"/>
      <color theme="1"/>
      <name val="Calibri"/>
      <family val="2"/>
      <scheme val="minor"/>
    </font>
    <font>
      <sz val="11"/>
      <name val="Calibri"/>
      <family val="2"/>
      <scheme val="minor"/>
    </font>
    <font>
      <sz val="18"/>
      <name val="Calibri"/>
      <family val="2"/>
      <scheme val="minor"/>
    </font>
    <font>
      <b/>
      <sz val="24"/>
      <color theme="1"/>
      <name val="Arial"/>
      <family val="2"/>
    </font>
    <font>
      <sz val="26"/>
      <name val="Calibri"/>
      <family val="2"/>
      <scheme val="minor"/>
    </font>
    <font>
      <sz val="11"/>
      <color rgb="FFFF0000"/>
      <name val="Calibri"/>
      <family val="2"/>
      <scheme val="minor"/>
    </font>
    <font>
      <sz val="6"/>
      <color theme="1"/>
      <name val="Calibri"/>
      <family val="2"/>
      <scheme val="minor"/>
    </font>
    <font>
      <u/>
      <sz val="11"/>
      <color theme="10"/>
      <name val="Calibri"/>
      <family val="2"/>
      <scheme val="minor"/>
    </font>
    <font>
      <b/>
      <sz val="11"/>
      <name val="Calibri"/>
      <family val="2"/>
      <scheme val="minor"/>
    </font>
    <font>
      <sz val="10"/>
      <name val="Calibri"/>
      <family val="2"/>
      <scheme val="minor"/>
    </font>
    <font>
      <vertAlign val="superscript"/>
      <sz val="10"/>
      <color theme="1"/>
      <name val="Calibri"/>
      <family val="2"/>
      <scheme val="minor"/>
    </font>
    <font>
      <b/>
      <vertAlign val="superscript"/>
      <sz val="11"/>
      <color theme="1"/>
      <name val="Calibri"/>
      <family val="2"/>
      <scheme val="minor"/>
    </font>
    <font>
      <sz val="10"/>
      <name val="Arial"/>
      <family val="2"/>
    </font>
    <font>
      <sz val="8"/>
      <name val="Calibri"/>
      <family val="2"/>
      <scheme val="minor"/>
    </font>
    <font>
      <sz val="10"/>
      <color rgb="FFFF0000"/>
      <name val="Arial"/>
      <family val="2"/>
    </font>
    <font>
      <sz val="12"/>
      <color theme="1"/>
      <name val="Calibri"/>
      <family val="2"/>
    </font>
    <font>
      <b/>
      <sz val="11"/>
      <name val="Arial"/>
      <family val="2"/>
    </font>
    <font>
      <b/>
      <sz val="11"/>
      <color rgb="FFFF0000"/>
      <name val="Calibri"/>
      <family val="2"/>
      <scheme val="minor"/>
    </font>
    <font>
      <sz val="10"/>
      <name val="Arial"/>
      <family val="2"/>
    </font>
    <font>
      <sz val="11"/>
      <color indexed="8"/>
      <name val="Calibri"/>
      <family val="2"/>
    </font>
    <font>
      <b/>
      <sz val="16"/>
      <color theme="0"/>
      <name val="Arial"/>
      <family val="2"/>
    </font>
    <font>
      <b/>
      <sz val="10"/>
      <color theme="1"/>
      <name val="Arial"/>
      <family val="2"/>
    </font>
    <font>
      <sz val="11"/>
      <name val="Arial Narrow"/>
      <family val="2"/>
    </font>
    <font>
      <b/>
      <u/>
      <sz val="9"/>
      <color rgb="FF000000"/>
      <name val="Tahoma"/>
      <family val="2"/>
    </font>
    <font>
      <sz val="10"/>
      <name val="Arial"/>
      <family val="2"/>
    </font>
    <font>
      <sz val="26"/>
      <color theme="1"/>
      <name val="Calibri"/>
      <family val="2"/>
      <scheme val="minor"/>
    </font>
    <font>
      <i/>
      <sz val="11"/>
      <name val="Calibri"/>
      <family val="2"/>
      <scheme val="minor"/>
    </font>
    <font>
      <sz val="12"/>
      <name val="Calibri"/>
      <family val="2"/>
      <scheme val="minor"/>
    </font>
    <font>
      <sz val="10"/>
      <color theme="1"/>
      <name val="Verdana"/>
      <family val="2"/>
    </font>
    <font>
      <b/>
      <sz val="12"/>
      <name val="Calibri"/>
      <family val="2"/>
      <scheme val="minor"/>
    </font>
    <font>
      <sz val="11"/>
      <color theme="1"/>
      <name val="Aptos"/>
      <family val="2"/>
    </font>
    <font>
      <sz val="12"/>
      <color theme="1"/>
      <name val="Arial"/>
      <family val="2"/>
    </font>
    <font>
      <sz val="11"/>
      <name val="Arial"/>
      <family val="2"/>
    </font>
    <font>
      <sz val="11"/>
      <color theme="1"/>
      <name val="Arial"/>
      <family val="2"/>
    </font>
    <font>
      <sz val="14"/>
      <name val="Arial Narrow"/>
      <family val="2"/>
    </font>
    <font>
      <b/>
      <sz val="11"/>
      <color theme="1"/>
      <name val="Arial"/>
      <family val="2"/>
    </font>
    <font>
      <sz val="14"/>
      <name val="Calibri"/>
      <family val="2"/>
      <scheme val="minor"/>
    </font>
    <font>
      <sz val="11"/>
      <color rgb="FF000000"/>
      <name val="Calibri"/>
      <family val="2"/>
      <scheme val="minor"/>
    </font>
    <font>
      <sz val="11"/>
      <name val="Calibri "/>
    </font>
    <font>
      <sz val="11"/>
      <color theme="1"/>
      <name val="Calibri "/>
    </font>
    <font>
      <sz val="12"/>
      <name val="Calibri "/>
    </font>
    <font>
      <sz val="14"/>
      <name val="Calibri "/>
    </font>
    <font>
      <sz val="26"/>
      <color theme="1"/>
      <name val="Calibri "/>
    </font>
  </fonts>
  <fills count="32">
    <fill>
      <patternFill patternType="none"/>
    </fill>
    <fill>
      <patternFill patternType="gray125"/>
    </fill>
    <fill>
      <patternFill patternType="solid">
        <fgColor theme="0"/>
        <bgColor indexed="64"/>
      </patternFill>
    </fill>
    <fill>
      <patternFill patternType="solid">
        <fgColor rgb="FFF79646"/>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366092"/>
        <bgColor indexed="64"/>
      </patternFill>
    </fill>
    <fill>
      <patternFill patternType="solid">
        <fgColor rgb="FFE26B0A"/>
        <bgColor indexed="64"/>
      </patternFill>
    </fill>
    <fill>
      <patternFill patternType="solid">
        <fgColor rgb="FF4F6228"/>
        <bgColor indexed="64"/>
      </patternFill>
    </fill>
    <fill>
      <patternFill patternType="solid">
        <fgColor rgb="FF808080"/>
        <bgColor indexed="64"/>
      </patternFill>
    </fill>
    <fill>
      <patternFill patternType="solid">
        <fgColor rgb="FF948A54"/>
        <bgColor indexed="64"/>
      </patternFill>
    </fill>
    <fill>
      <patternFill patternType="solid">
        <fgColor rgb="FF00B050"/>
        <bgColor indexed="64"/>
      </patternFill>
    </fill>
    <fill>
      <patternFill patternType="solid">
        <fgColor rgb="FF76933C"/>
        <bgColor indexed="64"/>
      </patternFill>
    </fill>
    <fill>
      <patternFill patternType="solid">
        <fgColor rgb="FFFABF8F"/>
        <bgColor indexed="64"/>
      </patternFill>
    </fill>
    <fill>
      <patternFill patternType="solid">
        <fgColor rgb="FFB8CCE4"/>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rgb="FF92D050"/>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CCCC"/>
        <bgColor indexed="64"/>
      </patternFill>
    </fill>
    <fill>
      <patternFill patternType="solid">
        <fgColor rgb="FFFF0000"/>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indexed="9"/>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FF99CC"/>
        <bgColor indexed="64"/>
      </patternFill>
    </fill>
    <fill>
      <patternFill patternType="solid">
        <fgColor theme="8" tint="0.59999389629810485"/>
        <bgColor indexed="64"/>
      </patternFill>
    </fill>
    <fill>
      <patternFill patternType="solid">
        <fgColor rgb="FFFFFF00"/>
        <bgColor indexed="64"/>
      </patternFill>
    </fill>
    <fill>
      <patternFill patternType="solid">
        <fgColor theme="0" tint="-0.249977111117893"/>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thin">
        <color rgb="FF000000"/>
      </left>
      <right style="thin">
        <color rgb="FF000000"/>
      </right>
      <top style="thin">
        <color rgb="FF000000"/>
      </top>
      <bottom style="thin">
        <color rgb="FF000000"/>
      </bottom>
      <diagonal/>
    </border>
  </borders>
  <cellStyleXfs count="98">
    <xf numFmtId="0" fontId="0" fillId="0" borderId="0"/>
    <xf numFmtId="9" fontId="1" fillId="0" borderId="0" applyFont="0" applyFill="0" applyBorder="0" applyAlignment="0" applyProtection="0"/>
    <xf numFmtId="165" fontId="1" fillId="0" borderId="0" applyFont="0" applyFill="0" applyBorder="0" applyAlignment="0" applyProtection="0"/>
    <xf numFmtId="0" fontId="18" fillId="0" borderId="0" applyNumberFormat="0" applyFill="0" applyBorder="0" applyAlignment="0" applyProtection="0"/>
    <xf numFmtId="0" fontId="23" fillId="0" borderId="0"/>
    <xf numFmtId="0" fontId="26" fillId="0" borderId="0"/>
    <xf numFmtId="43" fontId="1" fillId="0" borderId="0" applyFont="0" applyFill="0" applyBorder="0" applyAlignment="0" applyProtection="0"/>
    <xf numFmtId="170" fontId="23" fillId="0" borderId="0" applyFont="0" applyFill="0" applyBorder="0" applyAlignment="0" applyProtection="0"/>
    <xf numFmtId="0" fontId="29" fillId="0" borderId="0"/>
    <xf numFmtId="171" fontId="30"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0" fontId="23"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4" fontId="23" fillId="0" borderId="0" applyFont="0" applyFill="0" applyBorder="0" applyAlignment="0" applyProtection="0"/>
    <xf numFmtId="0" fontId="1" fillId="0" borderId="0"/>
    <xf numFmtId="0" fontId="1" fillId="0" borderId="0"/>
    <xf numFmtId="9" fontId="23" fillId="0" borderId="0" applyFont="0" applyFill="0" applyBorder="0" applyAlignment="0" applyProtection="0"/>
    <xf numFmtId="9" fontId="30"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4" fontId="29" fillId="0" borderId="0" applyFont="0" applyFill="0" applyBorder="0" applyAlignment="0" applyProtection="0"/>
    <xf numFmtId="42" fontId="29" fillId="0" borderId="0" applyFont="0" applyFill="0" applyBorder="0" applyAlignment="0" applyProtection="0"/>
    <xf numFmtId="9" fontId="29" fillId="0" borderId="0" applyFont="0" applyFill="0" applyBorder="0" applyAlignment="0" applyProtection="0"/>
    <xf numFmtId="164" fontId="23" fillId="0" borderId="0" applyFont="0" applyFill="0" applyBorder="0" applyAlignment="0" applyProtection="0"/>
    <xf numFmtId="41" fontId="23"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29"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23" fillId="0" borderId="0" applyFont="0" applyFill="0" applyBorder="0" applyAlignment="0" applyProtection="0"/>
    <xf numFmtId="0" fontId="35"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9" fontId="35" fillId="0" borderId="0" applyFont="0" applyFill="0" applyBorder="0" applyAlignment="0" applyProtection="0"/>
    <xf numFmtId="0" fontId="23" fillId="0" borderId="0"/>
    <xf numFmtId="0" fontId="23" fillId="0" borderId="0"/>
    <xf numFmtId="9" fontId="23" fillId="0" borderId="0" applyFont="0" applyFill="0" applyBorder="0" applyAlignment="0" applyProtection="0"/>
  </cellStyleXfs>
  <cellXfs count="822">
    <xf numFmtId="0" fontId="0" fillId="0" borderId="0" xfId="0"/>
    <xf numFmtId="0" fontId="0" fillId="2" borderId="0" xfId="0" applyFill="1"/>
    <xf numFmtId="0" fontId="0" fillId="2" borderId="0" xfId="0" applyFill="1" applyAlignment="1">
      <alignment horizontal="center" vertical="center"/>
    </xf>
    <xf numFmtId="0" fontId="0" fillId="2" borderId="1" xfId="0" applyFill="1" applyBorder="1" applyAlignment="1">
      <alignment horizontal="center" vertical="center" wrapText="1"/>
    </xf>
    <xf numFmtId="0" fontId="0" fillId="2" borderId="0" xfId="0" applyFill="1" applyAlignment="1">
      <alignment horizontal="center" vertical="center" wrapText="1"/>
    </xf>
    <xf numFmtId="0" fontId="0" fillId="2" borderId="25" xfId="0" applyFill="1" applyBorder="1" applyAlignment="1">
      <alignment horizontal="center" vertical="center" wrapText="1"/>
    </xf>
    <xf numFmtId="0" fontId="2" fillId="3" borderId="1" xfId="0" applyFont="1" applyFill="1" applyBorder="1" applyAlignment="1">
      <alignment horizontal="center" vertical="center" wrapText="1"/>
    </xf>
    <xf numFmtId="10" fontId="0" fillId="2" borderId="1" xfId="1" applyNumberFormat="1" applyFont="1" applyFill="1" applyBorder="1" applyAlignment="1">
      <alignment horizontal="center" vertical="center" wrapText="1"/>
    </xf>
    <xf numFmtId="10" fontId="0" fillId="2" borderId="25" xfId="1" applyNumberFormat="1" applyFont="1" applyFill="1" applyBorder="1" applyAlignment="1">
      <alignment horizontal="center" vertical="center" wrapText="1"/>
    </xf>
    <xf numFmtId="166" fontId="0" fillId="2" borderId="25" xfId="0" applyNumberFormat="1" applyFill="1" applyBorder="1" applyAlignment="1">
      <alignment horizontal="center" vertical="center" wrapText="1"/>
    </xf>
    <xf numFmtId="166" fontId="0" fillId="2" borderId="26" xfId="0" applyNumberFormat="1" applyFill="1" applyBorder="1" applyAlignment="1">
      <alignment horizontal="center" vertical="center" wrapText="1"/>
    </xf>
    <xf numFmtId="0" fontId="0" fillId="2" borderId="22" xfId="0" applyFill="1" applyBorder="1" applyAlignment="1">
      <alignment horizontal="center" vertical="center"/>
    </xf>
    <xf numFmtId="0" fontId="0" fillId="2" borderId="24" xfId="0" applyFill="1" applyBorder="1" applyAlignment="1">
      <alignment horizontal="center" vertical="center"/>
    </xf>
    <xf numFmtId="0" fontId="0" fillId="2" borderId="20" xfId="0" applyFill="1" applyBorder="1" applyAlignment="1">
      <alignment horizontal="center" vertical="center"/>
    </xf>
    <xf numFmtId="0" fontId="3" fillId="4" borderId="28" xfId="0" applyFont="1" applyFill="1" applyBorder="1" applyAlignment="1">
      <alignment horizontal="center" vertical="center"/>
    </xf>
    <xf numFmtId="0" fontId="3" fillId="4" borderId="29" xfId="0" applyFont="1" applyFill="1" applyBorder="1" applyAlignment="1">
      <alignment horizontal="center" vertical="center"/>
    </xf>
    <xf numFmtId="165" fontId="0" fillId="2" borderId="21" xfId="2" applyFont="1" applyFill="1" applyBorder="1" applyAlignment="1">
      <alignment horizontal="center" vertical="center"/>
    </xf>
    <xf numFmtId="165" fontId="0" fillId="2" borderId="23" xfId="2" applyFont="1" applyFill="1" applyBorder="1" applyAlignment="1">
      <alignment horizontal="center" vertical="center"/>
    </xf>
    <xf numFmtId="165" fontId="0" fillId="2" borderId="26" xfId="2" applyFont="1" applyFill="1" applyBorder="1" applyAlignment="1">
      <alignment horizontal="center" vertical="center"/>
    </xf>
    <xf numFmtId="0" fontId="5" fillId="2" borderId="0" xfId="0" applyFont="1" applyFill="1" applyAlignment="1">
      <alignment horizontal="center" vertical="center" wrapText="1"/>
    </xf>
    <xf numFmtId="0" fontId="7" fillId="6" borderId="25" xfId="0" applyFont="1" applyFill="1" applyBorder="1" applyAlignment="1">
      <alignment horizontal="center" vertical="center" wrapText="1"/>
    </xf>
    <xf numFmtId="4" fontId="0" fillId="2" borderId="1" xfId="0" applyNumberFormat="1" applyFill="1" applyBorder="1" applyAlignment="1">
      <alignment horizontal="center" vertical="center" wrapText="1"/>
    </xf>
    <xf numFmtId="4" fontId="0" fillId="2" borderId="25" xfId="0" applyNumberFormat="1" applyFill="1" applyBorder="1" applyAlignment="1">
      <alignment horizontal="center" vertical="center" wrapText="1"/>
    </xf>
    <xf numFmtId="4" fontId="12" fillId="2" borderId="25" xfId="0" applyNumberFormat="1" applyFont="1" applyFill="1" applyBorder="1" applyAlignment="1">
      <alignment horizontal="center" vertical="center" wrapText="1"/>
    </xf>
    <xf numFmtId="10" fontId="12" fillId="2" borderId="25" xfId="1"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15" borderId="1" xfId="0" applyFont="1" applyFill="1" applyBorder="1" applyAlignment="1">
      <alignment horizontal="center" vertical="center"/>
    </xf>
    <xf numFmtId="0" fontId="0" fillId="2" borderId="1" xfId="0" applyFill="1" applyBorder="1" applyAlignment="1">
      <alignment horizontal="center" vertical="center"/>
    </xf>
    <xf numFmtId="0" fontId="3" fillId="16" borderId="1" xfId="0" applyFont="1" applyFill="1" applyBorder="1" applyAlignment="1">
      <alignment horizontal="center" vertical="center"/>
    </xf>
    <xf numFmtId="4" fontId="0" fillId="2" borderId="0" xfId="0" applyNumberFormat="1" applyFill="1" applyAlignment="1">
      <alignment horizontal="center" vertical="center" wrapText="1"/>
    </xf>
    <xf numFmtId="0" fontId="3" fillId="17" borderId="1" xfId="0" applyFont="1" applyFill="1" applyBorder="1" applyAlignment="1">
      <alignment horizontal="center" vertical="center"/>
    </xf>
    <xf numFmtId="0" fontId="16" fillId="2" borderId="0" xfId="0" applyFont="1" applyFill="1" applyAlignment="1">
      <alignment horizontal="center" vertical="center" wrapText="1"/>
    </xf>
    <xf numFmtId="1" fontId="3" fillId="2" borderId="23"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0" fontId="3" fillId="2" borderId="23" xfId="0" applyFont="1" applyFill="1" applyBorder="1" applyAlignment="1">
      <alignment horizontal="center" vertical="center" wrapText="1"/>
    </xf>
    <xf numFmtId="4" fontId="3" fillId="2" borderId="23" xfId="0" applyNumberFormat="1" applyFont="1" applyFill="1" applyBorder="1" applyAlignment="1">
      <alignment horizontal="center" vertical="center" wrapText="1"/>
    </xf>
    <xf numFmtId="0" fontId="3" fillId="2" borderId="22" xfId="0" applyFont="1" applyFill="1" applyBorder="1" applyAlignment="1">
      <alignment horizontal="center" vertical="center" wrapText="1"/>
    </xf>
    <xf numFmtId="4" fontId="3" fillId="2" borderId="26" xfId="0" applyNumberFormat="1" applyFont="1" applyFill="1" applyBorder="1" applyAlignment="1">
      <alignment horizontal="center" vertical="center" wrapText="1"/>
    </xf>
    <xf numFmtId="4" fontId="19" fillId="18" borderId="29" xfId="0" applyNumberFormat="1" applyFont="1" applyFill="1" applyBorder="1" applyAlignment="1">
      <alignment horizontal="center" vertical="center" wrapText="1"/>
    </xf>
    <xf numFmtId="0" fontId="4" fillId="9" borderId="2" xfId="0" applyFont="1" applyFill="1" applyBorder="1" applyAlignment="1">
      <alignment horizontal="center" vertical="center" wrapText="1"/>
    </xf>
    <xf numFmtId="0" fontId="0" fillId="2" borderId="24" xfId="0" applyFill="1" applyBorder="1" applyAlignment="1">
      <alignment horizontal="center" vertical="center" wrapText="1"/>
    </xf>
    <xf numFmtId="0" fontId="4" fillId="7" borderId="45"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7" borderId="44" xfId="0" applyFont="1" applyFill="1" applyBorder="1" applyAlignment="1">
      <alignment horizontal="center" vertical="center" wrapText="1"/>
    </xf>
    <xf numFmtId="0" fontId="0" fillId="2" borderId="26" xfId="0" applyFill="1" applyBorder="1" applyAlignment="1">
      <alignment horizontal="center" vertical="center" wrapText="1"/>
    </xf>
    <xf numFmtId="168" fontId="3" fillId="2" borderId="23" xfId="0" applyNumberFormat="1" applyFont="1" applyFill="1" applyBorder="1" applyAlignment="1">
      <alignment horizontal="center" vertical="center" wrapText="1"/>
    </xf>
    <xf numFmtId="169" fontId="3" fillId="2" borderId="1" xfId="0" applyNumberFormat="1" applyFont="1" applyFill="1" applyBorder="1" applyAlignment="1">
      <alignment horizontal="center" vertical="center" wrapText="1"/>
    </xf>
    <xf numFmtId="169" fontId="3" fillId="2" borderId="23" xfId="0" applyNumberFormat="1" applyFont="1" applyFill="1" applyBorder="1" applyAlignment="1">
      <alignment horizontal="center" vertical="center" wrapText="1"/>
    </xf>
    <xf numFmtId="0" fontId="23" fillId="2" borderId="0" xfId="0" applyFont="1" applyFill="1" applyAlignment="1">
      <alignment horizontal="center" vertical="center" wrapText="1"/>
    </xf>
    <xf numFmtId="0" fontId="12" fillId="2" borderId="0" xfId="0" applyFont="1" applyFill="1" applyAlignment="1">
      <alignment horizontal="center" vertical="center" wrapText="1"/>
    </xf>
    <xf numFmtId="0" fontId="0" fillId="2" borderId="45" xfId="0" applyFill="1" applyBorder="1" applyAlignment="1">
      <alignment horizontal="center" vertical="center"/>
    </xf>
    <xf numFmtId="165" fontId="0" fillId="2" borderId="44" xfId="2" applyFont="1" applyFill="1" applyBorder="1" applyAlignment="1">
      <alignment horizontal="center" vertical="center"/>
    </xf>
    <xf numFmtId="0" fontId="25" fillId="2" borderId="0" xfId="0" applyFont="1" applyFill="1" applyAlignment="1">
      <alignment horizontal="center" vertical="center" wrapText="1"/>
    </xf>
    <xf numFmtId="2" fontId="0" fillId="2" borderId="0" xfId="0" applyNumberFormat="1" applyFill="1" applyAlignment="1">
      <alignment horizontal="center" vertical="center" wrapText="1"/>
    </xf>
    <xf numFmtId="0" fontId="0" fillId="19" borderId="1" xfId="0" applyFill="1" applyBorder="1" applyAlignment="1">
      <alignment horizontal="center" vertical="center" wrapText="1"/>
    </xf>
    <xf numFmtId="2" fontId="3" fillId="19" borderId="26" xfId="0" applyNumberFormat="1" applyFont="1" applyFill="1" applyBorder="1" applyAlignment="1">
      <alignment horizontal="center" vertical="center" wrapText="1"/>
    </xf>
    <xf numFmtId="0" fontId="0" fillId="2" borderId="51" xfId="0" applyFill="1" applyBorder="1" applyAlignment="1">
      <alignment horizontal="center" vertical="center" wrapText="1"/>
    </xf>
    <xf numFmtId="0" fontId="4" fillId="6" borderId="1"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4" fillId="6" borderId="23" xfId="0" applyFont="1" applyFill="1" applyBorder="1" applyAlignment="1">
      <alignment horizontal="center" vertical="center" wrapText="1"/>
    </xf>
    <xf numFmtId="0" fontId="0" fillId="14" borderId="22" xfId="0" applyFill="1" applyBorder="1" applyAlignment="1">
      <alignment horizontal="center" vertical="center" wrapText="1"/>
    </xf>
    <xf numFmtId="0" fontId="0" fillId="14" borderId="1" xfId="0" applyFill="1" applyBorder="1" applyAlignment="1">
      <alignment horizontal="center" vertical="center" wrapText="1"/>
    </xf>
    <xf numFmtId="0" fontId="0" fillId="14" borderId="23" xfId="0" applyFill="1" applyBorder="1" applyAlignment="1">
      <alignment horizontal="center" vertical="center" wrapText="1"/>
    </xf>
    <xf numFmtId="0" fontId="4" fillId="6" borderId="49" xfId="0" applyFont="1" applyFill="1" applyBorder="1" applyAlignment="1">
      <alignment horizontal="center" vertical="center" wrapText="1"/>
    </xf>
    <xf numFmtId="0" fontId="11" fillId="2" borderId="24" xfId="0" applyFont="1" applyFill="1" applyBorder="1" applyAlignment="1">
      <alignment horizontal="justify" vertical="center" wrapText="1"/>
    </xf>
    <xf numFmtId="42" fontId="12" fillId="0" borderId="1" xfId="24" applyFont="1" applyFill="1" applyBorder="1" applyAlignment="1">
      <alignment horizontal="center" vertical="center" wrapText="1"/>
    </xf>
    <xf numFmtId="9" fontId="0" fillId="0" borderId="1" xfId="25" applyFont="1" applyFill="1" applyBorder="1" applyAlignment="1">
      <alignment horizontal="center" vertical="center" wrapText="1"/>
    </xf>
    <xf numFmtId="2" fontId="3" fillId="2" borderId="23" xfId="0" applyNumberFormat="1" applyFont="1" applyFill="1" applyBorder="1" applyAlignment="1">
      <alignment horizontal="center" vertical="center" wrapText="1"/>
    </xf>
    <xf numFmtId="10" fontId="0" fillId="0" borderId="1" xfId="1" applyNumberFormat="1" applyFont="1" applyFill="1" applyBorder="1" applyAlignment="1">
      <alignment horizontal="center" vertical="center" wrapText="1"/>
    </xf>
    <xf numFmtId="0" fontId="3" fillId="2" borderId="31" xfId="0" applyFont="1" applyFill="1" applyBorder="1" applyAlignment="1">
      <alignment horizontal="center" vertical="center" wrapText="1"/>
    </xf>
    <xf numFmtId="0" fontId="0" fillId="2" borderId="50" xfId="0" applyFill="1" applyBorder="1" applyAlignment="1">
      <alignment horizontal="justify" vertical="center" wrapText="1"/>
    </xf>
    <xf numFmtId="0" fontId="4" fillId="2" borderId="0" xfId="0" applyFont="1" applyFill="1" applyAlignment="1">
      <alignment horizontal="center" vertical="center" wrapText="1"/>
    </xf>
    <xf numFmtId="0" fontId="0" fillId="2" borderId="0" xfId="0" applyFill="1" applyAlignment="1">
      <alignment horizontal="left" vertical="center"/>
    </xf>
    <xf numFmtId="10" fontId="16" fillId="19" borderId="1" xfId="1" applyNumberFormat="1" applyFont="1" applyFill="1" applyBorder="1" applyAlignment="1">
      <alignment horizontal="center" vertical="center" wrapText="1"/>
    </xf>
    <xf numFmtId="166" fontId="16" fillId="19" borderId="1" xfId="0" applyNumberFormat="1" applyFont="1" applyFill="1" applyBorder="1" applyAlignment="1">
      <alignment horizontal="center" vertical="center" wrapText="1"/>
    </xf>
    <xf numFmtId="166" fontId="12" fillId="19" borderId="1" xfId="0" applyNumberFormat="1" applyFont="1" applyFill="1" applyBorder="1" applyAlignment="1">
      <alignment horizontal="center" vertical="center" wrapText="1"/>
    </xf>
    <xf numFmtId="166" fontId="12" fillId="19" borderId="23" xfId="0" applyNumberFormat="1" applyFont="1" applyFill="1" applyBorder="1" applyAlignment="1">
      <alignment horizontal="center" vertical="center" wrapText="1"/>
    </xf>
    <xf numFmtId="2" fontId="12" fillId="0" borderId="1" xfId="24" applyNumberFormat="1" applyFont="1" applyFill="1" applyBorder="1" applyAlignment="1">
      <alignment horizontal="center" vertical="center" wrapText="1"/>
    </xf>
    <xf numFmtId="0" fontId="3" fillId="18" borderId="45" xfId="0" applyFont="1" applyFill="1" applyBorder="1" applyAlignment="1">
      <alignment horizontal="center" vertical="center" wrapText="1"/>
    </xf>
    <xf numFmtId="0" fontId="3" fillId="18" borderId="2" xfId="0" applyFont="1" applyFill="1" applyBorder="1" applyAlignment="1">
      <alignment horizontal="center" vertical="center" wrapText="1"/>
    </xf>
    <xf numFmtId="0" fontId="3" fillId="18" borderId="44" xfId="0" applyFont="1" applyFill="1" applyBorder="1" applyAlignment="1">
      <alignment horizontal="center" vertical="center" wrapText="1"/>
    </xf>
    <xf numFmtId="0" fontId="3" fillId="2" borderId="30" xfId="0" applyFont="1" applyFill="1" applyBorder="1" applyAlignment="1">
      <alignment horizontal="center" vertical="center" wrapText="1"/>
    </xf>
    <xf numFmtId="4" fontId="3" fillId="2" borderId="31" xfId="0" applyNumberFormat="1" applyFont="1" applyFill="1" applyBorder="1" applyAlignment="1">
      <alignment horizontal="center" vertical="center" wrapText="1"/>
    </xf>
    <xf numFmtId="169" fontId="3" fillId="2" borderId="31" xfId="0" applyNumberFormat="1" applyFont="1" applyFill="1" applyBorder="1" applyAlignment="1">
      <alignment horizontal="center" vertical="center" wrapText="1"/>
    </xf>
    <xf numFmtId="168" fontId="3" fillId="2" borderId="36" xfId="0" applyNumberFormat="1" applyFont="1" applyFill="1" applyBorder="1" applyAlignment="1">
      <alignment horizontal="center" vertical="center" wrapText="1"/>
    </xf>
    <xf numFmtId="0" fontId="32" fillId="2" borderId="0" xfId="0" applyFont="1" applyFill="1" applyAlignment="1">
      <alignment horizontal="center" vertical="center" wrapText="1"/>
    </xf>
    <xf numFmtId="1" fontId="12" fillId="0" borderId="1" xfId="24" applyNumberFormat="1" applyFont="1" applyFill="1" applyBorder="1" applyAlignment="1">
      <alignment horizontal="center" vertical="center" wrapText="1"/>
    </xf>
    <xf numFmtId="0" fontId="0" fillId="2" borderId="50" xfId="0" applyFill="1" applyBorder="1" applyAlignment="1">
      <alignment horizontal="left" vertical="center" wrapText="1"/>
    </xf>
    <xf numFmtId="10" fontId="12" fillId="0" borderId="1" xfId="1" applyNumberFormat="1"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31" xfId="0" applyFont="1" applyFill="1" applyBorder="1" applyAlignment="1">
      <alignment horizontal="left" vertical="center"/>
    </xf>
    <xf numFmtId="4" fontId="12" fillId="0" borderId="1" xfId="0" applyNumberFormat="1" applyFont="1" applyBorder="1" applyAlignment="1">
      <alignment horizontal="center" vertical="center" wrapText="1"/>
    </xf>
    <xf numFmtId="0" fontId="2" fillId="6" borderId="45"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0" fillId="14" borderId="45" xfId="0" applyFill="1" applyBorder="1" applyAlignment="1">
      <alignment horizontal="center" vertical="center" wrapText="1"/>
    </xf>
    <xf numFmtId="0" fontId="0" fillId="14" borderId="2" xfId="0" applyFill="1" applyBorder="1" applyAlignment="1">
      <alignment horizontal="center" vertical="center" wrapText="1"/>
    </xf>
    <xf numFmtId="0" fontId="0" fillId="14" borderId="44" xfId="0" applyFill="1" applyBorder="1" applyAlignment="1">
      <alignment horizontal="center" vertical="center" wrapText="1"/>
    </xf>
    <xf numFmtId="0" fontId="2" fillId="6" borderId="61" xfId="0" applyFont="1" applyFill="1" applyBorder="1" applyAlignment="1">
      <alignment horizontal="center" vertical="center" wrapText="1"/>
    </xf>
    <xf numFmtId="0" fontId="0" fillId="2" borderId="62" xfId="0" applyFill="1" applyBorder="1" applyAlignment="1">
      <alignment horizontal="center" vertical="center" wrapText="1"/>
    </xf>
    <xf numFmtId="0" fontId="0" fillId="2" borderId="28" xfId="0" applyFill="1" applyBorder="1" applyAlignment="1">
      <alignment horizontal="center" vertical="center" wrapText="1"/>
    </xf>
    <xf numFmtId="0" fontId="0" fillId="2" borderId="40" xfId="0" applyFill="1" applyBorder="1" applyAlignment="1">
      <alignment horizontal="center" vertical="center" wrapText="1"/>
    </xf>
    <xf numFmtId="0" fontId="0" fillId="2" borderId="29" xfId="0" applyFill="1" applyBorder="1" applyAlignment="1">
      <alignment horizontal="center" vertical="center" wrapText="1"/>
    </xf>
    <xf numFmtId="10" fontId="33" fillId="0" borderId="1" xfId="89" applyNumberFormat="1" applyFont="1" applyFill="1" applyBorder="1" applyAlignment="1">
      <alignment horizontal="center" vertical="center" wrapText="1"/>
    </xf>
    <xf numFmtId="10" fontId="0" fillId="0" borderId="4" xfId="1" applyNumberFormat="1" applyFont="1" applyFill="1" applyBorder="1" applyAlignment="1">
      <alignment horizontal="center" vertical="center" wrapText="1"/>
    </xf>
    <xf numFmtId="10" fontId="0" fillId="0" borderId="25" xfId="1" applyNumberFormat="1" applyFont="1" applyFill="1" applyBorder="1" applyAlignment="1">
      <alignment horizontal="center" vertical="center" wrapText="1"/>
    </xf>
    <xf numFmtId="0" fontId="0" fillId="0" borderId="50" xfId="0" applyBorder="1" applyAlignment="1">
      <alignment horizontal="justify" vertical="center" wrapText="1"/>
    </xf>
    <xf numFmtId="0" fontId="0" fillId="0" borderId="50" xfId="0" applyBorder="1" applyAlignment="1">
      <alignment horizontal="left"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0" fillId="0" borderId="16" xfId="0" applyBorder="1" applyAlignment="1">
      <alignment horizontal="center" vertical="center" wrapText="1"/>
    </xf>
    <xf numFmtId="0" fontId="3" fillId="0" borderId="31" xfId="0" applyFont="1" applyBorder="1" applyAlignment="1">
      <alignment horizontal="center" vertical="center" wrapText="1"/>
    </xf>
    <xf numFmtId="0" fontId="0" fillId="0" borderId="31" xfId="0" applyBorder="1" applyAlignment="1">
      <alignment horizontal="center" vertical="center" wrapText="1"/>
    </xf>
    <xf numFmtId="0" fontId="0" fillId="0" borderId="31" xfId="0" applyBorder="1" applyAlignment="1">
      <alignment horizontal="justify" vertical="center" wrapText="1"/>
    </xf>
    <xf numFmtId="10" fontId="0" fillId="0" borderId="31" xfId="1" applyNumberFormat="1" applyFont="1" applyFill="1" applyBorder="1" applyAlignment="1">
      <alignment horizontal="center" vertical="center" wrapText="1"/>
    </xf>
    <xf numFmtId="166" fontId="0" fillId="0" borderId="31" xfId="0" applyNumberFormat="1" applyBorder="1" applyAlignment="1">
      <alignment horizontal="center" vertical="center" wrapText="1"/>
    </xf>
    <xf numFmtId="4" fontId="0" fillId="0" borderId="31" xfId="0" applyNumberFormat="1" applyBorder="1" applyAlignment="1">
      <alignment horizontal="center" vertical="center" wrapText="1"/>
    </xf>
    <xf numFmtId="0" fontId="0" fillId="0" borderId="14" xfId="0" applyBorder="1" applyAlignment="1">
      <alignment horizontal="center" vertical="center" wrapText="1"/>
    </xf>
    <xf numFmtId="4" fontId="0" fillId="0" borderId="1" xfId="0" applyNumberFormat="1" applyBorder="1" applyAlignment="1">
      <alignment horizontal="center" vertical="center" wrapText="1"/>
    </xf>
    <xf numFmtId="0" fontId="0" fillId="0" borderId="50" xfId="0" applyBorder="1" applyAlignment="1">
      <alignment horizontal="center" vertical="center" wrapText="1"/>
    </xf>
    <xf numFmtId="0" fontId="0" fillId="0" borderId="11" xfId="0" applyBorder="1" applyAlignment="1">
      <alignment horizontal="center" vertical="center" wrapText="1"/>
    </xf>
    <xf numFmtId="0" fontId="3" fillId="0" borderId="4" xfId="0" applyFont="1" applyBorder="1" applyAlignment="1">
      <alignment horizontal="center" vertical="center" wrapText="1"/>
    </xf>
    <xf numFmtId="0" fontId="0" fillId="0" borderId="4" xfId="0" applyBorder="1" applyAlignment="1">
      <alignment horizontal="center" vertical="center" wrapText="1"/>
    </xf>
    <xf numFmtId="0" fontId="0" fillId="0" borderId="4" xfId="0" applyBorder="1" applyAlignment="1">
      <alignment horizontal="justify" vertical="center" wrapText="1"/>
    </xf>
    <xf numFmtId="166" fontId="0" fillId="0" borderId="4" xfId="0" applyNumberFormat="1" applyBorder="1" applyAlignment="1">
      <alignment horizontal="center" vertical="center" wrapText="1"/>
    </xf>
    <xf numFmtId="4" fontId="0" fillId="0" borderId="4" xfId="0" applyNumberFormat="1" applyBorder="1" applyAlignment="1">
      <alignment horizontal="center" vertical="center" wrapText="1"/>
    </xf>
    <xf numFmtId="0" fontId="0" fillId="0" borderId="1" xfId="0" applyBorder="1" applyAlignment="1">
      <alignment horizontal="center" vertical="center" wrapText="1"/>
    </xf>
    <xf numFmtId="0" fontId="0" fillId="0" borderId="7" xfId="0"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horizontal="justify" vertical="center" wrapText="1"/>
    </xf>
    <xf numFmtId="166" fontId="0" fillId="0" borderId="1" xfId="0" applyNumberFormat="1" applyBorder="1" applyAlignment="1">
      <alignment horizontal="center" vertical="center" wrapText="1"/>
    </xf>
    <xf numFmtId="0" fontId="0" fillId="0" borderId="57" xfId="0" applyBorder="1" applyAlignment="1">
      <alignment horizontal="center" vertical="center" wrapText="1"/>
    </xf>
    <xf numFmtId="0" fontId="0" fillId="0" borderId="35" xfId="0" applyBorder="1" applyAlignment="1">
      <alignment horizontal="center" vertical="center" wrapText="1"/>
    </xf>
    <xf numFmtId="0" fontId="3" fillId="0" borderId="25" xfId="0" applyFont="1" applyBorder="1" applyAlignment="1">
      <alignment horizontal="center" vertical="center" wrapText="1"/>
    </xf>
    <xf numFmtId="0" fontId="0" fillId="0" borderId="25" xfId="0" applyBorder="1" applyAlignment="1">
      <alignment horizontal="center" vertical="center" wrapText="1"/>
    </xf>
    <xf numFmtId="0" fontId="0" fillId="0" borderId="25" xfId="0" applyBorder="1" applyAlignment="1">
      <alignment horizontal="justify" vertical="center" wrapText="1"/>
    </xf>
    <xf numFmtId="166" fontId="0" fillId="0" borderId="25" xfId="0" applyNumberFormat="1" applyBorder="1" applyAlignment="1">
      <alignment horizontal="center" vertical="center" wrapText="1"/>
    </xf>
    <xf numFmtId="4" fontId="0" fillId="0" borderId="25" xfId="0" applyNumberFormat="1" applyBorder="1" applyAlignment="1">
      <alignment horizontal="center" vertical="center" wrapText="1"/>
    </xf>
    <xf numFmtId="0" fontId="19" fillId="0" borderId="21" xfId="0" applyFont="1" applyBorder="1" applyAlignment="1">
      <alignment horizontal="justify" vertical="center" wrapText="1"/>
    </xf>
    <xf numFmtId="0" fontId="19" fillId="0" borderId="23" xfId="0" applyFont="1" applyBorder="1" applyAlignment="1">
      <alignment horizontal="justify" vertical="center" wrapText="1"/>
    </xf>
    <xf numFmtId="0" fontId="19" fillId="0" borderId="26" xfId="0" applyFont="1" applyBorder="1" applyAlignment="1">
      <alignment horizontal="justify" vertical="center" wrapText="1"/>
    </xf>
    <xf numFmtId="0" fontId="0" fillId="0" borderId="2" xfId="0" applyBorder="1" applyAlignment="1">
      <alignment horizontal="center" vertical="center" wrapText="1"/>
    </xf>
    <xf numFmtId="0" fontId="12" fillId="0" borderId="1" xfId="4" applyFont="1" applyBorder="1" applyAlignment="1">
      <alignment horizontal="center" vertical="center" wrapText="1"/>
    </xf>
    <xf numFmtId="0" fontId="0" fillId="0" borderId="9" xfId="0" applyBorder="1" applyAlignment="1">
      <alignment horizontal="center" vertical="center" wrapText="1"/>
    </xf>
    <xf numFmtId="0" fontId="3" fillId="0" borderId="2" xfId="0" applyFont="1" applyBorder="1" applyAlignment="1">
      <alignment horizontal="center" vertical="center" wrapText="1"/>
    </xf>
    <xf numFmtId="0" fontId="0" fillId="0" borderId="2" xfId="0" applyBorder="1" applyAlignment="1">
      <alignment horizontal="justify" vertical="center" wrapText="1"/>
    </xf>
    <xf numFmtId="10" fontId="0" fillId="0" borderId="2" xfId="1" applyNumberFormat="1" applyFont="1" applyFill="1" applyBorder="1" applyAlignment="1">
      <alignment horizontal="center" vertical="center" wrapText="1"/>
    </xf>
    <xf numFmtId="166" fontId="0" fillId="0" borderId="2" xfId="0" applyNumberFormat="1" applyBorder="1" applyAlignment="1">
      <alignment horizontal="center" vertical="center" wrapText="1"/>
    </xf>
    <xf numFmtId="4" fontId="0" fillId="0" borderId="2" xfId="0" applyNumberFormat="1" applyBorder="1" applyAlignment="1">
      <alignment horizontal="center" vertical="center" wrapText="1"/>
    </xf>
    <xf numFmtId="0" fontId="33" fillId="0" borderId="1" xfId="4" applyFont="1" applyBorder="1" applyAlignment="1">
      <alignment horizontal="center" vertical="center" wrapText="1"/>
    </xf>
    <xf numFmtId="14" fontId="33" fillId="0" borderId="1" xfId="4" applyNumberFormat="1" applyFont="1" applyBorder="1" applyAlignment="1">
      <alignment horizontal="center" vertical="center" wrapText="1"/>
    </xf>
    <xf numFmtId="14" fontId="33" fillId="0" borderId="1" xfId="0" applyNumberFormat="1" applyFont="1" applyBorder="1" applyAlignment="1">
      <alignment horizontal="center" vertical="center" wrapText="1"/>
    </xf>
    <xf numFmtId="0" fontId="0" fillId="0" borderId="60" xfId="0" applyBorder="1" applyAlignment="1">
      <alignment horizontal="center" vertical="center" wrapText="1"/>
    </xf>
    <xf numFmtId="0" fontId="0" fillId="0" borderId="30" xfId="0" applyBorder="1" applyAlignment="1">
      <alignment horizontal="center" vertical="center" wrapText="1"/>
    </xf>
    <xf numFmtId="0" fontId="0" fillId="0" borderId="31" xfId="0" applyBorder="1" applyAlignment="1">
      <alignment horizontal="left" vertical="center" wrapText="1"/>
    </xf>
    <xf numFmtId="0" fontId="0" fillId="0" borderId="22" xfId="0" applyBorder="1" applyAlignment="1">
      <alignment horizontal="center" vertical="center" wrapText="1"/>
    </xf>
    <xf numFmtId="0" fontId="0" fillId="0" borderId="1" xfId="0" applyBorder="1" applyAlignment="1">
      <alignment horizontal="left" vertical="center" wrapText="1"/>
    </xf>
    <xf numFmtId="0" fontId="0" fillId="0" borderId="24" xfId="0" applyBorder="1" applyAlignment="1">
      <alignment horizontal="center" vertical="center" wrapText="1"/>
    </xf>
    <xf numFmtId="0" fontId="0" fillId="0" borderId="25" xfId="0" applyBorder="1" applyAlignment="1">
      <alignment horizontal="left" vertical="center" wrapText="1"/>
    </xf>
    <xf numFmtId="0" fontId="0" fillId="0" borderId="36" xfId="0" applyBorder="1" applyAlignment="1">
      <alignment horizontal="center" vertical="center" wrapText="1"/>
    </xf>
    <xf numFmtId="0" fontId="0" fillId="0" borderId="23" xfId="0" applyBorder="1" applyAlignment="1">
      <alignment horizontal="center" vertical="center" wrapText="1"/>
    </xf>
    <xf numFmtId="0" fontId="0" fillId="0" borderId="26" xfId="0" applyBorder="1" applyAlignment="1">
      <alignment horizontal="center" vertical="center" wrapText="1"/>
    </xf>
    <xf numFmtId="0" fontId="0" fillId="0" borderId="20" xfId="0" applyBorder="1" applyAlignment="1">
      <alignment horizontal="center" vertical="center" wrapText="1"/>
    </xf>
    <xf numFmtId="0" fontId="0" fillId="0" borderId="42" xfId="0" applyBorder="1" applyAlignment="1">
      <alignment horizontal="left" vertical="center"/>
    </xf>
    <xf numFmtId="0" fontId="33" fillId="0" borderId="4" xfId="4" applyFont="1" applyBorder="1" applyAlignment="1">
      <alignment horizontal="center" vertical="center" wrapText="1"/>
    </xf>
    <xf numFmtId="10" fontId="33" fillId="0" borderId="4" xfId="89" applyNumberFormat="1" applyFont="1" applyFill="1" applyBorder="1" applyAlignment="1">
      <alignment horizontal="center" vertical="center" wrapText="1"/>
    </xf>
    <xf numFmtId="14" fontId="33" fillId="0" borderId="4" xfId="4" applyNumberFormat="1" applyFont="1" applyBorder="1" applyAlignment="1">
      <alignment horizontal="center" vertical="center" wrapText="1"/>
    </xf>
    <xf numFmtId="14" fontId="33" fillId="0" borderId="4" xfId="0" applyNumberFormat="1" applyFont="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left" vertical="center"/>
    </xf>
    <xf numFmtId="0" fontId="3" fillId="2" borderId="25" xfId="0" applyFont="1" applyFill="1" applyBorder="1" applyAlignment="1">
      <alignment horizontal="center" vertical="center" wrapText="1"/>
    </xf>
    <xf numFmtId="4" fontId="3" fillId="2" borderId="25" xfId="0" applyNumberFormat="1" applyFont="1" applyFill="1" applyBorder="1" applyAlignment="1">
      <alignment horizontal="center" vertical="center" wrapText="1"/>
    </xf>
    <xf numFmtId="169" fontId="3" fillId="2" borderId="25" xfId="0" applyNumberFormat="1" applyFont="1" applyFill="1" applyBorder="1" applyAlignment="1">
      <alignment horizontal="center" vertical="center" wrapText="1"/>
    </xf>
    <xf numFmtId="168" fontId="3" fillId="2" borderId="26" xfId="0" applyNumberFormat="1" applyFont="1" applyFill="1" applyBorder="1" applyAlignment="1">
      <alignment horizontal="center" vertical="center" wrapText="1"/>
    </xf>
    <xf numFmtId="0" fontId="33" fillId="0" borderId="4" xfId="4" applyFont="1" applyBorder="1" applyAlignment="1">
      <alignment horizontal="left" vertical="center" wrapText="1"/>
    </xf>
    <xf numFmtId="0" fontId="0" fillId="0" borderId="51" xfId="0" applyBorder="1" applyAlignment="1">
      <alignment horizontal="center" vertical="center" wrapText="1"/>
    </xf>
    <xf numFmtId="0" fontId="0" fillId="0" borderId="49" xfId="0" applyBorder="1" applyAlignment="1">
      <alignment horizontal="justify" vertical="center" wrapText="1"/>
    </xf>
    <xf numFmtId="0" fontId="19" fillId="0" borderId="47" xfId="0" applyFont="1" applyBorder="1" applyAlignment="1">
      <alignment horizontal="justify" vertical="center" wrapText="1"/>
    </xf>
    <xf numFmtId="0" fontId="19" fillId="0" borderId="48" xfId="0" applyFont="1" applyBorder="1" applyAlignment="1">
      <alignment horizontal="justify" vertical="center" wrapText="1"/>
    </xf>
    <xf numFmtId="0" fontId="19" fillId="0" borderId="39" xfId="0" applyFont="1" applyBorder="1" applyAlignment="1">
      <alignment horizontal="justify" vertical="center" wrapText="1"/>
    </xf>
    <xf numFmtId="0" fontId="0" fillId="2" borderId="4" xfId="0" applyFill="1" applyBorder="1" applyAlignment="1">
      <alignment horizontal="center" vertical="center" wrapText="1"/>
    </xf>
    <xf numFmtId="0" fontId="0" fillId="2" borderId="31" xfId="0" applyFill="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xf>
    <xf numFmtId="0" fontId="0" fillId="0" borderId="27" xfId="0" applyBorder="1" applyAlignment="1">
      <alignment vertical="center" wrapText="1"/>
    </xf>
    <xf numFmtId="4" fontId="0" fillId="0" borderId="0" xfId="0" applyNumberFormat="1" applyAlignment="1">
      <alignment horizontal="center" vertical="center" wrapText="1"/>
    </xf>
    <xf numFmtId="167" fontId="0" fillId="2" borderId="0" xfId="0" applyNumberFormat="1" applyFill="1" applyAlignment="1">
      <alignment horizontal="center" vertical="center" wrapText="1"/>
    </xf>
    <xf numFmtId="1" fontId="0" fillId="0" borderId="1" xfId="0" applyNumberFormat="1" applyBorder="1" applyAlignment="1">
      <alignment horizontal="center" vertical="center" wrapText="1"/>
    </xf>
    <xf numFmtId="1" fontId="0" fillId="0" borderId="25" xfId="0" applyNumberFormat="1" applyBorder="1" applyAlignment="1">
      <alignment horizontal="center" vertical="center" wrapText="1"/>
    </xf>
    <xf numFmtId="2" fontId="0" fillId="0" borderId="1" xfId="0" applyNumberFormat="1" applyBorder="1" applyAlignment="1">
      <alignment horizontal="center" vertical="center" wrapText="1"/>
    </xf>
    <xf numFmtId="167" fontId="0" fillId="0" borderId="31" xfId="0" applyNumberFormat="1" applyBorder="1" applyAlignment="1">
      <alignment horizontal="center" vertical="center" wrapText="1"/>
    </xf>
    <xf numFmtId="1" fontId="0" fillId="0" borderId="14" xfId="0" applyNumberFormat="1" applyBorder="1" applyAlignment="1">
      <alignment horizontal="center" vertical="center" wrapText="1"/>
    </xf>
    <xf numFmtId="167" fontId="0" fillId="0" borderId="36" xfId="0" applyNumberFormat="1" applyBorder="1" applyAlignment="1">
      <alignment horizontal="center" vertical="center" wrapText="1"/>
    </xf>
    <xf numFmtId="167" fontId="0" fillId="0" borderId="1" xfId="0" applyNumberFormat="1" applyBorder="1" applyAlignment="1">
      <alignment horizontal="center" vertical="center" wrapText="1"/>
    </xf>
    <xf numFmtId="1" fontId="0" fillId="0" borderId="5" xfId="0" applyNumberFormat="1" applyBorder="1" applyAlignment="1">
      <alignment horizontal="center" vertical="center" wrapText="1"/>
    </xf>
    <xf numFmtId="167" fontId="0" fillId="0" borderId="23" xfId="0" applyNumberFormat="1" applyBorder="1" applyAlignment="1">
      <alignment horizontal="center" vertical="center" wrapText="1"/>
    </xf>
    <xf numFmtId="167" fontId="0" fillId="0" borderId="25" xfId="0" applyNumberFormat="1" applyBorder="1" applyAlignment="1">
      <alignment horizontal="center" vertical="center" wrapText="1"/>
    </xf>
    <xf numFmtId="1" fontId="0" fillId="0" borderId="33" xfId="0" applyNumberFormat="1" applyBorder="1" applyAlignment="1">
      <alignment horizontal="center" vertical="center" wrapText="1"/>
    </xf>
    <xf numFmtId="167" fontId="0" fillId="0" borderId="26" xfId="0" applyNumberFormat="1" applyBorder="1" applyAlignment="1">
      <alignment horizontal="center" vertical="center" wrapText="1"/>
    </xf>
    <xf numFmtId="3" fontId="0" fillId="2" borderId="1" xfId="0" applyNumberFormat="1" applyFill="1" applyBorder="1" applyAlignment="1">
      <alignment horizontal="center" vertical="center" wrapText="1"/>
    </xf>
    <xf numFmtId="0" fontId="12" fillId="0" borderId="2" xfId="8" applyFont="1" applyBorder="1" applyAlignment="1">
      <alignment vertical="center" wrapText="1"/>
    </xf>
    <xf numFmtId="0" fontId="0" fillId="0" borderId="2" xfId="0" applyBorder="1" applyAlignment="1">
      <alignment vertical="center" wrapText="1"/>
    </xf>
    <xf numFmtId="0" fontId="0" fillId="0" borderId="27" xfId="0" applyBorder="1" applyAlignment="1">
      <alignment horizontal="center" vertical="center" wrapText="1"/>
    </xf>
    <xf numFmtId="0" fontId="0" fillId="0" borderId="55" xfId="0" applyBorder="1" applyAlignment="1">
      <alignment horizontal="left" vertical="center" wrapText="1"/>
    </xf>
    <xf numFmtId="0" fontId="19" fillId="0" borderId="49" xfId="0" applyFont="1" applyBorder="1" applyAlignment="1">
      <alignment horizontal="justify" vertical="center" wrapText="1"/>
    </xf>
    <xf numFmtId="0" fontId="19" fillId="0" borderId="50" xfId="0" applyFont="1" applyBorder="1" applyAlignment="1">
      <alignment horizontal="justify" vertical="center" wrapText="1"/>
    </xf>
    <xf numFmtId="0" fontId="28" fillId="0" borderId="50" xfId="0" applyFont="1" applyBorder="1" applyAlignment="1">
      <alignment horizontal="justify" vertical="center" wrapText="1"/>
    </xf>
    <xf numFmtId="0" fontId="19" fillId="0" borderId="57" xfId="0" applyFont="1" applyBorder="1" applyAlignment="1">
      <alignment horizontal="justify" vertical="center" wrapText="1"/>
    </xf>
    <xf numFmtId="0" fontId="19" fillId="0" borderId="60" xfId="0" applyFont="1" applyBorder="1" applyAlignment="1">
      <alignment horizontal="justify" vertical="center" wrapText="1"/>
    </xf>
    <xf numFmtId="0" fontId="19" fillId="0" borderId="50" xfId="0" applyFont="1" applyBorder="1" applyAlignment="1">
      <alignment vertical="center" wrapText="1"/>
    </xf>
    <xf numFmtId="0" fontId="3" fillId="0" borderId="50" xfId="0" applyFont="1" applyBorder="1" applyAlignment="1">
      <alignment horizontal="justify" vertical="center" wrapText="1"/>
    </xf>
    <xf numFmtId="0" fontId="12" fillId="0" borderId="60" xfId="0" applyFont="1" applyBorder="1" applyAlignment="1">
      <alignment horizontal="justify" vertical="center" wrapText="1"/>
    </xf>
    <xf numFmtId="0" fontId="3" fillId="19" borderId="22" xfId="0" applyFont="1" applyFill="1" applyBorder="1" applyAlignment="1">
      <alignment horizontal="justify" vertical="center" wrapText="1"/>
    </xf>
    <xf numFmtId="3" fontId="0" fillId="19" borderId="1" xfId="0" applyNumberFormat="1" applyFill="1" applyBorder="1" applyAlignment="1">
      <alignment horizontal="center" vertical="center" wrapText="1"/>
    </xf>
    <xf numFmtId="0" fontId="0" fillId="2" borderId="22" xfId="0" applyFill="1" applyBorder="1" applyAlignment="1">
      <alignment horizontal="center" vertical="center" wrapText="1"/>
    </xf>
    <xf numFmtId="0" fontId="33" fillId="0" borderId="1" xfId="4" applyFont="1" applyBorder="1" applyAlignment="1">
      <alignment horizontal="center" vertical="center"/>
    </xf>
    <xf numFmtId="172" fontId="33" fillId="0" borderId="1" xfId="4" applyNumberFormat="1" applyFont="1" applyBorder="1" applyAlignment="1">
      <alignment horizontal="center" vertical="center"/>
    </xf>
    <xf numFmtId="173" fontId="33" fillId="0" borderId="1" xfId="90" applyNumberFormat="1" applyFont="1" applyBorder="1" applyAlignment="1">
      <alignment horizontal="center" vertical="center" wrapText="1"/>
    </xf>
    <xf numFmtId="9" fontId="33" fillId="0" borderId="1" xfId="89" applyFont="1" applyBorder="1" applyAlignment="1">
      <alignment horizontal="center" vertical="center"/>
    </xf>
    <xf numFmtId="14" fontId="33" fillId="0" borderId="1" xfId="4" applyNumberFormat="1" applyFont="1" applyBorder="1" applyAlignment="1">
      <alignment horizontal="center" vertical="center"/>
    </xf>
    <xf numFmtId="173" fontId="33" fillId="0" borderId="1" xfId="90" applyNumberFormat="1" applyFont="1" applyBorder="1" applyAlignment="1">
      <alignment horizontal="center" vertical="center"/>
    </xf>
    <xf numFmtId="0" fontId="0" fillId="2" borderId="31" xfId="0" applyFill="1" applyBorder="1" applyAlignment="1">
      <alignment horizontal="left" vertical="center" wrapText="1"/>
    </xf>
    <xf numFmtId="10" fontId="0" fillId="2" borderId="31" xfId="1" applyNumberFormat="1" applyFont="1" applyFill="1" applyBorder="1" applyAlignment="1">
      <alignment horizontal="center" vertical="center" wrapText="1"/>
    </xf>
    <xf numFmtId="4" fontId="0" fillId="2" borderId="31" xfId="0" applyNumberFormat="1" applyFill="1" applyBorder="1" applyAlignment="1">
      <alignment horizontal="center" vertical="center" wrapText="1"/>
    </xf>
    <xf numFmtId="0" fontId="0" fillId="2" borderId="36"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 xfId="0" applyFill="1" applyBorder="1" applyAlignment="1">
      <alignment horizontal="left" vertical="center" wrapText="1"/>
    </xf>
    <xf numFmtId="0" fontId="0" fillId="2" borderId="23" xfId="0" applyFill="1" applyBorder="1" applyAlignment="1">
      <alignment horizontal="center" vertical="center" wrapText="1"/>
    </xf>
    <xf numFmtId="0" fontId="0" fillId="2" borderId="25" xfId="0" applyFill="1" applyBorder="1" applyAlignment="1">
      <alignment horizontal="left" vertical="center" wrapText="1"/>
    </xf>
    <xf numFmtId="167" fontId="0" fillId="2" borderId="1" xfId="0" applyNumberFormat="1" applyFill="1" applyBorder="1" applyAlignment="1">
      <alignment horizontal="center" vertical="center" wrapText="1"/>
    </xf>
    <xf numFmtId="1" fontId="0" fillId="2" borderId="1" xfId="0" applyNumberFormat="1" applyFill="1" applyBorder="1" applyAlignment="1">
      <alignment horizontal="center" vertical="center" wrapText="1"/>
    </xf>
    <xf numFmtId="2" fontId="0" fillId="2" borderId="1" xfId="0" applyNumberFormat="1" applyFill="1" applyBorder="1" applyAlignment="1">
      <alignment horizontal="center" vertical="center" wrapText="1"/>
    </xf>
    <xf numFmtId="1" fontId="0" fillId="2" borderId="5" xfId="0" applyNumberFormat="1" applyFill="1" applyBorder="1" applyAlignment="1">
      <alignment horizontal="center" vertical="center" wrapText="1"/>
    </xf>
    <xf numFmtId="167" fontId="0" fillId="2" borderId="23" xfId="0" applyNumberFormat="1" applyFill="1" applyBorder="1" applyAlignment="1">
      <alignment horizontal="center" vertical="center" wrapText="1"/>
    </xf>
    <xf numFmtId="1" fontId="0" fillId="21" borderId="1" xfId="0" applyNumberFormat="1" applyFill="1" applyBorder="1" applyAlignment="1">
      <alignment horizontal="center" vertical="center" wrapText="1"/>
    </xf>
    <xf numFmtId="0" fontId="0" fillId="21" borderId="50" xfId="0" applyFill="1" applyBorder="1" applyAlignment="1">
      <alignment horizontal="justify" vertical="center" wrapText="1"/>
    </xf>
    <xf numFmtId="0" fontId="0" fillId="21" borderId="31" xfId="0" applyFill="1" applyBorder="1" applyAlignment="1">
      <alignment horizontal="center" vertical="center" wrapText="1"/>
    </xf>
    <xf numFmtId="0" fontId="0" fillId="21" borderId="1" xfId="0" applyFill="1" applyBorder="1" applyAlignment="1">
      <alignment horizontal="center" vertical="center" wrapText="1"/>
    </xf>
    <xf numFmtId="0" fontId="0" fillId="0" borderId="10" xfId="0" applyBorder="1" applyAlignment="1">
      <alignment horizontal="center" vertical="center" wrapText="1"/>
    </xf>
    <xf numFmtId="0" fontId="0" fillId="2" borderId="7" xfId="0" applyFill="1" applyBorder="1" applyAlignment="1">
      <alignment horizontal="center" vertical="center" wrapText="1"/>
    </xf>
    <xf numFmtId="0" fontId="0" fillId="2" borderId="4" xfId="0" applyFill="1" applyBorder="1" applyAlignment="1">
      <alignment horizontal="justify" vertical="center" wrapText="1"/>
    </xf>
    <xf numFmtId="0" fontId="19" fillId="2" borderId="50" xfId="0" applyFont="1" applyFill="1" applyBorder="1" applyAlignment="1">
      <alignment horizontal="justify" vertical="center" wrapText="1"/>
    </xf>
    <xf numFmtId="0" fontId="19" fillId="2" borderId="60" xfId="0" applyFont="1" applyFill="1" applyBorder="1" applyAlignment="1">
      <alignment horizontal="justify" vertical="center" wrapText="1"/>
    </xf>
    <xf numFmtId="0" fontId="0" fillId="0" borderId="4" xfId="0" applyBorder="1" applyAlignment="1">
      <alignment horizontal="left" vertical="center" wrapText="1"/>
    </xf>
    <xf numFmtId="0" fontId="3" fillId="23" borderId="1" xfId="0" applyFont="1" applyFill="1" applyBorder="1" applyAlignment="1">
      <alignment horizontal="center" vertical="center" wrapText="1"/>
    </xf>
    <xf numFmtId="0" fontId="38" fillId="0" borderId="1" xfId="4" applyFont="1" applyBorder="1" applyAlignment="1">
      <alignment horizontal="center" vertical="center"/>
    </xf>
    <xf numFmtId="0" fontId="12" fillId="0" borderId="1" xfId="4" applyFont="1" applyBorder="1" applyAlignment="1">
      <alignment horizontal="justify" vertical="center" wrapText="1"/>
    </xf>
    <xf numFmtId="0" fontId="38" fillId="0" borderId="1" xfId="4" applyFont="1" applyBorder="1" applyAlignment="1">
      <alignment horizontal="center" vertical="center" wrapText="1"/>
    </xf>
    <xf numFmtId="0" fontId="0" fillId="2" borderId="50" xfId="0" applyFill="1" applyBorder="1" applyAlignment="1">
      <alignment horizontal="center" vertical="center" wrapText="1"/>
    </xf>
    <xf numFmtId="166" fontId="0" fillId="2" borderId="1" xfId="0" applyNumberFormat="1" applyFill="1" applyBorder="1" applyAlignment="1">
      <alignment horizontal="center" vertical="center" wrapText="1"/>
    </xf>
    <xf numFmtId="0" fontId="0" fillId="2" borderId="2" xfId="0" applyFill="1" applyBorder="1" applyAlignment="1">
      <alignment horizontal="center" vertical="center" wrapText="1"/>
    </xf>
    <xf numFmtId="0" fontId="39" fillId="0" borderId="0" xfId="0" applyFont="1" applyAlignment="1">
      <alignment horizontal="justify" vertical="center"/>
    </xf>
    <xf numFmtId="2" fontId="12" fillId="21" borderId="1" xfId="0" applyNumberFormat="1" applyFont="1" applyFill="1" applyBorder="1" applyAlignment="1">
      <alignment horizontal="center" vertical="center" wrapText="1"/>
    </xf>
    <xf numFmtId="0" fontId="42" fillId="0" borderId="70" xfId="0" applyFont="1" applyBorder="1" applyAlignment="1">
      <alignment horizontal="center" vertical="center" wrapText="1"/>
    </xf>
    <xf numFmtId="0" fontId="43" fillId="0" borderId="1" xfId="4" applyFont="1" applyBorder="1" applyAlignment="1">
      <alignment vertical="center" wrapText="1"/>
    </xf>
    <xf numFmtId="0" fontId="43" fillId="0" borderId="1" xfId="4" applyFont="1" applyBorder="1" applyAlignment="1">
      <alignment horizontal="center" vertical="center" wrapText="1"/>
    </xf>
    <xf numFmtId="0" fontId="43" fillId="0" borderId="1" xfId="4" applyFont="1" applyBorder="1" applyAlignment="1">
      <alignment vertical="center"/>
    </xf>
    <xf numFmtId="0" fontId="43" fillId="0" borderId="1" xfId="4" applyFont="1" applyBorder="1" applyAlignment="1">
      <alignment horizontal="left" vertical="center" wrapText="1"/>
    </xf>
    <xf numFmtId="0" fontId="5" fillId="2" borderId="1" xfId="95" applyFont="1" applyFill="1" applyBorder="1" applyAlignment="1">
      <alignment horizontal="center" vertical="center" wrapText="1"/>
    </xf>
    <xf numFmtId="0" fontId="44" fillId="2" borderId="1" xfId="95" applyFont="1" applyFill="1" applyBorder="1" applyAlignment="1">
      <alignment horizontal="justify" vertical="center" wrapText="1"/>
    </xf>
    <xf numFmtId="0" fontId="43" fillId="0" borderId="1" xfId="95" applyFont="1" applyBorder="1" applyAlignment="1">
      <alignment horizontal="center" vertical="center"/>
    </xf>
    <xf numFmtId="0" fontId="43" fillId="0" borderId="1" xfId="95" applyFont="1" applyBorder="1" applyAlignment="1">
      <alignment horizontal="justify" vertical="center" wrapText="1"/>
    </xf>
    <xf numFmtId="0" fontId="43" fillId="0" borderId="1" xfId="95" applyFont="1" applyBorder="1" applyAlignment="1">
      <alignment horizontal="center" vertical="center" wrapText="1"/>
    </xf>
    <xf numFmtId="9" fontId="12" fillId="0" borderId="1" xfId="89" applyFont="1" applyBorder="1" applyAlignment="1">
      <alignment horizontal="center" vertical="center" wrapText="1"/>
    </xf>
    <xf numFmtId="10" fontId="42" fillId="0" borderId="70" xfId="0" applyNumberFormat="1" applyFont="1" applyBorder="1" applyAlignment="1">
      <alignment horizontal="center" vertical="center"/>
    </xf>
    <xf numFmtId="15" fontId="42" fillId="0" borderId="70" xfId="0" applyNumberFormat="1" applyFont="1" applyBorder="1" applyAlignment="1">
      <alignment horizontal="center" vertical="center" wrapText="1"/>
    </xf>
    <xf numFmtId="14" fontId="45" fillId="25" borderId="1" xfId="4" applyNumberFormat="1" applyFont="1" applyFill="1" applyBorder="1" applyAlignment="1">
      <alignment horizontal="center" vertical="center" wrapText="1"/>
    </xf>
    <xf numFmtId="173" fontId="33" fillId="0" borderId="1" xfId="0" applyNumberFormat="1" applyFont="1" applyBorder="1" applyAlignment="1">
      <alignment horizontal="center" vertical="center"/>
    </xf>
    <xf numFmtId="9" fontId="43" fillId="0" borderId="1" xfId="89" applyFont="1" applyBorder="1" applyAlignment="1">
      <alignment horizontal="center" vertical="center" wrapText="1"/>
    </xf>
    <xf numFmtId="14" fontId="43" fillId="0" borderId="1" xfId="4" applyNumberFormat="1" applyFont="1" applyBorder="1" applyAlignment="1">
      <alignment horizontal="center" vertical="center" wrapText="1"/>
    </xf>
    <xf numFmtId="14" fontId="43" fillId="0" borderId="1" xfId="0" applyNumberFormat="1" applyFont="1" applyBorder="1" applyAlignment="1">
      <alignment horizontal="center" vertical="center" wrapText="1"/>
    </xf>
    <xf numFmtId="9" fontId="43" fillId="0" borderId="1" xfId="4" applyNumberFormat="1" applyFont="1" applyBorder="1" applyAlignment="1">
      <alignment horizontal="center" vertical="center" wrapText="1"/>
    </xf>
    <xf numFmtId="9" fontId="46" fillId="2" borderId="1" xfId="7" applyNumberFormat="1" applyFont="1" applyFill="1" applyBorder="1" applyAlignment="1">
      <alignment horizontal="center" vertical="center" wrapText="1"/>
    </xf>
    <xf numFmtId="14" fontId="44" fillId="2" borderId="1" xfId="96" applyNumberFormat="1" applyFont="1" applyFill="1" applyBorder="1" applyAlignment="1">
      <alignment horizontal="center" vertical="center" wrapText="1"/>
    </xf>
    <xf numFmtId="14" fontId="44" fillId="2" borderId="1" xfId="95" applyNumberFormat="1" applyFont="1" applyFill="1" applyBorder="1" applyAlignment="1">
      <alignment horizontal="center" vertical="center" wrapText="1"/>
    </xf>
    <xf numFmtId="9" fontId="47" fillId="0" borderId="1" xfId="95" applyNumberFormat="1" applyFont="1" applyBorder="1" applyAlignment="1">
      <alignment horizontal="center" vertical="center"/>
    </xf>
    <xf numFmtId="14" fontId="47" fillId="0" borderId="1" xfId="95" applyNumberFormat="1" applyFont="1" applyBorder="1" applyAlignment="1">
      <alignment horizontal="center" vertical="center"/>
    </xf>
    <xf numFmtId="0" fontId="42" fillId="0" borderId="70" xfId="0" applyFont="1" applyBorder="1" applyAlignment="1">
      <alignment horizontal="center" vertical="center"/>
    </xf>
    <xf numFmtId="4" fontId="44" fillId="0" borderId="4" xfId="0" applyNumberFormat="1" applyFont="1" applyBorder="1" applyAlignment="1">
      <alignment horizontal="center" vertical="center" wrapText="1"/>
    </xf>
    <xf numFmtId="0" fontId="12" fillId="26" borderId="55" xfId="0" applyFont="1" applyFill="1" applyBorder="1" applyAlignment="1">
      <alignment horizontal="justify" vertical="center" wrapText="1"/>
    </xf>
    <xf numFmtId="0" fontId="12" fillId="26" borderId="56" xfId="0" applyFont="1" applyFill="1" applyBorder="1" applyAlignment="1">
      <alignment horizontal="justify" vertical="center" wrapText="1"/>
    </xf>
    <xf numFmtId="0" fontId="48" fillId="0" borderId="1" xfId="0" applyFont="1" applyBorder="1" applyAlignment="1">
      <alignment horizontal="center" vertical="center" wrapText="1"/>
    </xf>
    <xf numFmtId="9" fontId="0" fillId="0" borderId="1" xfId="0" applyNumberFormat="1" applyBorder="1" applyAlignment="1">
      <alignment horizontal="left" vertical="center" wrapText="1"/>
    </xf>
    <xf numFmtId="0" fontId="49" fillId="0" borderId="1" xfId="4" applyFont="1" applyBorder="1" applyAlignment="1">
      <alignment horizontal="center" vertical="center" wrapText="1"/>
    </xf>
    <xf numFmtId="0" fontId="49" fillId="0" borderId="1" xfId="4" applyFont="1" applyBorder="1" applyAlignment="1">
      <alignment horizontal="center" vertical="center"/>
    </xf>
    <xf numFmtId="0" fontId="50" fillId="0" borderId="4" xfId="0" applyFont="1" applyBorder="1" applyAlignment="1">
      <alignment horizontal="center" vertical="center" wrapText="1"/>
    </xf>
    <xf numFmtId="0" fontId="49" fillId="0" borderId="1" xfId="0" applyFont="1" applyBorder="1" applyAlignment="1">
      <alignment horizontal="center" vertical="center" wrapText="1"/>
    </xf>
    <xf numFmtId="0" fontId="50" fillId="0" borderId="1" xfId="0" applyFont="1" applyBorder="1" applyAlignment="1">
      <alignment horizontal="center" vertical="center" wrapText="1"/>
    </xf>
    <xf numFmtId="0" fontId="49" fillId="0" borderId="2" xfId="4" applyFont="1" applyBorder="1" applyAlignment="1">
      <alignment horizontal="center" vertical="center" wrapText="1"/>
    </xf>
    <xf numFmtId="0" fontId="49" fillId="0" borderId="2" xfId="4" applyFont="1" applyBorder="1" applyAlignment="1">
      <alignment horizontal="center" vertical="center"/>
    </xf>
    <xf numFmtId="0" fontId="51" fillId="0" borderId="1" xfId="0" applyFont="1" applyBorder="1" applyAlignment="1">
      <alignment horizontal="center" vertical="center" wrapText="1"/>
    </xf>
    <xf numFmtId="0" fontId="50" fillId="0" borderId="1" xfId="0" applyFont="1" applyBorder="1" applyAlignment="1">
      <alignment horizontal="justify" vertical="center" wrapText="1"/>
    </xf>
    <xf numFmtId="0" fontId="50" fillId="0" borderId="25" xfId="0" applyFont="1" applyBorder="1" applyAlignment="1">
      <alignment horizontal="center" vertical="center" wrapText="1"/>
    </xf>
    <xf numFmtId="0" fontId="50" fillId="0" borderId="25" xfId="0" applyFont="1" applyBorder="1" applyAlignment="1">
      <alignment horizontal="justify" vertical="center" wrapText="1"/>
    </xf>
    <xf numFmtId="0" fontId="50" fillId="0" borderId="31" xfId="0" applyFont="1" applyBorder="1" applyAlignment="1">
      <alignment horizontal="center" vertical="center" wrapText="1"/>
    </xf>
    <xf numFmtId="0" fontId="50" fillId="0" borderId="4" xfId="0" applyFont="1" applyBorder="1" applyAlignment="1">
      <alignment horizontal="justify" vertical="center" wrapText="1"/>
    </xf>
    <xf numFmtId="0" fontId="49" fillId="0" borderId="4" xfId="4" applyFont="1" applyBorder="1" applyAlignment="1">
      <alignment horizontal="center" vertical="center"/>
    </xf>
    <xf numFmtId="0" fontId="49" fillId="0" borderId="4" xfId="4" applyFont="1" applyBorder="1" applyAlignment="1">
      <alignment vertical="center" wrapText="1"/>
    </xf>
    <xf numFmtId="0" fontId="49" fillId="0" borderId="1" xfId="4" applyFont="1" applyBorder="1" applyAlignment="1">
      <alignment vertical="center" wrapText="1"/>
    </xf>
    <xf numFmtId="0" fontId="52" fillId="0" borderId="4" xfId="4" applyFont="1" applyBorder="1" applyAlignment="1">
      <alignment horizontal="center" vertical="center" wrapText="1"/>
    </xf>
    <xf numFmtId="0" fontId="52" fillId="0" borderId="1" xfId="4" applyFont="1" applyBorder="1" applyAlignment="1">
      <alignment horizontal="center" vertical="center" wrapText="1"/>
    </xf>
    <xf numFmtId="0" fontId="52" fillId="0" borderId="1" xfId="4" applyFont="1" applyBorder="1" applyAlignment="1">
      <alignment horizontal="center" vertical="center"/>
    </xf>
    <xf numFmtId="0" fontId="49" fillId="0" borderId="4" xfId="4" applyFont="1" applyBorder="1" applyAlignment="1">
      <alignment horizontal="center" vertical="center" wrapText="1"/>
    </xf>
    <xf numFmtId="0" fontId="51" fillId="0" borderId="4" xfId="4" applyFont="1" applyBorder="1" applyAlignment="1">
      <alignment horizontal="center" vertical="center" wrapText="1"/>
    </xf>
    <xf numFmtId="0" fontId="51" fillId="0" borderId="4" xfId="4" applyFont="1" applyBorder="1" applyAlignment="1">
      <alignment horizontal="center" vertical="center"/>
    </xf>
    <xf numFmtId="0" fontId="51" fillId="0" borderId="4" xfId="4" quotePrefix="1" applyFont="1" applyBorder="1" applyAlignment="1">
      <alignment horizontal="center" vertical="center"/>
    </xf>
    <xf numFmtId="0" fontId="51" fillId="0" borderId="4" xfId="4" applyFont="1" applyBorder="1" applyAlignment="1">
      <alignment horizontal="justify" vertical="center" wrapText="1"/>
    </xf>
    <xf numFmtId="0" fontId="51" fillId="0" borderId="1" xfId="4" applyFont="1" applyBorder="1" applyAlignment="1">
      <alignment horizontal="center" vertical="center" wrapText="1"/>
    </xf>
    <xf numFmtId="0" fontId="51" fillId="0" borderId="1" xfId="4" applyFont="1" applyBorder="1" applyAlignment="1">
      <alignment horizontal="center" vertical="center"/>
    </xf>
    <xf numFmtId="0" fontId="51" fillId="0" borderId="1" xfId="4" quotePrefix="1" applyFont="1" applyBorder="1" applyAlignment="1">
      <alignment horizontal="center" vertical="center"/>
    </xf>
    <xf numFmtId="0" fontId="51" fillId="0" borderId="1" xfId="4" applyFont="1" applyBorder="1" applyAlignment="1">
      <alignment horizontal="justify" vertical="center" wrapText="1"/>
    </xf>
    <xf numFmtId="9" fontId="49" fillId="0" borderId="1" xfId="89" applyFont="1" applyFill="1" applyBorder="1" applyAlignment="1">
      <alignment horizontal="center" vertical="center"/>
    </xf>
    <xf numFmtId="14" fontId="49" fillId="0" borderId="1" xfId="4" applyNumberFormat="1" applyFont="1" applyBorder="1" applyAlignment="1">
      <alignment horizontal="center" vertical="center"/>
    </xf>
    <xf numFmtId="14" fontId="49" fillId="0" borderId="1" xfId="0" applyNumberFormat="1" applyFont="1" applyBorder="1" applyAlignment="1">
      <alignment horizontal="center" vertical="center"/>
    </xf>
    <xf numFmtId="9" fontId="49" fillId="0" borderId="2" xfId="89" applyFont="1" applyFill="1" applyBorder="1" applyAlignment="1">
      <alignment horizontal="center" vertical="center"/>
    </xf>
    <xf numFmtId="14" fontId="49" fillId="0" borderId="2" xfId="4" applyNumberFormat="1" applyFont="1" applyBorder="1" applyAlignment="1">
      <alignment horizontal="center" vertical="center"/>
    </xf>
    <xf numFmtId="14" fontId="49" fillId="0" borderId="2" xfId="0" applyNumberFormat="1" applyFont="1" applyBorder="1" applyAlignment="1">
      <alignment horizontal="center" vertical="center"/>
    </xf>
    <xf numFmtId="10" fontId="50" fillId="0" borderId="1" xfId="1" applyNumberFormat="1" applyFont="1" applyFill="1" applyBorder="1" applyAlignment="1">
      <alignment horizontal="center" vertical="center" wrapText="1"/>
    </xf>
    <xf numFmtId="166" fontId="50" fillId="0" borderId="1" xfId="0" applyNumberFormat="1" applyFont="1" applyBorder="1" applyAlignment="1">
      <alignment horizontal="center" vertical="center" wrapText="1"/>
    </xf>
    <xf numFmtId="10" fontId="50" fillId="0" borderId="25" xfId="1" applyNumberFormat="1" applyFont="1" applyFill="1" applyBorder="1" applyAlignment="1">
      <alignment horizontal="center" vertical="center" wrapText="1"/>
    </xf>
    <xf numFmtId="166" fontId="50" fillId="0" borderId="25" xfId="0" applyNumberFormat="1" applyFont="1" applyBorder="1" applyAlignment="1">
      <alignment horizontal="center" vertical="center" wrapText="1"/>
    </xf>
    <xf numFmtId="10" fontId="50" fillId="0" borderId="31" xfId="1" applyNumberFormat="1" applyFont="1" applyFill="1" applyBorder="1" applyAlignment="1">
      <alignment horizontal="center" vertical="center" wrapText="1"/>
    </xf>
    <xf numFmtId="166" fontId="50" fillId="0" borderId="31" xfId="0" applyNumberFormat="1" applyFont="1" applyBorder="1" applyAlignment="1">
      <alignment horizontal="center" vertical="center" wrapText="1"/>
    </xf>
    <xf numFmtId="10" fontId="50" fillId="0" borderId="4" xfId="1" applyNumberFormat="1" applyFont="1" applyFill="1" applyBorder="1" applyAlignment="1">
      <alignment horizontal="center" vertical="center" wrapText="1"/>
    </xf>
    <xf numFmtId="166" fontId="50" fillId="0" borderId="4" xfId="0" applyNumberFormat="1" applyFont="1" applyBorder="1" applyAlignment="1">
      <alignment horizontal="center" vertical="center" wrapText="1"/>
    </xf>
    <xf numFmtId="9" fontId="49" fillId="0" borderId="4" xfId="4" applyNumberFormat="1" applyFont="1" applyBorder="1" applyAlignment="1">
      <alignment horizontal="center" vertical="center"/>
    </xf>
    <xf numFmtId="14" fontId="49" fillId="0" borderId="4" xfId="4" applyNumberFormat="1" applyFont="1" applyBorder="1" applyAlignment="1">
      <alignment horizontal="center" vertical="center"/>
    </xf>
    <xf numFmtId="14" fontId="49" fillId="0" borderId="4" xfId="0" applyNumberFormat="1" applyFont="1" applyBorder="1" applyAlignment="1">
      <alignment horizontal="center" vertical="center"/>
    </xf>
    <xf numFmtId="9" fontId="49" fillId="0" borderId="1" xfId="4" applyNumberFormat="1" applyFont="1" applyBorder="1" applyAlignment="1">
      <alignment horizontal="center" vertical="center"/>
    </xf>
    <xf numFmtId="174" fontId="49" fillId="0" borderId="1" xfId="89" applyNumberFormat="1" applyFont="1" applyFill="1" applyBorder="1" applyAlignment="1">
      <alignment horizontal="center" vertical="center"/>
    </xf>
    <xf numFmtId="14" fontId="49" fillId="0" borderId="1" xfId="4" applyNumberFormat="1" applyFont="1" applyBorder="1" applyAlignment="1">
      <alignment vertical="center"/>
    </xf>
    <xf numFmtId="9" fontId="52" fillId="0" borderId="4" xfId="4" applyNumberFormat="1" applyFont="1" applyBorder="1" applyAlignment="1">
      <alignment horizontal="center" vertical="center" wrapText="1"/>
    </xf>
    <xf numFmtId="14" fontId="52" fillId="0" borderId="4" xfId="4" applyNumberFormat="1" applyFont="1" applyBorder="1" applyAlignment="1">
      <alignment horizontal="center" vertical="center" wrapText="1"/>
    </xf>
    <xf numFmtId="14" fontId="52" fillId="0" borderId="4" xfId="0" applyNumberFormat="1" applyFont="1" applyBorder="1" applyAlignment="1">
      <alignment horizontal="center" vertical="center" wrapText="1"/>
    </xf>
    <xf numFmtId="9" fontId="52" fillId="0" borderId="1" xfId="4" applyNumberFormat="1" applyFont="1" applyBorder="1" applyAlignment="1">
      <alignment horizontal="center" vertical="center" wrapText="1"/>
    </xf>
    <xf numFmtId="14" fontId="52" fillId="0" borderId="1" xfId="4" applyNumberFormat="1" applyFont="1" applyBorder="1" applyAlignment="1">
      <alignment horizontal="center" vertical="center" wrapText="1"/>
    </xf>
    <xf numFmtId="14" fontId="52" fillId="0" borderId="1" xfId="0" applyNumberFormat="1" applyFont="1" applyBorder="1" applyAlignment="1">
      <alignment horizontal="center" vertical="center" wrapText="1"/>
    </xf>
    <xf numFmtId="9" fontId="52" fillId="0" borderId="1" xfId="10" applyNumberFormat="1" applyFont="1" applyFill="1" applyBorder="1" applyAlignment="1">
      <alignment horizontal="center" vertical="center" wrapText="1"/>
    </xf>
    <xf numFmtId="10" fontId="51" fillId="0" borderId="4" xfId="97" applyNumberFormat="1" applyFont="1" applyFill="1" applyBorder="1" applyAlignment="1">
      <alignment horizontal="center" vertical="center"/>
    </xf>
    <xf numFmtId="14" fontId="51" fillId="0" borderId="4" xfId="4" applyNumberFormat="1" applyFont="1" applyBorder="1" applyAlignment="1">
      <alignment horizontal="center" vertical="center"/>
    </xf>
    <xf numFmtId="9" fontId="51" fillId="0" borderId="1" xfId="97" applyFont="1" applyFill="1" applyBorder="1" applyAlignment="1">
      <alignment horizontal="center" vertical="center"/>
    </xf>
    <xf numFmtId="14" fontId="51" fillId="0" borderId="1" xfId="4" applyNumberFormat="1" applyFont="1" applyBorder="1" applyAlignment="1">
      <alignment horizontal="center" vertical="center"/>
    </xf>
    <xf numFmtId="9" fontId="51" fillId="0" borderId="1" xfId="89" applyFont="1" applyFill="1" applyBorder="1" applyAlignment="1">
      <alignment horizontal="center" vertical="center"/>
    </xf>
    <xf numFmtId="4" fontId="50" fillId="0" borderId="4" xfId="0" applyNumberFormat="1" applyFont="1" applyBorder="1" applyAlignment="1">
      <alignment horizontal="center" vertical="center" wrapText="1"/>
    </xf>
    <xf numFmtId="4" fontId="50" fillId="0" borderId="1" xfId="0" applyNumberFormat="1" applyFont="1" applyBorder="1" applyAlignment="1">
      <alignment horizontal="center" vertical="center" wrapText="1"/>
    </xf>
    <xf numFmtId="4" fontId="50" fillId="0" borderId="25" xfId="0" applyNumberFormat="1" applyFont="1" applyBorder="1" applyAlignment="1">
      <alignment horizontal="center" vertical="center" wrapText="1"/>
    </xf>
    <xf numFmtId="4" fontId="50" fillId="0" borderId="31" xfId="0" applyNumberFormat="1" applyFont="1" applyBorder="1" applyAlignment="1">
      <alignment horizontal="center" vertical="center" wrapText="1"/>
    </xf>
    <xf numFmtId="2" fontId="52" fillId="0" borderId="4" xfId="4" applyNumberFormat="1" applyFont="1" applyBorder="1" applyAlignment="1">
      <alignment horizontal="center" vertical="center" wrapText="1"/>
    </xf>
    <xf numFmtId="2" fontId="52" fillId="0" borderId="1" xfId="4" applyNumberFormat="1" applyFont="1" applyBorder="1" applyAlignment="1">
      <alignment horizontal="center" vertical="center" wrapText="1"/>
    </xf>
    <xf numFmtId="2" fontId="52" fillId="0" borderId="1" xfId="4" applyNumberFormat="1" applyFont="1" applyBorder="1" applyAlignment="1">
      <alignment horizontal="center" vertical="center"/>
    </xf>
    <xf numFmtId="4" fontId="49" fillId="0" borderId="4" xfId="4" applyNumberFormat="1" applyFont="1" applyBorder="1" applyAlignment="1">
      <alignment horizontal="center" vertical="center"/>
    </xf>
    <xf numFmtId="4" fontId="49" fillId="0" borderId="1" xfId="4" applyNumberFormat="1" applyFont="1" applyBorder="1" applyAlignment="1">
      <alignment horizontal="center" vertical="center"/>
    </xf>
    <xf numFmtId="165" fontId="49" fillId="0" borderId="1" xfId="2" applyFont="1" applyFill="1" applyBorder="1" applyAlignment="1">
      <alignment horizontal="center" vertical="center"/>
    </xf>
    <xf numFmtId="165" fontId="49" fillId="0" borderId="2" xfId="2" applyFont="1" applyFill="1" applyBorder="1" applyAlignment="1">
      <alignment horizontal="center" vertical="center"/>
    </xf>
    <xf numFmtId="4" fontId="51" fillId="0" borderId="4" xfId="4" applyNumberFormat="1" applyFont="1" applyBorder="1" applyAlignment="1">
      <alignment horizontal="center" vertical="center"/>
    </xf>
    <xf numFmtId="4" fontId="51" fillId="0" borderId="1" xfId="4" applyNumberFormat="1" applyFont="1" applyBorder="1" applyAlignment="1">
      <alignment horizontal="center" vertical="center"/>
    </xf>
    <xf numFmtId="9" fontId="43" fillId="2" borderId="1" xfId="89" applyFont="1" applyFill="1" applyBorder="1" applyAlignment="1">
      <alignment horizontal="center" vertical="center" wrapText="1"/>
    </xf>
    <xf numFmtId="14" fontId="43" fillId="2" borderId="1" xfId="4" applyNumberFormat="1" applyFont="1" applyFill="1" applyBorder="1" applyAlignment="1">
      <alignment horizontal="center" vertical="center" wrapText="1"/>
    </xf>
    <xf numFmtId="14" fontId="43" fillId="2" borderId="1" xfId="0" applyNumberFormat="1" applyFont="1" applyFill="1" applyBorder="1" applyAlignment="1">
      <alignment horizontal="center" vertical="center" wrapText="1"/>
    </xf>
    <xf numFmtId="4" fontId="0" fillId="2" borderId="4" xfId="0" applyNumberFormat="1" applyFill="1" applyBorder="1" applyAlignment="1">
      <alignment horizontal="center" vertical="center" wrapText="1"/>
    </xf>
    <xf numFmtId="0" fontId="43" fillId="2" borderId="1" xfId="4" applyFont="1" applyFill="1" applyBorder="1" applyAlignment="1">
      <alignment horizontal="center" vertical="center" wrapText="1"/>
    </xf>
    <xf numFmtId="9" fontId="43" fillId="2" borderId="1" xfId="4" applyNumberFormat="1" applyFont="1" applyFill="1" applyBorder="1" applyAlignment="1">
      <alignment horizontal="center" vertical="center" wrapText="1"/>
    </xf>
    <xf numFmtId="0" fontId="43" fillId="2" borderId="1" xfId="4" applyFont="1" applyFill="1" applyBorder="1" applyAlignment="1">
      <alignment horizontal="center" vertical="center"/>
    </xf>
    <xf numFmtId="4" fontId="44" fillId="2" borderId="1" xfId="0" applyNumberFormat="1" applyFont="1" applyFill="1" applyBorder="1" applyAlignment="1">
      <alignment horizontal="center" vertical="center" wrapText="1"/>
    </xf>
    <xf numFmtId="9" fontId="33" fillId="2" borderId="1" xfId="89" applyFont="1" applyFill="1" applyBorder="1" applyAlignment="1">
      <alignment horizontal="center" vertical="center" wrapText="1"/>
    </xf>
    <xf numFmtId="0" fontId="0" fillId="2" borderId="1" xfId="0" applyFill="1" applyBorder="1" applyAlignment="1">
      <alignment horizontal="justify" vertical="center" wrapText="1"/>
    </xf>
    <xf numFmtId="0" fontId="43" fillId="2" borderId="1" xfId="95" applyFont="1" applyFill="1" applyBorder="1" applyAlignment="1">
      <alignment horizontal="center" vertical="center" wrapText="1"/>
    </xf>
    <xf numFmtId="14" fontId="47" fillId="2" borderId="1" xfId="95" applyNumberFormat="1" applyFont="1" applyFill="1" applyBorder="1" applyAlignment="1">
      <alignment horizontal="center" vertical="center"/>
    </xf>
    <xf numFmtId="0" fontId="12" fillId="2" borderId="1" xfId="4" applyFont="1" applyFill="1" applyBorder="1" applyAlignment="1">
      <alignment horizontal="center" vertical="center" wrapText="1"/>
    </xf>
    <xf numFmtId="0" fontId="0" fillId="2" borderId="25" xfId="0" applyFill="1" applyBorder="1" applyAlignment="1">
      <alignment horizontal="justify" vertical="center" wrapText="1"/>
    </xf>
    <xf numFmtId="0" fontId="42" fillId="2" borderId="70" xfId="0" applyFont="1" applyFill="1" applyBorder="1" applyAlignment="1">
      <alignment horizontal="center" vertical="center" wrapText="1"/>
    </xf>
    <xf numFmtId="166" fontId="0" fillId="2" borderId="4" xfId="0" applyNumberFormat="1" applyFill="1" applyBorder="1" applyAlignment="1">
      <alignment horizontal="center" vertical="center" wrapText="1"/>
    </xf>
    <xf numFmtId="14" fontId="12" fillId="2" borderId="1" xfId="4" applyNumberFormat="1" applyFont="1" applyFill="1" applyBorder="1" applyAlignment="1">
      <alignment horizontal="center" vertical="center" wrapText="1"/>
    </xf>
    <xf numFmtId="14" fontId="12" fillId="2" borderId="1" xfId="0" applyNumberFormat="1" applyFont="1" applyFill="1" applyBorder="1" applyAlignment="1">
      <alignment horizontal="center" vertical="center" wrapText="1"/>
    </xf>
    <xf numFmtId="0" fontId="45" fillId="2" borderId="1" xfId="4" applyFont="1" applyFill="1" applyBorder="1" applyAlignment="1">
      <alignment horizontal="center" vertical="center" wrapText="1"/>
    </xf>
    <xf numFmtId="15" fontId="42" fillId="2" borderId="70" xfId="0" applyNumberFormat="1" applyFont="1" applyFill="1" applyBorder="1" applyAlignment="1">
      <alignment horizontal="center" vertical="center" wrapText="1"/>
    </xf>
    <xf numFmtId="0" fontId="42" fillId="2" borderId="70" xfId="0" applyFont="1" applyFill="1" applyBorder="1" applyAlignment="1">
      <alignment horizontal="center" vertical="center"/>
    </xf>
    <xf numFmtId="0" fontId="0" fillId="2" borderId="35" xfId="0" applyFill="1" applyBorder="1" applyAlignment="1">
      <alignment horizontal="center" vertical="center" wrapText="1"/>
    </xf>
    <xf numFmtId="0" fontId="43" fillId="2" borderId="1" xfId="95" applyFont="1" applyFill="1" applyBorder="1" applyAlignment="1">
      <alignment horizontal="center" vertical="center"/>
    </xf>
    <xf numFmtId="0" fontId="43" fillId="2" borderId="1" xfId="95" applyFont="1" applyFill="1" applyBorder="1" applyAlignment="1">
      <alignment horizontal="justify" vertical="center" wrapText="1"/>
    </xf>
    <xf numFmtId="0" fontId="50" fillId="2" borderId="31" xfId="0" applyFont="1" applyFill="1" applyBorder="1" applyAlignment="1">
      <alignment horizontal="center" vertical="center" wrapText="1"/>
    </xf>
    <xf numFmtId="0" fontId="50" fillId="2" borderId="31" xfId="0" applyFont="1" applyFill="1" applyBorder="1" applyAlignment="1">
      <alignment horizontal="justify" vertical="center" wrapText="1"/>
    </xf>
    <xf numFmtId="0" fontId="50" fillId="2" borderId="1" xfId="0" applyFont="1" applyFill="1" applyBorder="1" applyAlignment="1">
      <alignment horizontal="center" vertical="center" wrapText="1"/>
    </xf>
    <xf numFmtId="0" fontId="50" fillId="2" borderId="4" xfId="0" applyFont="1" applyFill="1" applyBorder="1" applyAlignment="1">
      <alignment horizontal="center" vertical="center" wrapText="1"/>
    </xf>
    <xf numFmtId="0" fontId="50" fillId="2" borderId="4" xfId="0" applyFont="1" applyFill="1" applyBorder="1" applyAlignment="1">
      <alignment horizontal="justify" vertical="center" wrapText="1"/>
    </xf>
    <xf numFmtId="4" fontId="50" fillId="2" borderId="1" xfId="0" applyNumberFormat="1" applyFont="1" applyFill="1" applyBorder="1" applyAlignment="1">
      <alignment horizontal="center" vertical="center" wrapText="1"/>
    </xf>
    <xf numFmtId="0" fontId="0" fillId="2" borderId="49" xfId="0" applyFill="1" applyBorder="1" applyAlignment="1">
      <alignment horizontal="center" vertical="center" wrapText="1"/>
    </xf>
    <xf numFmtId="0" fontId="0" fillId="2" borderId="11" xfId="0" applyFill="1" applyBorder="1" applyAlignment="1">
      <alignment horizontal="center" vertical="center" wrapText="1"/>
    </xf>
    <xf numFmtId="0" fontId="3" fillId="2" borderId="4" xfId="0" applyFont="1" applyFill="1" applyBorder="1" applyAlignment="1">
      <alignment horizontal="center" vertical="center" wrapText="1"/>
    </xf>
    <xf numFmtId="0" fontId="0" fillId="2" borderId="31" xfId="0" applyFill="1" applyBorder="1" applyAlignment="1">
      <alignment horizontal="justify" vertical="center" wrapText="1"/>
    </xf>
    <xf numFmtId="0" fontId="38" fillId="2" borderId="1" xfId="4" applyFont="1" applyFill="1" applyBorder="1" applyAlignment="1">
      <alignment horizontal="center" vertical="center"/>
    </xf>
    <xf numFmtId="0" fontId="38" fillId="2" borderId="1" xfId="4" applyFont="1" applyFill="1" applyBorder="1" applyAlignment="1">
      <alignment horizontal="center" vertical="center" wrapText="1"/>
    </xf>
    <xf numFmtId="0" fontId="12" fillId="2" borderId="1" xfId="4" applyFont="1" applyFill="1" applyBorder="1" applyAlignment="1">
      <alignment horizontal="justify" vertical="center" wrapText="1"/>
    </xf>
    <xf numFmtId="42" fontId="12" fillId="2" borderId="1" xfId="24" applyFont="1" applyFill="1" applyBorder="1" applyAlignment="1">
      <alignment horizontal="center" vertical="center" wrapText="1"/>
    </xf>
    <xf numFmtId="0" fontId="12" fillId="2" borderId="1" xfId="8" applyFont="1" applyFill="1" applyBorder="1" applyAlignment="1">
      <alignment horizontal="justify" vertical="center" wrapText="1"/>
    </xf>
    <xf numFmtId="0" fontId="0" fillId="14" borderId="4" xfId="0" applyFill="1" applyBorder="1" applyAlignment="1">
      <alignment horizontal="center" vertical="center" wrapText="1"/>
    </xf>
    <xf numFmtId="0" fontId="0" fillId="28" borderId="22" xfId="0" applyFill="1" applyBorder="1" applyAlignment="1">
      <alignment horizontal="center" vertical="center" wrapText="1"/>
    </xf>
    <xf numFmtId="0" fontId="0" fillId="28" borderId="1" xfId="0" applyFill="1" applyBorder="1" applyAlignment="1">
      <alignment horizontal="left" vertical="center" wrapText="1"/>
    </xf>
    <xf numFmtId="0" fontId="0" fillId="28" borderId="1" xfId="0" applyFill="1" applyBorder="1" applyAlignment="1">
      <alignment horizontal="center" vertical="center" wrapText="1"/>
    </xf>
    <xf numFmtId="167" fontId="0" fillId="28" borderId="1" xfId="0" applyNumberFormat="1" applyFill="1" applyBorder="1" applyAlignment="1">
      <alignment horizontal="center" vertical="center" wrapText="1"/>
    </xf>
    <xf numFmtId="1" fontId="0" fillId="28" borderId="1" xfId="0" applyNumberFormat="1" applyFill="1" applyBorder="1" applyAlignment="1">
      <alignment horizontal="center" vertical="center" wrapText="1"/>
    </xf>
    <xf numFmtId="2" fontId="0" fillId="28" borderId="1" xfId="0" applyNumberFormat="1" applyFill="1" applyBorder="1" applyAlignment="1">
      <alignment horizontal="center" vertical="center" wrapText="1"/>
    </xf>
    <xf numFmtId="1" fontId="0" fillId="28" borderId="5" xfId="0" applyNumberFormat="1" applyFill="1" applyBorder="1" applyAlignment="1">
      <alignment horizontal="center" vertical="center" wrapText="1"/>
    </xf>
    <xf numFmtId="167" fontId="0" fillId="28" borderId="23" xfId="0" applyNumberFormat="1" applyFill="1" applyBorder="1" applyAlignment="1">
      <alignment horizontal="center" vertical="center" wrapText="1"/>
    </xf>
    <xf numFmtId="2" fontId="0" fillId="14" borderId="1" xfId="0" applyNumberFormat="1" applyFill="1" applyBorder="1" applyAlignment="1">
      <alignment horizontal="center" vertical="center" wrapText="1"/>
    </xf>
    <xf numFmtId="1" fontId="0" fillId="14" borderId="1" xfId="0" applyNumberFormat="1" applyFill="1" applyBorder="1" applyAlignment="1">
      <alignment horizontal="center" vertical="center" wrapText="1"/>
    </xf>
    <xf numFmtId="0" fontId="0" fillId="14" borderId="1" xfId="0" applyFill="1" applyBorder="1" applyAlignment="1">
      <alignment horizontal="left" vertical="center" wrapText="1"/>
    </xf>
    <xf numFmtId="167" fontId="0" fillId="14" borderId="1" xfId="0" applyNumberFormat="1" applyFill="1" applyBorder="1" applyAlignment="1">
      <alignment horizontal="center" vertical="center" wrapText="1"/>
    </xf>
    <xf numFmtId="1" fontId="0" fillId="14" borderId="5" xfId="0" applyNumberFormat="1" applyFill="1" applyBorder="1" applyAlignment="1">
      <alignment horizontal="center" vertical="center" wrapText="1"/>
    </xf>
    <xf numFmtId="167" fontId="0" fillId="14" borderId="23" xfId="0" applyNumberFormat="1" applyFill="1" applyBorder="1" applyAlignment="1">
      <alignment horizontal="center" vertical="center" wrapText="1"/>
    </xf>
    <xf numFmtId="0" fontId="0" fillId="2" borderId="61" xfId="0" applyFill="1" applyBorder="1" applyAlignment="1">
      <alignment horizontal="justify" vertical="center" wrapText="1"/>
    </xf>
    <xf numFmtId="0" fontId="41" fillId="21" borderId="50" xfId="0" applyFont="1" applyFill="1" applyBorder="1" applyAlignment="1">
      <alignment vertical="center" wrapText="1"/>
    </xf>
    <xf numFmtId="9" fontId="49" fillId="0" borderId="1" xfId="4" applyNumberFormat="1" applyFont="1" applyBorder="1" applyAlignment="1">
      <alignment horizontal="center" vertical="center" wrapText="1"/>
    </xf>
    <xf numFmtId="0" fontId="12" fillId="0" borderId="0" xfId="0" applyFont="1" applyAlignment="1">
      <alignment horizontal="center" vertical="center" wrapText="1"/>
    </xf>
    <xf numFmtId="0" fontId="0" fillId="2" borderId="57" xfId="0" applyFill="1" applyBorder="1" applyAlignment="1">
      <alignment horizontal="center" vertical="center" wrapText="1"/>
    </xf>
    <xf numFmtId="14" fontId="52" fillId="2" borderId="1" xfId="4" applyNumberFormat="1" applyFont="1" applyFill="1" applyBorder="1" applyAlignment="1">
      <alignment horizontal="center" vertical="center" wrapText="1"/>
    </xf>
    <xf numFmtId="0" fontId="50" fillId="2" borderId="25" xfId="0" applyFont="1" applyFill="1" applyBorder="1" applyAlignment="1">
      <alignment horizontal="center" vertical="center" wrapText="1"/>
    </xf>
    <xf numFmtId="1" fontId="0" fillId="11" borderId="1" xfId="0" applyNumberFormat="1" applyFill="1" applyBorder="1" applyAlignment="1">
      <alignment horizontal="center" vertical="center" wrapText="1"/>
    </xf>
    <xf numFmtId="2" fontId="0" fillId="11" borderId="1" xfId="0" applyNumberFormat="1" applyFill="1" applyBorder="1" applyAlignment="1">
      <alignment horizontal="center" vertical="center" wrapText="1"/>
    </xf>
    <xf numFmtId="0" fontId="0" fillId="11" borderId="30" xfId="0" applyFill="1" applyBorder="1" applyAlignment="1">
      <alignment horizontal="center" vertical="center" wrapText="1"/>
    </xf>
    <xf numFmtId="0" fontId="0" fillId="11" borderId="31" xfId="0" applyFill="1" applyBorder="1" applyAlignment="1">
      <alignment horizontal="left" vertical="center" wrapText="1"/>
    </xf>
    <xf numFmtId="0" fontId="0" fillId="11" borderId="31" xfId="0" applyFill="1" applyBorder="1" applyAlignment="1">
      <alignment horizontal="center" vertical="center" wrapText="1"/>
    </xf>
    <xf numFmtId="167" fontId="0" fillId="11" borderId="31" xfId="0" applyNumberFormat="1" applyFill="1" applyBorder="1" applyAlignment="1">
      <alignment horizontal="center" vertical="center" wrapText="1"/>
    </xf>
    <xf numFmtId="1" fontId="0" fillId="11" borderId="14" xfId="0" applyNumberFormat="1" applyFill="1" applyBorder="1" applyAlignment="1">
      <alignment horizontal="center" vertical="center" wrapText="1"/>
    </xf>
    <xf numFmtId="167" fontId="0" fillId="11" borderId="36" xfId="0" applyNumberFormat="1" applyFill="1" applyBorder="1" applyAlignment="1">
      <alignment horizontal="center" vertical="center" wrapText="1"/>
    </xf>
    <xf numFmtId="0" fontId="50" fillId="14" borderId="1" xfId="0" applyFont="1" applyFill="1" applyBorder="1" applyAlignment="1">
      <alignment horizontal="center" vertical="center" wrapText="1"/>
    </xf>
    <xf numFmtId="0" fontId="0" fillId="31" borderId="22" xfId="0" applyFill="1" applyBorder="1" applyAlignment="1">
      <alignment horizontal="center" vertical="center" wrapText="1"/>
    </xf>
    <xf numFmtId="0" fontId="0" fillId="31" borderId="1" xfId="0" applyFill="1" applyBorder="1" applyAlignment="1">
      <alignment horizontal="left" vertical="center" wrapText="1"/>
    </xf>
    <xf numFmtId="0" fontId="0" fillId="31" borderId="1" xfId="0" applyFill="1" applyBorder="1" applyAlignment="1">
      <alignment horizontal="center" vertical="center" wrapText="1"/>
    </xf>
    <xf numFmtId="167" fontId="0" fillId="31" borderId="1" xfId="0" applyNumberFormat="1" applyFill="1" applyBorder="1" applyAlignment="1">
      <alignment horizontal="center" vertical="center" wrapText="1"/>
    </xf>
    <xf numFmtId="1" fontId="0" fillId="31" borderId="1" xfId="0" applyNumberFormat="1" applyFill="1" applyBorder="1" applyAlignment="1">
      <alignment horizontal="center" vertical="center" wrapText="1"/>
    </xf>
    <xf numFmtId="2" fontId="0" fillId="31" borderId="1" xfId="0" applyNumberFormat="1" applyFill="1" applyBorder="1" applyAlignment="1">
      <alignment horizontal="center" vertical="center" wrapText="1"/>
    </xf>
    <xf numFmtId="1" fontId="0" fillId="31" borderId="5" xfId="0" applyNumberFormat="1" applyFill="1" applyBorder="1" applyAlignment="1">
      <alignment horizontal="center" vertical="center" wrapText="1"/>
    </xf>
    <xf numFmtId="167" fontId="0" fillId="31" borderId="23" xfId="0" applyNumberFormat="1" applyFill="1" applyBorder="1" applyAlignment="1">
      <alignment horizontal="center" vertical="center" wrapText="1"/>
    </xf>
    <xf numFmtId="0" fontId="50" fillId="30"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47"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2" fillId="7" borderId="48" xfId="0" applyFont="1" applyFill="1" applyBorder="1" applyAlignment="1">
      <alignment horizontal="center" vertical="center" wrapText="1"/>
    </xf>
    <xf numFmtId="0" fontId="4" fillId="6" borderId="45" xfId="0" applyFont="1" applyFill="1" applyBorder="1" applyAlignment="1">
      <alignment horizontal="center" vertical="center" wrapText="1"/>
    </xf>
    <xf numFmtId="0" fontId="4" fillId="6" borderId="20"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4" fillId="6" borderId="7" xfId="0" applyFont="1" applyFill="1" applyBorder="1" applyAlignment="1">
      <alignment horizontal="center" vertical="center" wrapText="1"/>
    </xf>
    <xf numFmtId="0" fontId="4" fillId="6" borderId="48" xfId="0" applyFont="1" applyFill="1" applyBorder="1" applyAlignment="1">
      <alignment horizontal="center" vertical="center" wrapText="1"/>
    </xf>
    <xf numFmtId="0" fontId="0" fillId="19" borderId="2" xfId="0" applyFill="1" applyBorder="1" applyAlignment="1">
      <alignment horizontal="center" vertical="center" wrapText="1"/>
    </xf>
    <xf numFmtId="0" fontId="0" fillId="19" borderId="27" xfId="0"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13" fillId="0" borderId="4"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5"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27" xfId="0" applyFont="1"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2" borderId="5" xfId="0" applyFill="1" applyBorder="1" applyAlignment="1">
      <alignment horizontal="center" vertical="center" wrapText="1"/>
    </xf>
    <xf numFmtId="0" fontId="0" fillId="2" borderId="6" xfId="0" applyFill="1" applyBorder="1" applyAlignment="1">
      <alignment horizontal="center" vertical="center" wrapText="1"/>
    </xf>
    <xf numFmtId="0" fontId="0" fillId="2" borderId="7" xfId="0" applyFill="1" applyBorder="1" applyAlignment="1">
      <alignment horizontal="center" vertical="center" wrapText="1"/>
    </xf>
    <xf numFmtId="0" fontId="6" fillId="0" borderId="58"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38" xfId="0" applyFont="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13" fillId="0" borderId="31" xfId="0" applyFont="1"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9" fillId="0" borderId="3" xfId="0" applyFont="1" applyBorder="1" applyAlignment="1">
      <alignment horizontal="center" vertical="center" wrapText="1"/>
    </xf>
    <xf numFmtId="0" fontId="9" fillId="0" borderId="27" xfId="0" applyFont="1" applyBorder="1" applyAlignment="1">
      <alignment horizontal="center" vertical="center" wrapText="1"/>
    </xf>
    <xf numFmtId="0" fontId="0" fillId="2" borderId="14" xfId="0" applyFill="1" applyBorder="1" applyAlignment="1">
      <alignment horizontal="center" vertical="center" wrapText="1"/>
    </xf>
    <xf numFmtId="0" fontId="0" fillId="2" borderId="15" xfId="0" applyFill="1" applyBorder="1" applyAlignment="1">
      <alignment horizontal="center" vertical="center" wrapText="1"/>
    </xf>
    <xf numFmtId="0" fontId="0" fillId="2" borderId="16" xfId="0" applyFill="1" applyBorder="1" applyAlignment="1">
      <alignment horizontal="center" vertical="center" wrapText="1"/>
    </xf>
    <xf numFmtId="3" fontId="15" fillId="0" borderId="31" xfId="0" applyNumberFormat="1" applyFont="1" applyBorder="1" applyAlignment="1">
      <alignment horizontal="center" vertical="center" wrapText="1"/>
    </xf>
    <xf numFmtId="3" fontId="15" fillId="0" borderId="1" xfId="0" applyNumberFormat="1" applyFont="1" applyBorder="1" applyAlignment="1">
      <alignment horizontal="center" vertical="center" wrapText="1"/>
    </xf>
    <xf numFmtId="3" fontId="15" fillId="0" borderId="25" xfId="0" applyNumberFormat="1" applyFont="1" applyBorder="1" applyAlignment="1">
      <alignment horizontal="center" vertical="center" wrapText="1"/>
    </xf>
    <xf numFmtId="0" fontId="9" fillId="2" borderId="3" xfId="0" applyFont="1" applyFill="1" applyBorder="1" applyAlignment="1">
      <alignment horizontal="center" vertical="center" wrapText="1"/>
    </xf>
    <xf numFmtId="0" fontId="9" fillId="2" borderId="27"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53" xfId="0" applyBorder="1" applyAlignment="1">
      <alignment horizontal="center" vertical="center" wrapText="1"/>
    </xf>
    <xf numFmtId="0" fontId="0" fillId="0" borderId="11" xfId="0" applyBorder="1" applyAlignment="1">
      <alignment horizontal="center" vertical="center" wrapText="1"/>
    </xf>
    <xf numFmtId="0" fontId="9" fillId="0" borderId="13" xfId="0" applyFont="1" applyBorder="1" applyAlignment="1">
      <alignment horizontal="center" vertical="center" wrapText="1"/>
    </xf>
    <xf numFmtId="3" fontId="15" fillId="2" borderId="31" xfId="0" applyNumberFormat="1" applyFont="1" applyFill="1" applyBorder="1" applyAlignment="1">
      <alignment horizontal="center" vertical="center" wrapText="1"/>
    </xf>
    <xf numFmtId="3" fontId="15" fillId="2" borderId="1" xfId="0" applyNumberFormat="1" applyFont="1" applyFill="1" applyBorder="1" applyAlignment="1">
      <alignment horizontal="center" vertical="center" wrapText="1"/>
    </xf>
    <xf numFmtId="3" fontId="15" fillId="2" borderId="25" xfId="0" applyNumberFormat="1" applyFont="1" applyFill="1" applyBorder="1" applyAlignment="1">
      <alignment horizontal="center" vertical="center" wrapText="1"/>
    </xf>
    <xf numFmtId="0" fontId="53" fillId="0" borderId="3" xfId="0" applyFont="1" applyBorder="1" applyAlignment="1">
      <alignment horizontal="center" vertical="center" wrapText="1"/>
    </xf>
    <xf numFmtId="0" fontId="53" fillId="0" borderId="27" xfId="0" applyFont="1" applyBorder="1" applyAlignment="1">
      <alignment horizontal="center" vertical="center" wrapText="1"/>
    </xf>
    <xf numFmtId="0" fontId="50" fillId="0" borderId="5" xfId="0" applyFont="1" applyBorder="1" applyAlignment="1">
      <alignment horizontal="center" vertical="center" wrapText="1"/>
    </xf>
    <xf numFmtId="0" fontId="50" fillId="0" borderId="6" xfId="0" applyFont="1" applyBorder="1" applyAlignment="1">
      <alignment horizontal="center" vertical="center" wrapText="1"/>
    </xf>
    <xf numFmtId="0" fontId="50" fillId="0" borderId="7" xfId="0" applyFont="1" applyBorder="1" applyAlignment="1">
      <alignment horizontal="center" vertical="center" wrapText="1"/>
    </xf>
    <xf numFmtId="0" fontId="50" fillId="0" borderId="33" xfId="0" applyFont="1" applyBorder="1" applyAlignment="1">
      <alignment horizontal="center" vertical="center" wrapText="1"/>
    </xf>
    <xf numFmtId="0" fontId="50" fillId="0" borderId="34" xfId="0" applyFont="1" applyBorder="1" applyAlignment="1">
      <alignment horizontal="center" vertical="center" wrapText="1"/>
    </xf>
    <xf numFmtId="0" fontId="50" fillId="0" borderId="35" xfId="0" applyFont="1" applyBorder="1" applyAlignment="1">
      <alignment horizontal="center" vertical="center" wrapText="1"/>
    </xf>
    <xf numFmtId="0" fontId="50" fillId="0" borderId="10" xfId="0" applyFont="1" applyBorder="1" applyAlignment="1">
      <alignment horizontal="center" vertical="center" wrapText="1"/>
    </xf>
    <xf numFmtId="0" fontId="50" fillId="0" borderId="53" xfId="0" applyFont="1" applyBorder="1" applyAlignment="1">
      <alignment horizontal="center" vertical="center" wrapText="1"/>
    </xf>
    <xf numFmtId="0" fontId="50" fillId="0" borderId="11" xfId="0" applyFont="1" applyBorder="1" applyAlignment="1">
      <alignment horizontal="center" vertical="center" wrapText="1"/>
    </xf>
    <xf numFmtId="4" fontId="15" fillId="0" borderId="10" xfId="0" applyNumberFormat="1" applyFont="1" applyBorder="1" applyAlignment="1">
      <alignment horizontal="center" vertical="center" wrapText="1"/>
    </xf>
    <xf numFmtId="4" fontId="15" fillId="0" borderId="5" xfId="0" applyNumberFormat="1" applyFont="1" applyBorder="1" applyAlignment="1">
      <alignment horizontal="center" vertical="center" wrapText="1"/>
    </xf>
    <xf numFmtId="4" fontId="15" fillId="0" borderId="33" xfId="0" applyNumberFormat="1" applyFont="1" applyBorder="1" applyAlignment="1">
      <alignment horizontal="center" vertical="center" wrapText="1"/>
    </xf>
    <xf numFmtId="4" fontId="15" fillId="0" borderId="4" xfId="0" applyNumberFormat="1" applyFont="1" applyBorder="1" applyAlignment="1">
      <alignment horizontal="center" vertical="center" wrapText="1"/>
    </xf>
    <xf numFmtId="4" fontId="15" fillId="0" borderId="1" xfId="0" applyNumberFormat="1" applyFont="1" applyBorder="1" applyAlignment="1">
      <alignment horizontal="center" vertical="center" wrapText="1"/>
    </xf>
    <xf numFmtId="4" fontId="15" fillId="0" borderId="25" xfId="0" applyNumberFormat="1" applyFont="1" applyBorder="1" applyAlignment="1">
      <alignment horizontal="center" vertical="center" wrapText="1"/>
    </xf>
    <xf numFmtId="0" fontId="0" fillId="2" borderId="33" xfId="0" applyFill="1" applyBorder="1" applyAlignment="1">
      <alignment horizontal="center" vertical="center" wrapText="1"/>
    </xf>
    <xf numFmtId="0" fontId="0" fillId="2" borderId="34" xfId="0" applyFill="1" applyBorder="1" applyAlignment="1">
      <alignment horizontal="center" vertical="center" wrapText="1"/>
    </xf>
    <xf numFmtId="0" fontId="0" fillId="2" borderId="35" xfId="0"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27" xfId="0" applyFont="1" applyFill="1" applyBorder="1" applyAlignment="1">
      <alignment horizontal="center" vertical="center" wrapText="1"/>
    </xf>
    <xf numFmtId="0" fontId="14" fillId="0" borderId="13" xfId="0" applyFont="1" applyBorder="1" applyAlignment="1">
      <alignment horizontal="center" vertical="center" wrapText="1"/>
    </xf>
    <xf numFmtId="0" fontId="7" fillId="6" borderId="13" xfId="0" applyFont="1" applyFill="1" applyBorder="1" applyAlignment="1">
      <alignment horizontal="center" vertical="center" wrapText="1"/>
    </xf>
    <xf numFmtId="0" fontId="7" fillId="6" borderId="27" xfId="0" applyFont="1" applyFill="1" applyBorder="1" applyAlignment="1">
      <alignment horizontal="center" vertical="center" wrapText="1"/>
    </xf>
    <xf numFmtId="0" fontId="7" fillId="6" borderId="14" xfId="0" applyFont="1" applyFill="1" applyBorder="1" applyAlignment="1">
      <alignment horizontal="center" vertical="center" wrapText="1"/>
    </xf>
    <xf numFmtId="0" fontId="7" fillId="6" borderId="15" xfId="0" applyFont="1" applyFill="1" applyBorder="1" applyAlignment="1">
      <alignment horizontal="center" vertical="center" wrapText="1"/>
    </xf>
    <xf numFmtId="0" fontId="7" fillId="6" borderId="16" xfId="0" applyFont="1" applyFill="1" applyBorder="1" applyAlignment="1">
      <alignment horizontal="center" vertical="center" wrapText="1"/>
    </xf>
    <xf numFmtId="0" fontId="7" fillId="9" borderId="13" xfId="0" applyFont="1" applyFill="1" applyBorder="1" applyAlignment="1">
      <alignment horizontal="center" vertical="center" wrapText="1"/>
    </xf>
    <xf numFmtId="0" fontId="7" fillId="9" borderId="27"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25" xfId="0" applyFont="1" applyFill="1" applyBorder="1" applyAlignment="1">
      <alignment horizontal="center" vertical="center" wrapText="1"/>
    </xf>
    <xf numFmtId="0" fontId="13" fillId="2" borderId="3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12" fillId="23" borderId="54" xfId="0" applyFont="1" applyFill="1" applyBorder="1" applyAlignment="1">
      <alignment horizontal="justify" vertical="center" wrapText="1"/>
    </xf>
    <xf numFmtId="0" fontId="12" fillId="23" borderId="55" xfId="0" applyFont="1" applyFill="1" applyBorder="1" applyAlignment="1">
      <alignment horizontal="justify" vertical="center" wrapText="1"/>
    </xf>
    <xf numFmtId="0" fontId="12" fillId="23" borderId="56" xfId="0" applyFont="1" applyFill="1" applyBorder="1" applyAlignment="1">
      <alignment horizontal="justify" vertical="center" wrapText="1"/>
    </xf>
    <xf numFmtId="0" fontId="32" fillId="2" borderId="0" xfId="0" applyFont="1" applyFill="1" applyAlignment="1">
      <alignment horizontal="center" vertical="center" wrapText="1"/>
    </xf>
    <xf numFmtId="0" fontId="7" fillId="7" borderId="31" xfId="0" applyFont="1" applyFill="1" applyBorder="1" applyAlignment="1">
      <alignment horizontal="center" vertical="center" wrapText="1"/>
    </xf>
    <xf numFmtId="0" fontId="7" fillId="7" borderId="25" xfId="0" applyFont="1" applyFill="1" applyBorder="1" applyAlignment="1">
      <alignment horizontal="center" vertical="center" wrapText="1"/>
    </xf>
    <xf numFmtId="0" fontId="8" fillId="12" borderId="13" xfId="0" applyFont="1" applyFill="1" applyBorder="1" applyAlignment="1">
      <alignment horizontal="center" vertical="center" wrapText="1"/>
    </xf>
    <xf numFmtId="0" fontId="8" fillId="12" borderId="27" xfId="0" applyFont="1" applyFill="1" applyBorder="1" applyAlignment="1">
      <alignment horizontal="center" vertical="center" wrapText="1"/>
    </xf>
    <xf numFmtId="4" fontId="15" fillId="0" borderId="31" xfId="0" applyNumberFormat="1" applyFont="1" applyBorder="1" applyAlignment="1">
      <alignment horizontal="center" vertical="center" wrapText="1"/>
    </xf>
    <xf numFmtId="4" fontId="15" fillId="0" borderId="36" xfId="0" applyNumberFormat="1" applyFont="1" applyBorder="1" applyAlignment="1">
      <alignment horizontal="center" vertical="center" wrapText="1"/>
    </xf>
    <xf numFmtId="4" fontId="15" fillId="0" borderId="23" xfId="0" applyNumberFormat="1" applyFont="1" applyBorder="1" applyAlignment="1">
      <alignment horizontal="center" vertical="center" wrapText="1"/>
    </xf>
    <xf numFmtId="4" fontId="15" fillId="0" borderId="26" xfId="0" applyNumberFormat="1" applyFont="1" applyBorder="1" applyAlignment="1">
      <alignment horizontal="center" vertical="center" wrapText="1"/>
    </xf>
    <xf numFmtId="0" fontId="7" fillId="6" borderId="17" xfId="0" applyFont="1" applyFill="1" applyBorder="1" applyAlignment="1">
      <alignment vertical="center" wrapText="1"/>
    </xf>
    <xf numFmtId="0" fontId="7" fillId="6" borderId="32" xfId="0" applyFont="1" applyFill="1" applyBorder="1" applyAlignment="1">
      <alignment vertical="center" wrapText="1"/>
    </xf>
    <xf numFmtId="0" fontId="10" fillId="9" borderId="31" xfId="0" applyFont="1" applyFill="1" applyBorder="1" applyAlignment="1">
      <alignment horizontal="center" vertical="center" wrapText="1"/>
    </xf>
    <xf numFmtId="0" fontId="10" fillId="9" borderId="25" xfId="0" applyFont="1" applyFill="1" applyBorder="1" applyAlignment="1">
      <alignment horizontal="center" vertical="center" wrapText="1"/>
    </xf>
    <xf numFmtId="0" fontId="31" fillId="6" borderId="17" xfId="0" applyFont="1" applyFill="1" applyBorder="1" applyAlignment="1">
      <alignment horizontal="center" vertical="center" wrapText="1"/>
    </xf>
    <xf numFmtId="0" fontId="31" fillId="6" borderId="32" xfId="0" applyFont="1" applyFill="1" applyBorder="1" applyAlignment="1">
      <alignment horizontal="center" vertical="center" wrapText="1"/>
    </xf>
    <xf numFmtId="0" fontId="12" fillId="16" borderId="54" xfId="0" applyFont="1" applyFill="1" applyBorder="1" applyAlignment="1">
      <alignment horizontal="justify" vertical="center" wrapText="1"/>
    </xf>
    <xf numFmtId="0" fontId="12" fillId="16" borderId="55" xfId="0" applyFont="1" applyFill="1" applyBorder="1" applyAlignment="1">
      <alignment horizontal="justify" vertical="center" wrapText="1"/>
    </xf>
    <xf numFmtId="0" fontId="12" fillId="16" borderId="56" xfId="0" applyFont="1" applyFill="1" applyBorder="1" applyAlignment="1">
      <alignment horizontal="justify" vertical="center" wrapText="1"/>
    </xf>
    <xf numFmtId="0" fontId="7" fillId="6" borderId="31" xfId="0" applyFont="1" applyFill="1" applyBorder="1" applyAlignment="1">
      <alignment horizontal="center" vertical="center" wrapText="1"/>
    </xf>
    <xf numFmtId="0" fontId="7" fillId="6" borderId="25" xfId="0" applyFont="1" applyFill="1" applyBorder="1" applyAlignment="1">
      <alignment horizontal="center" vertical="center" wrapText="1"/>
    </xf>
    <xf numFmtId="0" fontId="6" fillId="0" borderId="46" xfId="0" applyFont="1" applyBorder="1" applyAlignment="1">
      <alignment horizontal="center" vertical="center" wrapText="1"/>
    </xf>
    <xf numFmtId="0" fontId="7" fillId="7" borderId="13" xfId="0" applyFont="1" applyFill="1" applyBorder="1" applyAlignment="1">
      <alignment horizontal="center" vertical="center" wrapText="1"/>
    </xf>
    <xf numFmtId="0" fontId="7" fillId="7" borderId="27" xfId="0" applyFont="1" applyFill="1" applyBorder="1" applyAlignment="1">
      <alignment horizontal="center" vertical="center" wrapText="1"/>
    </xf>
    <xf numFmtId="0" fontId="7" fillId="11" borderId="31" xfId="0" applyFont="1" applyFill="1" applyBorder="1" applyAlignment="1">
      <alignment horizontal="center" vertical="center" wrapText="1"/>
    </xf>
    <xf numFmtId="0" fontId="7" fillId="11" borderId="25"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7" borderId="31" xfId="0" applyFont="1" applyFill="1" applyBorder="1" applyAlignment="1">
      <alignment horizontal="left" vertical="center" wrapText="1"/>
    </xf>
    <xf numFmtId="0" fontId="7" fillId="7" borderId="25" xfId="0" applyFont="1" applyFill="1" applyBorder="1" applyAlignment="1">
      <alignment horizontal="left" vertical="center" wrapText="1"/>
    </xf>
    <xf numFmtId="0" fontId="0" fillId="2" borderId="2" xfId="0" applyFill="1" applyBorder="1" applyAlignment="1">
      <alignment horizontal="center" vertical="center" wrapText="1"/>
    </xf>
    <xf numFmtId="0" fontId="0" fillId="2" borderId="4" xfId="0" applyFill="1" applyBorder="1" applyAlignment="1">
      <alignment horizontal="center" vertical="center" wrapText="1"/>
    </xf>
    <xf numFmtId="0" fontId="12" fillId="2" borderId="2" xfId="4" applyFont="1" applyFill="1" applyBorder="1" applyAlignment="1">
      <alignment horizontal="center" vertical="center"/>
    </xf>
    <xf numFmtId="0" fontId="12" fillId="2" borderId="4" xfId="4" applyFont="1" applyFill="1" applyBorder="1" applyAlignment="1">
      <alignment horizontal="center" vertical="center"/>
    </xf>
    <xf numFmtId="0" fontId="38" fillId="2" borderId="2" xfId="4" applyFont="1" applyFill="1" applyBorder="1" applyAlignment="1">
      <alignment horizontal="center" vertical="center" wrapText="1"/>
    </xf>
    <xf numFmtId="0" fontId="38" fillId="2" borderId="4" xfId="4" applyFont="1" applyFill="1" applyBorder="1" applyAlignment="1">
      <alignment horizontal="center" vertical="center" wrapText="1"/>
    </xf>
    <xf numFmtId="0" fontId="12" fillId="2" borderId="2" xfId="4" applyFont="1" applyFill="1" applyBorder="1" applyAlignment="1">
      <alignment horizontal="justify" vertical="center" wrapText="1"/>
    </xf>
    <xf numFmtId="0" fontId="12" fillId="2" borderId="4" xfId="4" applyFont="1" applyFill="1" applyBorder="1" applyAlignment="1">
      <alignment horizontal="justify"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7" fillId="6" borderId="46" xfId="0" applyFont="1" applyFill="1" applyBorder="1" applyAlignment="1">
      <alignment horizontal="center" vertical="center" wrapText="1"/>
    </xf>
    <xf numFmtId="0" fontId="7" fillId="6" borderId="38" xfId="0" applyFont="1" applyFill="1" applyBorder="1" applyAlignment="1">
      <alignment horizontal="center" vertical="center" wrapText="1"/>
    </xf>
    <xf numFmtId="4" fontId="15" fillId="2" borderId="10" xfId="0" applyNumberFormat="1" applyFont="1" applyFill="1" applyBorder="1" applyAlignment="1">
      <alignment horizontal="center" vertical="center" wrapText="1"/>
    </xf>
    <xf numFmtId="4" fontId="15" fillId="2" borderId="5" xfId="0" applyNumberFormat="1" applyFont="1" applyFill="1" applyBorder="1" applyAlignment="1">
      <alignment horizontal="center" vertical="center" wrapText="1"/>
    </xf>
    <xf numFmtId="4" fontId="15" fillId="2" borderId="33" xfId="0" applyNumberFormat="1" applyFont="1" applyFill="1" applyBorder="1" applyAlignment="1">
      <alignment horizontal="center" vertical="center" wrapText="1"/>
    </xf>
    <xf numFmtId="0" fontId="27" fillId="20" borderId="13" xfId="0" applyFont="1" applyFill="1" applyBorder="1" applyAlignment="1">
      <alignment horizontal="center" vertical="center" wrapText="1"/>
    </xf>
    <xf numFmtId="0" fontId="27" fillId="20" borderId="27" xfId="0" applyFont="1" applyFill="1" applyBorder="1" applyAlignment="1">
      <alignment horizontal="center" vertical="center" wrapText="1"/>
    </xf>
    <xf numFmtId="0" fontId="7" fillId="6" borderId="35" xfId="0" applyFont="1" applyFill="1" applyBorder="1" applyAlignment="1">
      <alignment horizontal="center" vertical="center" wrapText="1"/>
    </xf>
    <xf numFmtId="0" fontId="6" fillId="0" borderId="59" xfId="0" applyFont="1" applyBorder="1" applyAlignment="1">
      <alignment horizontal="center" vertical="center" wrapText="1"/>
    </xf>
    <xf numFmtId="4" fontId="15" fillId="0" borderId="8" xfId="0" applyNumberFormat="1" applyFont="1" applyBorder="1" applyAlignment="1">
      <alignment horizontal="center" vertical="center" wrapText="1"/>
    </xf>
    <xf numFmtId="0" fontId="0" fillId="0" borderId="8" xfId="0" applyBorder="1" applyAlignment="1">
      <alignment horizontal="center" vertical="center" wrapText="1"/>
    </xf>
    <xf numFmtId="0" fontId="0" fillId="0" borderId="52" xfId="0" applyBorder="1" applyAlignment="1">
      <alignment horizontal="center" vertical="center" wrapText="1"/>
    </xf>
    <xf numFmtId="0" fontId="0" fillId="0" borderId="9" xfId="0" applyBorder="1" applyAlignment="1">
      <alignment horizontal="center" vertical="center" wrapText="1"/>
    </xf>
    <xf numFmtId="0" fontId="13" fillId="0" borderId="2" xfId="0" applyFont="1" applyBorder="1" applyAlignment="1">
      <alignment horizontal="center" vertical="center" wrapText="1"/>
    </xf>
    <xf numFmtId="4" fontId="15" fillId="0" borderId="2" xfId="0" applyNumberFormat="1" applyFont="1" applyBorder="1" applyAlignment="1">
      <alignment horizontal="center" vertical="center" wrapText="1"/>
    </xf>
    <xf numFmtId="4" fontId="15" fillId="2" borderId="4" xfId="0" applyNumberFormat="1" applyFont="1" applyFill="1" applyBorder="1" applyAlignment="1">
      <alignment horizontal="center" vertical="center" wrapText="1"/>
    </xf>
    <xf numFmtId="4" fontId="15" fillId="2" borderId="1" xfId="0" applyNumberFormat="1" applyFont="1" applyFill="1" applyBorder="1" applyAlignment="1">
      <alignment horizontal="center" vertical="center" wrapText="1"/>
    </xf>
    <xf numFmtId="4" fontId="15" fillId="2" borderId="25" xfId="0" applyNumberFormat="1" applyFont="1" applyFill="1" applyBorder="1" applyAlignment="1">
      <alignment horizontal="center" vertical="center" wrapText="1"/>
    </xf>
    <xf numFmtId="4" fontId="15" fillId="0" borderId="14" xfId="0" applyNumberFormat="1" applyFont="1" applyBorder="1" applyAlignment="1">
      <alignment horizontal="center" vertical="center" wrapText="1"/>
    </xf>
    <xf numFmtId="4" fontId="15" fillId="0" borderId="67" xfId="0" applyNumberFormat="1" applyFont="1" applyBorder="1" applyAlignment="1">
      <alignment horizontal="center" vertical="center" wrapText="1"/>
    </xf>
    <xf numFmtId="4" fontId="15" fillId="0" borderId="68" xfId="0" applyNumberFormat="1" applyFont="1" applyBorder="1" applyAlignment="1">
      <alignment horizontal="center" vertical="center" wrapText="1"/>
    </xf>
    <xf numFmtId="4" fontId="15" fillId="0" borderId="69" xfId="0" applyNumberFormat="1" applyFont="1" applyBorder="1" applyAlignment="1">
      <alignment horizontal="center" vertical="center" wrapText="1"/>
    </xf>
    <xf numFmtId="0" fontId="0" fillId="2" borderId="13" xfId="0" applyFill="1" applyBorder="1" applyAlignment="1">
      <alignment horizontal="center" vertical="center" wrapText="1"/>
    </xf>
    <xf numFmtId="0" fontId="36" fillId="0" borderId="3" xfId="0" applyFont="1" applyBorder="1" applyAlignment="1">
      <alignment horizontal="center" vertical="center" wrapText="1"/>
    </xf>
    <xf numFmtId="0" fontId="36" fillId="0" borderId="27" xfId="0" applyFont="1" applyBorder="1" applyAlignment="1">
      <alignment horizontal="center" vertical="center" wrapText="1"/>
    </xf>
    <xf numFmtId="0" fontId="0" fillId="19" borderId="4" xfId="0" applyFill="1" applyBorder="1" applyAlignment="1">
      <alignment horizontal="center" vertical="center" wrapText="1"/>
    </xf>
    <xf numFmtId="0" fontId="12" fillId="23" borderId="43" xfId="0" applyFont="1" applyFill="1" applyBorder="1" applyAlignment="1">
      <alignment horizontal="justify" vertical="center" wrapText="1"/>
    </xf>
    <xf numFmtId="0" fontId="12" fillId="23" borderId="63" xfId="0" applyFont="1" applyFill="1" applyBorder="1" applyAlignment="1">
      <alignment horizontal="justify" vertical="center" wrapText="1"/>
    </xf>
    <xf numFmtId="0" fontId="12" fillId="23" borderId="66" xfId="0" applyFont="1" applyFill="1" applyBorder="1" applyAlignment="1">
      <alignment horizontal="justify" vertical="center" wrapText="1"/>
    </xf>
    <xf numFmtId="0" fontId="38" fillId="24" borderId="43" xfId="0" applyFont="1" applyFill="1" applyBorder="1" applyAlignment="1">
      <alignment horizontal="justify" vertical="center" wrapText="1"/>
    </xf>
    <xf numFmtId="0" fontId="38" fillId="24" borderId="63" xfId="0" applyFont="1" applyFill="1" applyBorder="1" applyAlignment="1">
      <alignment horizontal="justify" vertical="center" wrapText="1"/>
    </xf>
    <xf numFmtId="0" fontId="38" fillId="24" borderId="66" xfId="0" applyFont="1" applyFill="1" applyBorder="1" applyAlignment="1">
      <alignment horizontal="justify" vertical="center" wrapText="1"/>
    </xf>
    <xf numFmtId="0" fontId="38" fillId="24" borderId="54" xfId="0" applyFont="1" applyFill="1" applyBorder="1" applyAlignment="1">
      <alignment horizontal="justify" vertical="center" wrapText="1"/>
    </xf>
    <xf numFmtId="0" fontId="38" fillId="24" borderId="55" xfId="0" applyFont="1" applyFill="1" applyBorder="1" applyAlignment="1">
      <alignment horizontal="justify" vertical="center" wrapText="1"/>
    </xf>
    <xf numFmtId="0" fontId="38" fillId="24" borderId="56" xfId="0" applyFont="1" applyFill="1" applyBorder="1" applyAlignment="1">
      <alignment horizontal="justify" vertical="center" wrapText="1"/>
    </xf>
    <xf numFmtId="0" fontId="12" fillId="29" borderId="54" xfId="0" applyFont="1" applyFill="1" applyBorder="1" applyAlignment="1">
      <alignment horizontal="justify" vertical="center" wrapText="1"/>
    </xf>
    <xf numFmtId="0" fontId="12" fillId="29" borderId="55" xfId="0" applyFont="1" applyFill="1" applyBorder="1" applyAlignment="1">
      <alignment horizontal="justify" vertical="center" wrapText="1"/>
    </xf>
    <xf numFmtId="0" fontId="12" fillId="29" borderId="56" xfId="0" applyFont="1" applyFill="1" applyBorder="1" applyAlignment="1">
      <alignment horizontal="justify" vertical="center" wrapText="1"/>
    </xf>
    <xf numFmtId="0" fontId="12" fillId="29" borderId="54" xfId="0" applyFont="1" applyFill="1" applyBorder="1" applyAlignment="1">
      <alignment horizontal="left" vertical="center" wrapText="1"/>
    </xf>
    <xf numFmtId="0" fontId="19" fillId="29" borderId="55" xfId="0" applyFont="1" applyFill="1" applyBorder="1" applyAlignment="1">
      <alignment horizontal="left" vertical="center" wrapText="1"/>
    </xf>
    <xf numFmtId="0" fontId="19" fillId="29" borderId="56" xfId="0" applyFont="1" applyFill="1" applyBorder="1" applyAlignment="1">
      <alignment horizontal="left" vertical="center" wrapText="1"/>
    </xf>
    <xf numFmtId="0" fontId="19" fillId="16" borderId="55" xfId="0" applyFont="1" applyFill="1" applyBorder="1" applyAlignment="1">
      <alignment horizontal="justify" vertical="center" wrapText="1"/>
    </xf>
    <xf numFmtId="0" fontId="19" fillId="16" borderId="56" xfId="0" applyFont="1" applyFill="1" applyBorder="1" applyAlignment="1">
      <alignment horizontal="justify" vertical="center" wrapText="1"/>
    </xf>
    <xf numFmtId="0" fontId="12" fillId="26" borderId="43" xfId="0" applyFont="1" applyFill="1" applyBorder="1" applyAlignment="1">
      <alignment horizontal="justify" vertical="center" wrapText="1"/>
    </xf>
    <xf numFmtId="0" fontId="12" fillId="26" borderId="63" xfId="0" applyFont="1" applyFill="1" applyBorder="1" applyAlignment="1">
      <alignment horizontal="justify" vertical="center" wrapText="1"/>
    </xf>
    <xf numFmtId="0" fontId="12" fillId="26" borderId="66" xfId="0" applyFont="1" applyFill="1" applyBorder="1" applyAlignment="1">
      <alignment horizontal="justify" vertical="center" wrapText="1"/>
    </xf>
    <xf numFmtId="0" fontId="12" fillId="26" borderId="54" xfId="0" applyFont="1" applyFill="1" applyBorder="1" applyAlignment="1">
      <alignment horizontal="justify" vertical="center" wrapText="1"/>
    </xf>
    <xf numFmtId="0" fontId="12" fillId="26" borderId="55" xfId="0" applyFont="1" applyFill="1" applyBorder="1" applyAlignment="1">
      <alignment horizontal="justify" vertical="center" wrapText="1"/>
    </xf>
    <xf numFmtId="0" fontId="12" fillId="26" borderId="56" xfId="0" applyFont="1" applyFill="1" applyBorder="1" applyAlignment="1">
      <alignment horizontal="justify" vertical="center" wrapText="1"/>
    </xf>
    <xf numFmtId="0" fontId="12" fillId="18" borderId="54" xfId="0" applyFont="1" applyFill="1" applyBorder="1" applyAlignment="1">
      <alignment horizontal="justify" vertical="center" wrapText="1"/>
    </xf>
    <xf numFmtId="0" fontId="12" fillId="18" borderId="55" xfId="0" applyFont="1" applyFill="1" applyBorder="1" applyAlignment="1">
      <alignment horizontal="justify" vertical="center" wrapText="1"/>
    </xf>
    <xf numFmtId="0" fontId="12" fillId="18" borderId="56" xfId="0" applyFont="1" applyFill="1" applyBorder="1" applyAlignment="1">
      <alignment horizontal="justify" vertical="center" wrapText="1"/>
    </xf>
    <xf numFmtId="0" fontId="38" fillId="24" borderId="54" xfId="0" applyFont="1" applyFill="1" applyBorder="1" applyAlignment="1">
      <alignment horizontal="left" vertical="center" wrapText="1"/>
    </xf>
    <xf numFmtId="0" fontId="38" fillId="24" borderId="55" xfId="0" applyFont="1" applyFill="1" applyBorder="1" applyAlignment="1">
      <alignment horizontal="left" vertical="center" wrapText="1"/>
    </xf>
    <xf numFmtId="0" fontId="38" fillId="24" borderId="56" xfId="0" applyFont="1" applyFill="1" applyBorder="1" applyAlignment="1">
      <alignment horizontal="left" vertical="center" wrapText="1"/>
    </xf>
    <xf numFmtId="0" fontId="12" fillId="26" borderId="43" xfId="0" applyFont="1" applyFill="1" applyBorder="1" applyAlignment="1">
      <alignment horizontal="left" vertical="center" wrapText="1"/>
    </xf>
    <xf numFmtId="0" fontId="12" fillId="26" borderId="63" xfId="0" applyFont="1" applyFill="1" applyBorder="1" applyAlignment="1">
      <alignment horizontal="left" vertical="center" wrapText="1"/>
    </xf>
    <xf numFmtId="0" fontId="12" fillId="26" borderId="66" xfId="0" applyFont="1" applyFill="1" applyBorder="1" applyAlignment="1">
      <alignment horizontal="left" vertical="center" wrapText="1"/>
    </xf>
    <xf numFmtId="0" fontId="12" fillId="26" borderId="54" xfId="0" applyFont="1" applyFill="1" applyBorder="1" applyAlignment="1">
      <alignment horizontal="left" vertical="center" wrapText="1"/>
    </xf>
    <xf numFmtId="0" fontId="12" fillId="26" borderId="55" xfId="0" applyFont="1" applyFill="1" applyBorder="1" applyAlignment="1">
      <alignment horizontal="left" vertical="center" wrapText="1"/>
    </xf>
    <xf numFmtId="0" fontId="12" fillId="26" borderId="56" xfId="0" applyFont="1" applyFill="1" applyBorder="1" applyAlignment="1">
      <alignment horizontal="left" vertical="center" wrapText="1"/>
    </xf>
    <xf numFmtId="0" fontId="12" fillId="18" borderId="54" xfId="0" applyFont="1" applyFill="1" applyBorder="1" applyAlignment="1">
      <alignment horizontal="left" vertical="center" wrapText="1"/>
    </xf>
    <xf numFmtId="0" fontId="12" fillId="18" borderId="55" xfId="0" applyFont="1" applyFill="1" applyBorder="1" applyAlignment="1">
      <alignment horizontal="left" vertical="center" wrapText="1"/>
    </xf>
    <xf numFmtId="0" fontId="12" fillId="18" borderId="56" xfId="0" applyFont="1" applyFill="1" applyBorder="1" applyAlignment="1">
      <alignment horizontal="left" vertical="center" wrapText="1"/>
    </xf>
    <xf numFmtId="0" fontId="6" fillId="2" borderId="58"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38" xfId="0" applyFont="1" applyFill="1" applyBorder="1" applyAlignment="1">
      <alignment horizontal="center" vertical="center" wrapText="1"/>
    </xf>
    <xf numFmtId="0" fontId="43" fillId="2" borderId="2" xfId="4" applyFont="1" applyFill="1" applyBorder="1" applyAlignment="1">
      <alignment horizontal="center" vertical="center" wrapText="1"/>
    </xf>
    <xf numFmtId="0" fontId="43" fillId="2" borderId="4" xfId="4" applyFont="1" applyFill="1" applyBorder="1" applyAlignment="1">
      <alignment horizontal="center" vertical="center" wrapText="1"/>
    </xf>
    <xf numFmtId="0" fontId="43" fillId="2" borderId="2" xfId="4" applyFont="1" applyFill="1" applyBorder="1" applyAlignment="1">
      <alignment horizontal="left" vertical="center" wrapText="1"/>
    </xf>
    <xf numFmtId="0" fontId="43" fillId="2" borderId="4" xfId="4" applyFont="1" applyFill="1" applyBorder="1" applyAlignment="1">
      <alignment horizontal="left" vertical="center" wrapText="1"/>
    </xf>
    <xf numFmtId="0" fontId="12" fillId="18" borderId="54" xfId="0" applyFont="1" applyFill="1" applyBorder="1" applyAlignment="1">
      <alignment horizontal="justify" vertical="top" wrapText="1"/>
    </xf>
    <xf numFmtId="0" fontId="12" fillId="18" borderId="55" xfId="0" applyFont="1" applyFill="1" applyBorder="1" applyAlignment="1">
      <alignment horizontal="justify" vertical="top" wrapText="1"/>
    </xf>
    <xf numFmtId="0" fontId="12" fillId="18" borderId="56" xfId="0" applyFont="1" applyFill="1" applyBorder="1" applyAlignment="1">
      <alignment horizontal="justify" vertical="top" wrapText="1"/>
    </xf>
    <xf numFmtId="0" fontId="49" fillId="27" borderId="43" xfId="0" applyFont="1" applyFill="1" applyBorder="1" applyAlignment="1">
      <alignment horizontal="left" vertical="center" wrapText="1"/>
    </xf>
    <xf numFmtId="0" fontId="49" fillId="27" borderId="63" xfId="0" applyFont="1" applyFill="1" applyBorder="1" applyAlignment="1">
      <alignment horizontal="left" vertical="center" wrapText="1"/>
    </xf>
    <xf numFmtId="0" fontId="49" fillId="27" borderId="66" xfId="0" applyFont="1" applyFill="1" applyBorder="1" applyAlignment="1">
      <alignment horizontal="left" vertical="center" wrapText="1"/>
    </xf>
    <xf numFmtId="0" fontId="49" fillId="27" borderId="54" xfId="0" applyFont="1" applyFill="1" applyBorder="1" applyAlignment="1">
      <alignment horizontal="left" vertical="top" wrapText="1"/>
    </xf>
    <xf numFmtId="0" fontId="49" fillId="27" borderId="55" xfId="0" applyFont="1" applyFill="1" applyBorder="1" applyAlignment="1">
      <alignment horizontal="left" vertical="top" wrapText="1"/>
    </xf>
    <xf numFmtId="0" fontId="49" fillId="27" borderId="56" xfId="0" applyFont="1" applyFill="1" applyBorder="1" applyAlignment="1">
      <alignment horizontal="left" vertical="top" wrapText="1"/>
    </xf>
    <xf numFmtId="0" fontId="12" fillId="16" borderId="54" xfId="0" applyFont="1" applyFill="1" applyBorder="1" applyAlignment="1">
      <alignment horizontal="left" vertical="center" wrapText="1"/>
    </xf>
    <xf numFmtId="0" fontId="12" fillId="16" borderId="55" xfId="0" applyFont="1" applyFill="1" applyBorder="1" applyAlignment="1">
      <alignment horizontal="left" vertical="center" wrapText="1"/>
    </xf>
    <xf numFmtId="0" fontId="12" fillId="16" borderId="56" xfId="0" applyFont="1" applyFill="1" applyBorder="1" applyAlignment="1">
      <alignment horizontal="left" vertical="center" wrapText="1"/>
    </xf>
    <xf numFmtId="0" fontId="50" fillId="0" borderId="14" xfId="0" applyFont="1" applyBorder="1" applyAlignment="1">
      <alignment horizontal="center" vertical="center" wrapText="1"/>
    </xf>
    <xf numFmtId="0" fontId="50" fillId="0" borderId="15" xfId="0" applyFont="1" applyBorder="1" applyAlignment="1">
      <alignment horizontal="center" vertical="center" wrapText="1"/>
    </xf>
    <xf numFmtId="0" fontId="50" fillId="0" borderId="16" xfId="0" applyFont="1" applyBorder="1" applyAlignment="1">
      <alignment horizontal="center" vertical="center" wrapText="1"/>
    </xf>
    <xf numFmtId="0" fontId="49" fillId="27" borderId="54" xfId="0" applyFont="1" applyFill="1" applyBorder="1" applyAlignment="1">
      <alignment horizontal="left" vertical="center" wrapText="1"/>
    </xf>
    <xf numFmtId="0" fontId="49" fillId="27" borderId="55" xfId="0" applyFont="1" applyFill="1" applyBorder="1" applyAlignment="1">
      <alignment horizontal="left" vertical="center" wrapText="1"/>
    </xf>
    <xf numFmtId="0" fontId="49" fillId="27" borderId="56" xfId="0" applyFont="1" applyFill="1" applyBorder="1" applyAlignment="1">
      <alignment horizontal="left" vertical="center" wrapText="1"/>
    </xf>
    <xf numFmtId="0" fontId="53" fillId="2" borderId="13" xfId="0" applyFont="1" applyFill="1" applyBorder="1" applyAlignment="1">
      <alignment horizontal="center" vertical="center" wrapText="1"/>
    </xf>
    <xf numFmtId="0" fontId="53" fillId="2" borderId="3" xfId="0" applyFont="1" applyFill="1" applyBorder="1" applyAlignment="1">
      <alignment horizontal="center" vertical="center" wrapText="1"/>
    </xf>
    <xf numFmtId="0" fontId="53" fillId="2" borderId="27" xfId="0" applyFont="1" applyFill="1" applyBorder="1" applyAlignment="1">
      <alignment horizontal="center" vertical="center" wrapText="1"/>
    </xf>
    <xf numFmtId="0" fontId="49" fillId="27" borderId="63" xfId="0" applyFont="1" applyFill="1" applyBorder="1" applyAlignment="1">
      <alignment horizontal="justify" vertical="center" wrapText="1"/>
    </xf>
    <xf numFmtId="0" fontId="49" fillId="27" borderId="66" xfId="0" applyFont="1" applyFill="1" applyBorder="1" applyAlignment="1">
      <alignment horizontal="justify" vertical="center" wrapText="1"/>
    </xf>
    <xf numFmtId="0" fontId="49" fillId="27" borderId="55" xfId="0" applyFont="1" applyFill="1" applyBorder="1" applyAlignment="1">
      <alignment horizontal="justify" vertical="top" wrapText="1"/>
    </xf>
    <xf numFmtId="0" fontId="49" fillId="27" borderId="56" xfId="0" applyFont="1" applyFill="1" applyBorder="1" applyAlignment="1">
      <alignment horizontal="justify" vertical="top" wrapText="1"/>
    </xf>
    <xf numFmtId="0" fontId="49" fillId="27" borderId="63" xfId="0" applyFont="1" applyFill="1" applyBorder="1" applyAlignment="1">
      <alignment horizontal="left" vertical="top" wrapText="1"/>
    </xf>
    <xf numFmtId="0" fontId="49" fillId="27" borderId="66" xfId="0" applyFont="1" applyFill="1" applyBorder="1" applyAlignment="1">
      <alignment horizontal="left" vertical="top" wrapText="1"/>
    </xf>
    <xf numFmtId="0" fontId="12" fillId="22" borderId="43" xfId="0" applyFont="1" applyFill="1" applyBorder="1" applyAlignment="1">
      <alignment horizontal="justify" vertical="center" wrapText="1"/>
    </xf>
    <xf numFmtId="0" fontId="12" fillId="22" borderId="63" xfId="0" applyFont="1" applyFill="1" applyBorder="1" applyAlignment="1">
      <alignment horizontal="justify" vertical="center" wrapText="1"/>
    </xf>
    <xf numFmtId="0" fontId="12" fillId="22" borderId="66" xfId="0" applyFont="1" applyFill="1" applyBorder="1" applyAlignment="1">
      <alignment horizontal="justify" vertical="center" wrapText="1"/>
    </xf>
    <xf numFmtId="0" fontId="12" fillId="22" borderId="54" xfId="0" applyFont="1" applyFill="1" applyBorder="1" applyAlignment="1">
      <alignment horizontal="justify" vertical="center" wrapText="1"/>
    </xf>
    <xf numFmtId="0" fontId="12" fillId="22" borderId="55" xfId="0" applyFont="1" applyFill="1" applyBorder="1" applyAlignment="1">
      <alignment horizontal="justify" vertical="center" wrapText="1"/>
    </xf>
    <xf numFmtId="0" fontId="12" fillId="22" borderId="56" xfId="0" applyFont="1" applyFill="1" applyBorder="1" applyAlignment="1">
      <alignment horizontal="justify" vertical="center" wrapText="1"/>
    </xf>
    <xf numFmtId="0" fontId="12" fillId="14" borderId="54" xfId="0" applyFont="1" applyFill="1" applyBorder="1" applyAlignment="1">
      <alignment horizontal="justify" vertical="center" wrapText="1"/>
    </xf>
    <xf numFmtId="0" fontId="12" fillId="14" borderId="55" xfId="0" applyFont="1" applyFill="1" applyBorder="1" applyAlignment="1">
      <alignment horizontal="justify" vertical="center" wrapText="1"/>
    </xf>
    <xf numFmtId="0" fontId="12" fillId="14" borderId="56" xfId="0" applyFont="1" applyFill="1" applyBorder="1" applyAlignment="1">
      <alignment horizontal="justify" vertical="center" wrapText="1"/>
    </xf>
    <xf numFmtId="0" fontId="20" fillId="22" borderId="43" xfId="0" applyFont="1" applyFill="1" applyBorder="1" applyAlignment="1">
      <alignment horizontal="justify" vertical="center" wrapText="1"/>
    </xf>
    <xf numFmtId="0" fontId="20" fillId="22" borderId="63" xfId="0" applyFont="1" applyFill="1" applyBorder="1" applyAlignment="1">
      <alignment horizontal="justify" vertical="center" wrapText="1"/>
    </xf>
    <xf numFmtId="0" fontId="20" fillId="22" borderId="66" xfId="0" applyFont="1" applyFill="1" applyBorder="1" applyAlignment="1">
      <alignment horizontal="justify" vertical="center" wrapText="1"/>
    </xf>
    <xf numFmtId="0" fontId="20" fillId="22" borderId="54" xfId="0" applyFont="1" applyFill="1" applyBorder="1" applyAlignment="1">
      <alignment horizontal="justify" vertical="center" wrapText="1"/>
    </xf>
    <xf numFmtId="0" fontId="20" fillId="22" borderId="55" xfId="0" applyFont="1" applyFill="1" applyBorder="1" applyAlignment="1">
      <alignment horizontal="justify" vertical="center" wrapText="1"/>
    </xf>
    <xf numFmtId="0" fontId="20" fillId="22" borderId="56" xfId="0" applyFont="1" applyFill="1" applyBorder="1" applyAlignment="1">
      <alignment horizontal="justify" vertical="center" wrapText="1"/>
    </xf>
    <xf numFmtId="0" fontId="9" fillId="2" borderId="13" xfId="0" applyFont="1" applyFill="1" applyBorder="1" applyAlignment="1">
      <alignment horizontal="center" vertical="center" wrapText="1"/>
    </xf>
    <xf numFmtId="0" fontId="20" fillId="0" borderId="43" xfId="0" applyFont="1" applyBorder="1" applyAlignment="1">
      <alignment horizontal="justify" vertical="center" wrapText="1"/>
    </xf>
    <xf numFmtId="0" fontId="20" fillId="0" borderId="63" xfId="0" applyFont="1" applyBorder="1" applyAlignment="1">
      <alignment horizontal="justify" vertical="center" wrapText="1"/>
    </xf>
    <xf numFmtId="0" fontId="20" fillId="0" borderId="66" xfId="0" applyFont="1" applyBorder="1" applyAlignment="1">
      <alignment horizontal="justify" vertical="center" wrapText="1"/>
    </xf>
    <xf numFmtId="0" fontId="20" fillId="0" borderId="54" xfId="0" applyFont="1" applyBorder="1" applyAlignment="1">
      <alignment horizontal="justify" vertical="center" wrapText="1"/>
    </xf>
    <xf numFmtId="0" fontId="20" fillId="0" borderId="55" xfId="0" applyFont="1" applyBorder="1" applyAlignment="1">
      <alignment horizontal="justify" vertical="center" wrapText="1"/>
    </xf>
    <xf numFmtId="0" fontId="20" fillId="0" borderId="56" xfId="0" applyFont="1" applyBorder="1" applyAlignment="1">
      <alignment horizontal="justify" vertical="center" wrapText="1"/>
    </xf>
    <xf numFmtId="0" fontId="12" fillId="0" borderId="54" xfId="0" applyFont="1" applyBorder="1" applyAlignment="1">
      <alignment horizontal="justify" vertical="center" wrapText="1"/>
    </xf>
    <xf numFmtId="0" fontId="12" fillId="0" borderId="55" xfId="0" applyFont="1" applyBorder="1" applyAlignment="1">
      <alignment horizontal="justify" vertical="center" wrapText="1"/>
    </xf>
    <xf numFmtId="0" fontId="12" fillId="0" borderId="56" xfId="0" applyFont="1" applyBorder="1" applyAlignment="1">
      <alignment horizontal="justify" vertical="center" wrapText="1"/>
    </xf>
    <xf numFmtId="0" fontId="12" fillId="0" borderId="54" xfId="0" applyFont="1" applyBorder="1" applyAlignment="1">
      <alignment horizontal="left" vertical="center" wrapText="1"/>
    </xf>
    <xf numFmtId="0" fontId="12" fillId="0" borderId="55" xfId="0" applyFont="1" applyBorder="1" applyAlignment="1">
      <alignment horizontal="left" vertical="center" wrapText="1"/>
    </xf>
    <xf numFmtId="0" fontId="12" fillId="0" borderId="56" xfId="0" applyFont="1" applyBorder="1" applyAlignment="1">
      <alignment horizontal="left" vertical="center" wrapText="1"/>
    </xf>
    <xf numFmtId="0" fontId="20" fillId="0" borderId="43" xfId="0" applyFont="1" applyBorder="1" applyAlignment="1">
      <alignment horizontal="left" vertical="top" wrapText="1"/>
    </xf>
    <xf numFmtId="0" fontId="20" fillId="0" borderId="63" xfId="0" applyFont="1" applyBorder="1" applyAlignment="1">
      <alignment horizontal="left" vertical="top" wrapText="1"/>
    </xf>
    <xf numFmtId="0" fontId="20" fillId="0" borderId="66" xfId="0" applyFont="1" applyBorder="1" applyAlignment="1">
      <alignment horizontal="left" vertical="top" wrapText="1"/>
    </xf>
    <xf numFmtId="0" fontId="20" fillId="2" borderId="43" xfId="0" applyFont="1" applyFill="1" applyBorder="1" applyAlignment="1">
      <alignment horizontal="justify" vertical="center" wrapText="1"/>
    </xf>
    <xf numFmtId="0" fontId="20" fillId="2" borderId="63" xfId="0" applyFont="1" applyFill="1" applyBorder="1" applyAlignment="1">
      <alignment horizontal="justify" vertical="center" wrapText="1"/>
    </xf>
    <xf numFmtId="0" fontId="20" fillId="2" borderId="66" xfId="0" applyFont="1" applyFill="1" applyBorder="1" applyAlignment="1">
      <alignment horizontal="justify" vertical="center" wrapText="1"/>
    </xf>
    <xf numFmtId="0" fontId="20" fillId="0" borderId="43" xfId="0" applyFont="1" applyBorder="1" applyAlignment="1">
      <alignment horizontal="justify" vertical="top" wrapText="1"/>
    </xf>
    <xf numFmtId="0" fontId="20" fillId="0" borderId="63" xfId="0" applyFont="1" applyBorder="1" applyAlignment="1">
      <alignment horizontal="justify" vertical="top" wrapText="1"/>
    </xf>
    <xf numFmtId="0" fontId="20" fillId="0" borderId="66" xfId="0" applyFont="1" applyBorder="1" applyAlignment="1">
      <alignment horizontal="justify" vertical="top" wrapText="1"/>
    </xf>
    <xf numFmtId="0" fontId="12" fillId="0" borderId="54" xfId="0" applyFont="1" applyBorder="1" applyAlignment="1">
      <alignment vertical="center" wrapText="1"/>
    </xf>
    <xf numFmtId="0" fontId="12" fillId="0" borderId="55" xfId="0" applyFont="1" applyBorder="1" applyAlignment="1">
      <alignment vertical="center" wrapText="1"/>
    </xf>
    <xf numFmtId="0" fontId="12" fillId="0" borderId="56" xfId="0" applyFont="1" applyBorder="1" applyAlignment="1">
      <alignment vertical="center" wrapText="1"/>
    </xf>
    <xf numFmtId="0" fontId="20" fillId="0" borderId="43" xfId="0" applyFont="1" applyBorder="1" applyAlignment="1">
      <alignment horizontal="left" vertical="center" wrapText="1"/>
    </xf>
    <xf numFmtId="0" fontId="20" fillId="0" borderId="63" xfId="0" applyFont="1" applyBorder="1" applyAlignment="1">
      <alignment horizontal="left" vertical="center" wrapText="1"/>
    </xf>
    <xf numFmtId="0" fontId="20" fillId="0" borderId="66" xfId="0" applyFont="1" applyBorder="1" applyAlignment="1">
      <alignment horizontal="left" vertical="center" wrapText="1"/>
    </xf>
    <xf numFmtId="0" fontId="0" fillId="0" borderId="1" xfId="0" applyBorder="1" applyAlignment="1">
      <alignment horizontal="center" vertical="center" wrapText="1"/>
    </xf>
    <xf numFmtId="0" fontId="50" fillId="0" borderId="13" xfId="0" applyFont="1" applyBorder="1" applyAlignment="1">
      <alignment horizontal="center" vertical="center" wrapText="1"/>
    </xf>
    <xf numFmtId="0" fontId="50" fillId="0" borderId="4" xfId="0" applyFont="1" applyBorder="1" applyAlignment="1">
      <alignment horizontal="center" vertical="center" wrapText="1"/>
    </xf>
    <xf numFmtId="0" fontId="50" fillId="2" borderId="13" xfId="0" applyFont="1" applyFill="1" applyBorder="1" applyAlignment="1">
      <alignment horizontal="center" vertical="center" wrapText="1"/>
    </xf>
    <xf numFmtId="0" fontId="50" fillId="2" borderId="4" xfId="0" applyFont="1" applyFill="1" applyBorder="1" applyAlignment="1">
      <alignment horizontal="center" vertical="center" wrapText="1"/>
    </xf>
    <xf numFmtId="0" fontId="0" fillId="0" borderId="13" xfId="0" applyBorder="1" applyAlignment="1">
      <alignment horizontal="center" vertical="center" wrapText="1"/>
    </xf>
    <xf numFmtId="0" fontId="3" fillId="2" borderId="22" xfId="0" applyFont="1" applyFill="1" applyBorder="1" applyAlignment="1">
      <alignment horizontal="right" vertical="center" wrapText="1"/>
    </xf>
    <xf numFmtId="0" fontId="3" fillId="2" borderId="1" xfId="0" applyFont="1" applyFill="1" applyBorder="1" applyAlignment="1">
      <alignment horizontal="right" vertical="center" wrapText="1"/>
    </xf>
    <xf numFmtId="0" fontId="11" fillId="2" borderId="24" xfId="0" applyFont="1" applyFill="1" applyBorder="1" applyAlignment="1">
      <alignment horizontal="right" vertical="center" wrapText="1"/>
    </xf>
    <xf numFmtId="0" fontId="11" fillId="2" borderId="25" xfId="0" applyFont="1" applyFill="1" applyBorder="1" applyAlignment="1">
      <alignment horizontal="right" vertical="center" wrapText="1"/>
    </xf>
    <xf numFmtId="0" fontId="3" fillId="18" borderId="28" xfId="0" applyFont="1" applyFill="1" applyBorder="1" applyAlignment="1">
      <alignment horizontal="center" vertical="center" wrapText="1"/>
    </xf>
    <xf numFmtId="0" fontId="3" fillId="18" borderId="40" xfId="0" applyFont="1" applyFill="1" applyBorder="1" applyAlignment="1">
      <alignment horizontal="center" vertical="center" wrapText="1"/>
    </xf>
    <xf numFmtId="0" fontId="19" fillId="18" borderId="40" xfId="0" applyFont="1" applyFill="1" applyBorder="1" applyAlignment="1">
      <alignment horizontal="center" vertical="center" wrapText="1"/>
    </xf>
    <xf numFmtId="0" fontId="0" fillId="2" borderId="41" xfId="0" applyFill="1" applyBorder="1" applyAlignment="1">
      <alignment horizontal="center" vertical="center" wrapText="1"/>
    </xf>
    <xf numFmtId="0" fontId="0" fillId="2" borderId="42" xfId="0" applyFill="1" applyBorder="1" applyAlignment="1">
      <alignment horizontal="center" vertical="center" wrapText="1"/>
    </xf>
    <xf numFmtId="0" fontId="0" fillId="2" borderId="43" xfId="0" applyFill="1" applyBorder="1" applyAlignment="1">
      <alignment horizontal="center" vertical="center" wrapText="1"/>
    </xf>
    <xf numFmtId="0" fontId="0" fillId="2" borderId="64" xfId="0" applyFill="1" applyBorder="1" applyAlignment="1">
      <alignment horizontal="center" vertical="center" wrapText="1"/>
    </xf>
    <xf numFmtId="0" fontId="0" fillId="2" borderId="0" xfId="0" applyFill="1" applyAlignment="1">
      <alignment horizontal="center" vertical="center" wrapText="1"/>
    </xf>
    <xf numFmtId="0" fontId="0" fillId="2" borderId="63" xfId="0" applyFill="1" applyBorder="1" applyAlignment="1">
      <alignment horizontal="center" vertical="center" wrapText="1"/>
    </xf>
    <xf numFmtId="0" fontId="0" fillId="2" borderId="65" xfId="0" applyFill="1" applyBorder="1" applyAlignment="1">
      <alignment horizontal="center" vertical="center" wrapText="1"/>
    </xf>
    <xf numFmtId="0" fontId="0" fillId="2" borderId="51" xfId="0" applyFill="1" applyBorder="1" applyAlignment="1">
      <alignment horizontal="center" vertical="center" wrapText="1"/>
    </xf>
    <xf numFmtId="0" fontId="0" fillId="2" borderId="66" xfId="0" applyFill="1" applyBorder="1" applyAlignment="1">
      <alignment horizontal="center" vertical="center" wrapText="1"/>
    </xf>
    <xf numFmtId="0" fontId="3" fillId="18" borderId="41" xfId="0" applyFont="1" applyFill="1" applyBorder="1" applyAlignment="1">
      <alignment horizontal="center" vertical="center" wrapText="1"/>
    </xf>
    <xf numFmtId="0" fontId="3" fillId="18" borderId="42" xfId="0" applyFont="1" applyFill="1" applyBorder="1" applyAlignment="1">
      <alignment horizontal="center" vertical="center" wrapText="1"/>
    </xf>
    <xf numFmtId="0" fontId="3" fillId="18" borderId="43"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23" xfId="0" applyFont="1" applyFill="1" applyBorder="1" applyAlignment="1">
      <alignment horizontal="center" vertical="center" wrapText="1"/>
    </xf>
    <xf numFmtId="0" fontId="11" fillId="2" borderId="22" xfId="0" applyFont="1" applyFill="1" applyBorder="1" applyAlignment="1">
      <alignment horizontal="right" vertical="center" wrapText="1"/>
    </xf>
    <xf numFmtId="0" fontId="11" fillId="2" borderId="1" xfId="0" applyFont="1" applyFill="1" applyBorder="1" applyAlignment="1">
      <alignment horizontal="right" vertical="center" wrapText="1"/>
    </xf>
    <xf numFmtId="0" fontId="20" fillId="2" borderId="22" xfId="0" applyFont="1" applyFill="1" applyBorder="1" applyAlignment="1">
      <alignment horizontal="right" vertical="center" wrapText="1"/>
    </xf>
    <xf numFmtId="0" fontId="20" fillId="2" borderId="1" xfId="0" applyFont="1" applyFill="1" applyBorder="1" applyAlignment="1">
      <alignment horizontal="right" vertical="center" wrapText="1"/>
    </xf>
    <xf numFmtId="0" fontId="3" fillId="18" borderId="30" xfId="0" applyFont="1" applyFill="1" applyBorder="1" applyAlignment="1">
      <alignment horizontal="center" vertical="center" wrapText="1"/>
    </xf>
    <xf numFmtId="0" fontId="3" fillId="18" borderId="31" xfId="0" applyFont="1" applyFill="1" applyBorder="1" applyAlignment="1">
      <alignment horizontal="center" vertical="center" wrapText="1"/>
    </xf>
    <xf numFmtId="0" fontId="3" fillId="18" borderId="36" xfId="0" applyFont="1" applyFill="1" applyBorder="1" applyAlignment="1">
      <alignment horizontal="center" vertical="center" wrapText="1"/>
    </xf>
    <xf numFmtId="0" fontId="3" fillId="2" borderId="37"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18" fillId="2" borderId="37" xfId="3" applyFill="1" applyBorder="1" applyAlignment="1">
      <alignment horizontal="center" vertical="center" wrapText="1"/>
    </xf>
    <xf numFmtId="0" fontId="18" fillId="2" borderId="6" xfId="3" applyFill="1" applyBorder="1" applyAlignment="1">
      <alignment horizontal="center" vertical="center" wrapText="1"/>
    </xf>
    <xf numFmtId="0" fontId="18" fillId="2" borderId="7" xfId="3" applyFill="1" applyBorder="1" applyAlignment="1">
      <alignment horizontal="center" vertical="center" wrapText="1"/>
    </xf>
    <xf numFmtId="0" fontId="3" fillId="2" borderId="38"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2" borderId="24" xfId="0" applyFont="1" applyFill="1" applyBorder="1" applyAlignment="1">
      <alignment horizontal="right" vertical="center" wrapText="1"/>
    </xf>
    <xf numFmtId="0" fontId="3" fillId="2" borderId="25" xfId="0" applyFont="1" applyFill="1" applyBorder="1" applyAlignment="1">
      <alignment horizontal="right" vertical="center" wrapText="1"/>
    </xf>
    <xf numFmtId="0" fontId="3" fillId="2" borderId="1"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2" borderId="39" xfId="0" applyFont="1" applyFill="1" applyBorder="1" applyAlignment="1">
      <alignment horizontal="center" vertical="center" wrapText="1"/>
    </xf>
    <xf numFmtId="0" fontId="3" fillId="13" borderId="30" xfId="0" applyFont="1" applyFill="1" applyBorder="1" applyAlignment="1">
      <alignment horizontal="center" vertical="center" wrapText="1"/>
    </xf>
    <xf numFmtId="0" fontId="3" fillId="13" borderId="31" xfId="0" applyFont="1" applyFill="1" applyBorder="1" applyAlignment="1">
      <alignment horizontal="center" vertical="center" wrapText="1"/>
    </xf>
    <xf numFmtId="0" fontId="3" fillId="13" borderId="36" xfId="0" applyFont="1" applyFill="1" applyBorder="1" applyAlignment="1">
      <alignment horizontal="center" vertical="center" wrapText="1"/>
    </xf>
    <xf numFmtId="0" fontId="3" fillId="13" borderId="22" xfId="0" applyFont="1" applyFill="1" applyBorder="1" applyAlignment="1">
      <alignment horizontal="center" vertical="center" wrapText="1"/>
    </xf>
    <xf numFmtId="0" fontId="3" fillId="13" borderId="1" xfId="0" applyFont="1" applyFill="1" applyBorder="1" applyAlignment="1">
      <alignment horizontal="center" vertical="center" wrapText="1"/>
    </xf>
    <xf numFmtId="0" fontId="3" fillId="13" borderId="23" xfId="0" applyFont="1" applyFill="1" applyBorder="1" applyAlignment="1">
      <alignment horizontal="center" vertical="center" wrapText="1"/>
    </xf>
    <xf numFmtId="0" fontId="0" fillId="2" borderId="3" xfId="0" applyFill="1" applyBorder="1" applyAlignment="1">
      <alignment horizontal="center" vertical="center" wrapText="1"/>
    </xf>
    <xf numFmtId="0" fontId="0" fillId="0" borderId="19" xfId="0" applyBorder="1" applyAlignment="1">
      <alignment horizontal="center" vertical="center" wrapText="1"/>
    </xf>
    <xf numFmtId="0" fontId="0" fillId="0" borderId="32" xfId="0" applyBorder="1" applyAlignment="1">
      <alignment horizontal="center" vertical="center" wrapText="1"/>
    </xf>
    <xf numFmtId="0" fontId="0" fillId="0" borderId="19" xfId="0" applyBorder="1" applyAlignment="1">
      <alignment horizontal="left" vertical="center" wrapText="1"/>
    </xf>
    <xf numFmtId="0" fontId="0" fillId="0" borderId="32" xfId="0" applyBorder="1" applyAlignment="1">
      <alignment horizontal="left" vertical="center" wrapText="1"/>
    </xf>
    <xf numFmtId="0" fontId="4" fillId="9" borderId="2" xfId="0" applyFont="1" applyFill="1" applyBorder="1" applyAlignment="1">
      <alignment horizontal="center" vertical="center" wrapText="1"/>
    </xf>
    <xf numFmtId="0" fontId="4" fillId="9" borderId="3" xfId="0" applyFont="1" applyFill="1" applyBorder="1" applyAlignment="1">
      <alignment horizontal="center" vertical="center" wrapText="1"/>
    </xf>
    <xf numFmtId="0" fontId="0" fillId="0" borderId="54" xfId="0" applyBorder="1" applyAlignment="1">
      <alignment horizontal="left" vertical="center" wrapText="1"/>
    </xf>
    <xf numFmtId="0" fontId="0" fillId="0" borderId="55" xfId="0" applyBorder="1" applyAlignment="1">
      <alignment horizontal="left" vertical="center" wrapText="1"/>
    </xf>
    <xf numFmtId="0" fontId="0" fillId="0" borderId="56" xfId="0" applyBorder="1" applyAlignment="1">
      <alignment horizontal="left" vertical="center" wrapText="1"/>
    </xf>
    <xf numFmtId="0" fontId="2" fillId="7" borderId="46"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2" fillId="7" borderId="47"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4" fillId="8" borderId="2" xfId="0" applyFont="1" applyFill="1" applyBorder="1" applyAlignment="1">
      <alignment horizontal="center" vertical="center" wrapText="1"/>
    </xf>
    <xf numFmtId="0" fontId="2" fillId="10" borderId="2"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0" fillId="0" borderId="17" xfId="0" applyBorder="1" applyAlignment="1">
      <alignment horizontal="center" vertical="center" wrapText="1"/>
    </xf>
    <xf numFmtId="0" fontId="0" fillId="0" borderId="30" xfId="0" applyBorder="1" applyAlignment="1">
      <alignment horizontal="center" vertical="center" wrapText="1"/>
    </xf>
    <xf numFmtId="0" fontId="0" fillId="0" borderId="22" xfId="0" applyBorder="1" applyAlignment="1">
      <alignment horizontal="center" vertical="center" wrapText="1"/>
    </xf>
    <xf numFmtId="0" fontId="0" fillId="0" borderId="24" xfId="0" applyBorder="1" applyAlignment="1">
      <alignment horizontal="center" vertical="center" wrapText="1"/>
    </xf>
    <xf numFmtId="0" fontId="0" fillId="0" borderId="3" xfId="0" applyBorder="1" applyAlignment="1">
      <alignment horizontal="center" vertical="center" wrapText="1"/>
    </xf>
    <xf numFmtId="0" fontId="0" fillId="0" borderId="27" xfId="0" applyBorder="1" applyAlignment="1">
      <alignment horizontal="center" vertical="center" wrapText="1"/>
    </xf>
    <xf numFmtId="0" fontId="4" fillId="6" borderId="1" xfId="0" applyFont="1" applyFill="1" applyBorder="1" applyAlignment="1">
      <alignment horizontal="center" vertical="center" wrapText="1"/>
    </xf>
    <xf numFmtId="0" fontId="19" fillId="20" borderId="2" xfId="0" applyFont="1" applyFill="1" applyBorder="1" applyAlignment="1">
      <alignment horizontal="center" vertical="center" wrapText="1"/>
    </xf>
    <xf numFmtId="0" fontId="19" fillId="20" borderId="3" xfId="0" applyFont="1" applyFill="1" applyBorder="1" applyAlignment="1">
      <alignment horizontal="center" vertical="center" wrapText="1"/>
    </xf>
    <xf numFmtId="0" fontId="0" fillId="14" borderId="19" xfId="0" applyFill="1" applyBorder="1" applyAlignment="1">
      <alignment horizontal="center" vertical="center" wrapText="1"/>
    </xf>
    <xf numFmtId="0" fontId="0" fillId="14" borderId="32" xfId="0" applyFill="1" applyBorder="1" applyAlignment="1">
      <alignment horizontal="center" vertical="center" wrapText="1"/>
    </xf>
    <xf numFmtId="0" fontId="0" fillId="2" borderId="19" xfId="0" applyFill="1" applyBorder="1" applyAlignment="1">
      <alignment horizontal="center" vertical="center" wrapText="1"/>
    </xf>
    <xf numFmtId="0" fontId="0" fillId="2" borderId="32" xfId="0" applyFill="1" applyBorder="1" applyAlignment="1">
      <alignment horizontal="center" vertical="center" wrapText="1"/>
    </xf>
    <xf numFmtId="0" fontId="0" fillId="2" borderId="19" xfId="0" applyFill="1" applyBorder="1" applyAlignment="1">
      <alignment horizontal="left" vertical="center" wrapText="1"/>
    </xf>
    <xf numFmtId="0" fontId="0" fillId="2" borderId="32" xfId="0" applyFill="1" applyBorder="1" applyAlignment="1">
      <alignment horizontal="left" vertical="center" wrapText="1"/>
    </xf>
    <xf numFmtId="0" fontId="0" fillId="2" borderId="30"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24" xfId="0" applyFill="1" applyBorder="1" applyAlignment="1">
      <alignment horizontal="center" vertical="center" wrapText="1"/>
    </xf>
    <xf numFmtId="0" fontId="0" fillId="2" borderId="27" xfId="0" applyFill="1" applyBorder="1" applyAlignment="1">
      <alignment horizontal="center" vertical="center" wrapText="1"/>
    </xf>
    <xf numFmtId="0" fontId="0" fillId="21" borderId="19" xfId="0" applyFill="1" applyBorder="1" applyAlignment="1">
      <alignment horizontal="center" vertical="center" wrapText="1"/>
    </xf>
    <xf numFmtId="0" fontId="0" fillId="21" borderId="32" xfId="0" applyFill="1" applyBorder="1" applyAlignment="1">
      <alignment horizontal="center" vertical="center" wrapText="1"/>
    </xf>
    <xf numFmtId="0" fontId="0" fillId="21" borderId="19" xfId="0" applyFill="1" applyBorder="1" applyAlignment="1">
      <alignment horizontal="left" vertical="center" wrapText="1"/>
    </xf>
    <xf numFmtId="0" fontId="0" fillId="21" borderId="32" xfId="0" applyFill="1" applyBorder="1" applyAlignment="1">
      <alignment horizontal="left" vertical="center" wrapText="1"/>
    </xf>
  </cellXfs>
  <cellStyles count="98">
    <cellStyle name="Comma [0] 2" xfId="14" xr:uid="{BE751380-1122-4E39-BFB7-0981F58EB572}"/>
    <cellStyle name="Comma 10" xfId="38" xr:uid="{002D233A-C03D-4351-A47E-399E60238273}"/>
    <cellStyle name="Comma 11" xfId="36" xr:uid="{D38EB023-4CA0-41F9-A726-7E5F4E305E9F}"/>
    <cellStyle name="Comma 12" xfId="42" xr:uid="{2928E7F7-28B4-4EFE-B1AB-4689FB3A9AED}"/>
    <cellStyle name="Comma 13" xfId="44" xr:uid="{0773C0A6-E0DA-4449-8AE5-52481D49CF4E}"/>
    <cellStyle name="Comma 14" xfId="46" xr:uid="{1D5E2050-1923-4546-922E-873EF6C6F4AF}"/>
    <cellStyle name="Comma 15" xfId="48" xr:uid="{ABD39EF3-2DBA-4288-B216-C4FB9FDC618B}"/>
    <cellStyle name="Comma 16" xfId="50" xr:uid="{5A224F95-96A6-4DA2-B6A0-54735224D3FA}"/>
    <cellStyle name="Comma 17" xfId="52" xr:uid="{E62FAA8E-911C-432B-A096-533964F49EC2}"/>
    <cellStyle name="Comma 18" xfId="54" xr:uid="{B08ACBDC-1423-4E44-90C5-BCA1752FA7FA}"/>
    <cellStyle name="Comma 19" xfId="56" xr:uid="{96F9E40B-F7A9-43A5-A398-C788BDB706C9}"/>
    <cellStyle name="Comma 2" xfId="6" xr:uid="{7946A6A1-A5D9-451C-BB84-FB00CA296B76}"/>
    <cellStyle name="Comma 2 2" xfId="11" xr:uid="{7D13089F-51DB-460D-A48A-DC2C9FDB729F}"/>
    <cellStyle name="Comma 20" xfId="58" xr:uid="{F7D45FA6-FDDF-415B-9344-98CB18D7394B}"/>
    <cellStyle name="Comma 21" xfId="60" xr:uid="{9D87987D-7427-4197-92CB-B524824A0AAB}"/>
    <cellStyle name="Comma 22" xfId="62" xr:uid="{0CDE979B-843C-495B-AD42-3AB4D63A917F}"/>
    <cellStyle name="Comma 23" xfId="64" xr:uid="{55DEA23D-1E1B-4F0F-9250-4850CF52130D}"/>
    <cellStyle name="Comma 24" xfId="66" xr:uid="{E67AA501-F7B6-4C67-9BE7-0665C284CD79}"/>
    <cellStyle name="Comma 25" xfId="68" xr:uid="{F31C9C58-3D28-47CC-A5BD-153E992AE8ED}"/>
    <cellStyle name="Comma 26" xfId="70" xr:uid="{B2FE6AC1-E003-4A13-A8DA-1A3E1F5434BC}"/>
    <cellStyle name="Comma 27" xfId="72" xr:uid="{9D87E211-A1A6-4C53-85B3-62F701E09764}"/>
    <cellStyle name="Comma 28" xfId="74" xr:uid="{BF7C9B7E-B8D0-4C99-AB4F-3B87532CC955}"/>
    <cellStyle name="Comma 29" xfId="76" xr:uid="{002A63A0-2FFF-4F40-B947-F0D53CC235EA}"/>
    <cellStyle name="Comma 3" xfId="22" xr:uid="{127A3C07-981C-484E-9602-4CDC4965AFC5}"/>
    <cellStyle name="Comma 30" xfId="79" xr:uid="{B73645C1-C0F4-4E21-8C8E-FAABDCCAE434}"/>
    <cellStyle name="Comma 31" xfId="80" xr:uid="{E413F8FA-19C5-4F70-8AB7-A623250E66B7}"/>
    <cellStyle name="Comma 32" xfId="82" xr:uid="{352550CC-EF22-41D9-878A-5CDD8F91DACF}"/>
    <cellStyle name="Comma 33" xfId="84" xr:uid="{2E1DE1E7-2CD4-41B2-A351-1F22411B75CE}"/>
    <cellStyle name="Comma 34" xfId="86" xr:uid="{72C2B85A-4542-4B7E-9A4A-C49BD5EF91DC}"/>
    <cellStyle name="Comma 4" xfId="30" xr:uid="{E233B151-4A4D-448B-8516-C11FE532E08C}"/>
    <cellStyle name="Comma 5" xfId="20" xr:uid="{0F076206-7583-44D1-80CD-B5A137A2F71E}"/>
    <cellStyle name="Comma 6" xfId="29" xr:uid="{597CEB1C-1255-414D-8BA7-3701D0AA86A6}"/>
    <cellStyle name="Comma 7" xfId="21" xr:uid="{BBA051FD-29BC-4D49-B98E-0A052D4C5D5B}"/>
    <cellStyle name="Comma 8" xfId="28" xr:uid="{66191CEE-6170-48F5-9866-EB63E1B2E800}"/>
    <cellStyle name="Comma 9" xfId="39" xr:uid="{CAABB343-F9CD-4136-8633-18DFC88597BB}"/>
    <cellStyle name="Currency [0] 2" xfId="24" xr:uid="{F5D2F6C7-6A49-41FC-AEE8-E8637DC0DAB6}"/>
    <cellStyle name="Currency 10" xfId="37" xr:uid="{2688EE8C-9660-4D9D-962B-3ABB2FC8207A}"/>
    <cellStyle name="Currency 11" xfId="41" xr:uid="{ECB51808-4703-42BD-989E-AF2D36E0A4A9}"/>
    <cellStyle name="Currency 12" xfId="43" xr:uid="{0D9AFEB7-3129-4D3C-AC7C-64B45D1F94DA}"/>
    <cellStyle name="Currency 13" xfId="45" xr:uid="{06F6CF04-D365-4DB3-B9A4-B9D4BBA30549}"/>
    <cellStyle name="Currency 14" xfId="47" xr:uid="{022EC917-2D92-44CB-8445-7530A4D1CE9E}"/>
    <cellStyle name="Currency 15" xfId="49" xr:uid="{66018316-FA45-4B9D-97B6-E5A885D9E1E3}"/>
    <cellStyle name="Currency 16" xfId="51" xr:uid="{6643E033-2974-422C-A621-88AF57F1FD8E}"/>
    <cellStyle name="Currency 17" xfId="53" xr:uid="{8637FD21-8CC4-4E01-BF3B-338A647875E3}"/>
    <cellStyle name="Currency 18" xfId="55" xr:uid="{FACEF8B5-6935-46DD-A5F9-D185BF986D12}"/>
    <cellStyle name="Currency 19" xfId="57" xr:uid="{439B3232-4C32-4F84-84D5-7737838902BC}"/>
    <cellStyle name="Currency 2" xfId="13" xr:uid="{88898847-B5E3-45A0-8CA7-C5E9F2C68BF9}"/>
    <cellStyle name="Currency 20" xfId="59" xr:uid="{779EA56A-86D7-4EA1-9C0F-C333E8B78EDE}"/>
    <cellStyle name="Currency 21" xfId="61" xr:uid="{22A1ED7B-5914-4F17-8D3E-1444AEB03D67}"/>
    <cellStyle name="Currency 22" xfId="63" xr:uid="{CC6FF466-D432-45FE-9238-81C5C2AF6552}"/>
    <cellStyle name="Currency 23" xfId="65" xr:uid="{53F69283-E027-49E2-A05A-44A0B529A2B9}"/>
    <cellStyle name="Currency 24" xfId="67" xr:uid="{07AC6626-9EDA-47FB-B9CA-04BF7A4F4055}"/>
    <cellStyle name="Currency 25" xfId="69" xr:uid="{E69B36D3-E482-4223-A4B5-71BFA7B9D3D7}"/>
    <cellStyle name="Currency 26" xfId="71" xr:uid="{3B85CACE-41A3-4F7C-A9C0-2D38CFA56704}"/>
    <cellStyle name="Currency 27" xfId="73" xr:uid="{AB6EB9C5-970E-4BFD-BE55-2210840A5856}"/>
    <cellStyle name="Currency 28" xfId="75" xr:uid="{EC47FAD7-D120-42D1-9269-6E5BF5798BA2}"/>
    <cellStyle name="Currency 29" xfId="77" xr:uid="{6417F9F8-02C1-4051-9A5B-EF2F57D36BED}"/>
    <cellStyle name="Currency 3" xfId="23" xr:uid="{E88C3D89-4505-4424-A372-BB40004BC1BA}"/>
    <cellStyle name="Currency 30" xfId="78" xr:uid="{B5AED99A-FF1E-473C-82D4-8CC3927319E0}"/>
    <cellStyle name="Currency 31" xfId="81" xr:uid="{2C06BA9B-5A59-4610-B8F3-0AAB9B7D2077}"/>
    <cellStyle name="Currency 32" xfId="83" xr:uid="{3799FFA8-E308-49D3-8D4B-0C9893E9986E}"/>
    <cellStyle name="Currency 33" xfId="85" xr:uid="{C9B134EA-12D6-497C-A6BE-39FEC878117E}"/>
    <cellStyle name="Currency 34" xfId="87" xr:uid="{366C46FA-2F8F-4A00-B37F-5371FC723913}"/>
    <cellStyle name="Currency 35" xfId="88" xr:uid="{8CFEE8BE-1B84-468C-A6F1-EB08BEB37448}"/>
    <cellStyle name="Currency 4" xfId="31" xr:uid="{CBA5E79C-A292-44C2-83D3-05F844A1D847}"/>
    <cellStyle name="Currency 5" xfId="32" xr:uid="{9EC073C9-F4E2-40A7-90DC-C6C146EA60C3}"/>
    <cellStyle name="Currency 6" xfId="33" xr:uid="{36347AD4-A4C6-4C37-9C6E-C5B2CD21408C}"/>
    <cellStyle name="Currency 7" xfId="34" xr:uid="{73BC7506-F290-4ACF-AFB9-57C4BAF350DB}"/>
    <cellStyle name="Currency 8" xfId="35" xr:uid="{4A5BEC51-5C6E-4C45-9F10-15F12AC450A7}"/>
    <cellStyle name="Currency 9" xfId="40" xr:uid="{B589E6EF-1962-4D52-8514-1EFD72F53E12}"/>
    <cellStyle name="Hipervínculo" xfId="3" builtinId="8"/>
    <cellStyle name="Millares" xfId="2" builtinId="3"/>
    <cellStyle name="Millares [0] 2" xfId="27" xr:uid="{D1430D19-360A-4456-B1EB-8B37B43D8FB6}"/>
    <cellStyle name="Millares 2" xfId="12" xr:uid="{7499EC94-11E0-4161-A83F-3D9E835D2B90}"/>
    <cellStyle name="Millares 3" xfId="7" xr:uid="{CFA67CFA-FDE2-452F-9EBB-7D359B6E618E}"/>
    <cellStyle name="Moneda [0] 2" xfId="26" xr:uid="{4AC06ABF-D9F0-4442-96E2-00A99855A2DC}"/>
    <cellStyle name="Moneda 2" xfId="10" xr:uid="{1B1017BD-D579-496D-A44B-7C21EE9D31BF}"/>
    <cellStyle name="Moneda 3" xfId="9" xr:uid="{60FB4D2C-A97A-473E-83C9-8F2FB58AE39A}"/>
    <cellStyle name="Moneda 4" xfId="15" xr:uid="{54397E15-9932-473D-88CE-842EADE31667}"/>
    <cellStyle name="Moneda 5" xfId="93" xr:uid="{A350F0AE-B6C1-4A4E-94C9-5697E5F011EC}"/>
    <cellStyle name="Moneda 6" xfId="91" xr:uid="{F9AD28D1-8AFD-49C4-8CF0-AC5BB5C33CD3}"/>
    <cellStyle name="Moneda 7" xfId="92" xr:uid="{8D9D25B0-A7D6-46B3-8E94-AD8BCBC47E5A}"/>
    <cellStyle name="Normal" xfId="0" builtinId="0"/>
    <cellStyle name="Normal 10" xfId="5" xr:uid="{4FF650DF-A046-441E-A244-94571A55469B}"/>
    <cellStyle name="Normal 2" xfId="4" xr:uid="{A1246B57-3D49-4528-9387-F0B7C64D9AC4}"/>
    <cellStyle name="Normal 2 2" xfId="95" xr:uid="{DB0C7A75-7088-421B-8F36-0C9D45F300EB}"/>
    <cellStyle name="Normal 3" xfId="16" xr:uid="{56CAF795-BE2B-4E49-A645-11859AFB42A4}"/>
    <cellStyle name="Normal 3 2 2" xfId="96" xr:uid="{B4D746E7-52B8-4072-A499-F1EA752FFC7F}"/>
    <cellStyle name="Normal 4" xfId="17" xr:uid="{11A57796-A9BC-488C-B147-84C66E00DFF0}"/>
    <cellStyle name="Normal 5" xfId="8" xr:uid="{03112F5C-1939-46A6-B980-5C1A7FC9B904}"/>
    <cellStyle name="Normal 6" xfId="90" xr:uid="{4EC3A060-FFAA-4EED-BDDF-F7F1F7EB65E9}"/>
    <cellStyle name="Percent 2" xfId="25" xr:uid="{101ADA1D-7F4C-4DF2-A675-41CCCC0E4FA1}"/>
    <cellStyle name="Porcentaje" xfId="1" builtinId="5"/>
    <cellStyle name="Porcentaje 2" xfId="89" xr:uid="{D08202C8-20A7-48B6-B835-8A4A756C37A2}"/>
    <cellStyle name="Porcentaje 2 4" xfId="97" xr:uid="{6AD1FD8B-E0AF-4948-B453-B783B76CF558}"/>
    <cellStyle name="Porcentaje 3" xfId="94" xr:uid="{FC3D45C5-572E-4AA8-A055-586BD2A41648}"/>
    <cellStyle name="Porcentual 2" xfId="18" xr:uid="{3B514DCD-B775-45D9-AACB-11A36CABCC6F}"/>
    <cellStyle name="Porcentual 3" xfId="19" xr:uid="{B926100D-C241-4C3D-B785-84A1F5FD3065}"/>
  </cellStyles>
  <dxfs count="49">
    <dxf>
      <font>
        <b/>
        <i val="0"/>
      </font>
      <fill>
        <patternFill>
          <bgColor rgb="FFFF99CC"/>
        </patternFill>
      </fill>
    </dxf>
    <dxf>
      <font>
        <b/>
        <i val="0"/>
      </font>
      <fill>
        <patternFill>
          <bgColor rgb="FFFFFFCC"/>
        </patternFill>
      </fill>
    </dxf>
    <dxf>
      <font>
        <b/>
        <i val="0"/>
      </font>
      <fill>
        <patternFill>
          <bgColor rgb="FFFFCCCC"/>
        </patternFill>
      </fill>
    </dxf>
    <dxf>
      <font>
        <b/>
        <i val="0"/>
      </font>
      <fill>
        <patternFill>
          <bgColor rgb="FFFF99CC"/>
        </patternFill>
      </fill>
    </dxf>
    <dxf>
      <font>
        <b/>
        <i val="0"/>
      </font>
      <fill>
        <patternFill>
          <bgColor rgb="FFFFFFCC"/>
        </patternFill>
      </fill>
    </dxf>
    <dxf>
      <font>
        <b/>
        <i val="0"/>
      </font>
      <fill>
        <patternFill>
          <bgColor rgb="FFFFCCCC"/>
        </patternFill>
      </fill>
    </dxf>
    <dxf>
      <font>
        <b/>
        <i val="0"/>
      </font>
      <fill>
        <patternFill>
          <bgColor rgb="FFFFCCCC"/>
        </patternFill>
      </fill>
    </dxf>
    <dxf>
      <font>
        <b/>
        <i val="0"/>
      </font>
      <fill>
        <patternFill>
          <bgColor rgb="FFFF99CC"/>
        </patternFill>
      </fill>
    </dxf>
    <dxf>
      <font>
        <b/>
        <i val="0"/>
      </font>
      <fill>
        <patternFill>
          <bgColor rgb="FFFFFFCC"/>
        </patternFill>
      </fill>
    </dxf>
    <dxf>
      <font>
        <b/>
        <i val="0"/>
      </font>
      <fill>
        <patternFill>
          <bgColor rgb="FFFFCCCC"/>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font>
      <fill>
        <patternFill>
          <bgColor rgb="FFFF99CC"/>
        </patternFill>
      </fill>
    </dxf>
    <dxf>
      <font>
        <b/>
        <i val="0"/>
      </font>
      <fill>
        <patternFill>
          <bgColor rgb="FFFFCCCC"/>
        </patternFill>
      </fill>
    </dxf>
    <dxf>
      <font>
        <b/>
        <i val="0"/>
      </font>
      <fill>
        <patternFill>
          <bgColor rgb="FFFFFFCC"/>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s>
  <tableStyles count="0" defaultTableStyle="TableStyleMedium2" defaultPivotStyle="PivotStyleLight16"/>
  <colors>
    <mruColors>
      <color rgb="FFFF99CC"/>
      <color rgb="FFB8CCE4"/>
      <color rgb="FF00B050"/>
      <color rgb="FFFFCCCC"/>
      <color rgb="FFFABF8F"/>
      <color rgb="FFE26B0A"/>
      <color rgb="FF948A54"/>
      <color rgb="FFFFFFCC"/>
      <color rgb="FF808080"/>
      <color rgb="FF36609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06/relationships/rdRichValueTypes" Target="richData/rdRichValueTyp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17/06/relationships/rdRichValueStructure" Target="richData/rdrichvaluestructure.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17/06/relationships/rdRichValue" Target="richData/rdrichvalue.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ttps://d.docs.live.net/8996deec39cffb66/Desktop/ANI%202025/EVALUACION%20VJ-VEJ-CM-002-2026%20INTERVENTORIA%20ESTANQUILLO%20-%20POPAYAN/MATRIZ%20TECNICA%20PRELIMINAR%20CONSOLIDADO%2024-03-2026/MAT-TEC-PRE-VJ-VEJ-CM-002-2026%20Alejandra%20Cuervo%2026-03-2026%20PRELIMINAR.xlsx" TargetMode="External"/><Relationship Id="rId2" Type="http://schemas.microsoft.com/office/2019/04/relationships/externalLinkLongPath" Target="MATRIZ%20TECNICA%20PRELIMINAR%20CONSOLIDADO%2024-03-2026/MAT-TEC-PRE-VJ-VEJ-CM-002-2026%20Alejandra%20Cuervo%2026-03-2026%20PRELIMINAR.xlsx?D7BC1AC6" TargetMode="External"/><Relationship Id="rId1" Type="http://schemas.openxmlformats.org/officeDocument/2006/relationships/externalLinkPath" Target="file:///\\D7BC1AC6\MAT-TEC-PRE-VJ-VEJ-CM-002-2026%20Alejandra%20Cuervo%2026-03-2026%20PRELIMINA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PARÁMETROS"/>
      <sheetName val="EXPERIENCIA "/>
      <sheetName val="PONDERACIÓN "/>
      <sheetName val="CONSOLIDADO"/>
      <sheetName val="DESEMPATE Y DISCAPACIDAD"/>
      <sheetName val="SMMLV"/>
    </sheetNames>
    <sheetDataSet>
      <sheetData sheetId="0"/>
      <sheetData sheetId="1"/>
      <sheetData sheetId="2"/>
      <sheetData sheetId="3"/>
      <sheetData sheetId="4"/>
      <sheetData sheetId="5">
        <row r="2">
          <cell r="A2">
            <v>1990</v>
          </cell>
          <cell r="B2">
            <v>41025</v>
          </cell>
        </row>
        <row r="3">
          <cell r="A3">
            <v>1991</v>
          </cell>
          <cell r="B3">
            <v>51716</v>
          </cell>
        </row>
        <row r="4">
          <cell r="A4">
            <v>1992</v>
          </cell>
          <cell r="B4">
            <v>65190</v>
          </cell>
        </row>
        <row r="5">
          <cell r="A5">
            <v>1993</v>
          </cell>
          <cell r="B5">
            <v>81510</v>
          </cell>
        </row>
        <row r="6">
          <cell r="A6">
            <v>1994</v>
          </cell>
          <cell r="B6">
            <v>98700</v>
          </cell>
        </row>
        <row r="7">
          <cell r="A7">
            <v>1995</v>
          </cell>
          <cell r="B7">
            <v>118933.5</v>
          </cell>
        </row>
        <row r="8">
          <cell r="A8">
            <v>1996</v>
          </cell>
          <cell r="B8">
            <v>142125</v>
          </cell>
        </row>
        <row r="9">
          <cell r="A9">
            <v>1997</v>
          </cell>
          <cell r="B9">
            <v>172005</v>
          </cell>
        </row>
        <row r="10">
          <cell r="A10">
            <v>1998</v>
          </cell>
          <cell r="B10">
            <v>203826</v>
          </cell>
        </row>
        <row r="11">
          <cell r="A11">
            <v>1999</v>
          </cell>
          <cell r="B11">
            <v>236460</v>
          </cell>
        </row>
        <row r="12">
          <cell r="A12">
            <v>2000</v>
          </cell>
          <cell r="B12">
            <v>260100</v>
          </cell>
        </row>
        <row r="13">
          <cell r="A13">
            <v>2001</v>
          </cell>
          <cell r="B13">
            <v>286000</v>
          </cell>
        </row>
        <row r="14">
          <cell r="A14">
            <v>2002</v>
          </cell>
          <cell r="B14">
            <v>309000</v>
          </cell>
        </row>
        <row r="15">
          <cell r="A15">
            <v>2003</v>
          </cell>
          <cell r="B15">
            <v>332000</v>
          </cell>
        </row>
        <row r="16">
          <cell r="A16">
            <v>2004</v>
          </cell>
          <cell r="B16">
            <v>358000</v>
          </cell>
        </row>
        <row r="17">
          <cell r="A17">
            <v>2005</v>
          </cell>
          <cell r="B17">
            <v>381500</v>
          </cell>
        </row>
        <row r="18">
          <cell r="A18">
            <v>2006</v>
          </cell>
          <cell r="B18">
            <v>408000</v>
          </cell>
        </row>
        <row r="19">
          <cell r="A19">
            <v>2007</v>
          </cell>
          <cell r="B19">
            <v>433700</v>
          </cell>
        </row>
        <row r="20">
          <cell r="A20">
            <v>2008</v>
          </cell>
          <cell r="B20">
            <v>461500</v>
          </cell>
        </row>
        <row r="21">
          <cell r="A21">
            <v>2009</v>
          </cell>
          <cell r="B21">
            <v>496900</v>
          </cell>
        </row>
        <row r="22">
          <cell r="A22">
            <v>2010</v>
          </cell>
          <cell r="B22">
            <v>515000</v>
          </cell>
        </row>
        <row r="23">
          <cell r="A23">
            <v>2011</v>
          </cell>
          <cell r="B23">
            <v>535600</v>
          </cell>
        </row>
        <row r="24">
          <cell r="A24">
            <v>2012</v>
          </cell>
          <cell r="B24">
            <v>566700</v>
          </cell>
        </row>
        <row r="25">
          <cell r="A25">
            <v>2013</v>
          </cell>
          <cell r="B25">
            <v>589500</v>
          </cell>
        </row>
        <row r="26">
          <cell r="A26">
            <v>2014</v>
          </cell>
          <cell r="B26">
            <v>616000</v>
          </cell>
        </row>
        <row r="27">
          <cell r="A27">
            <v>2015</v>
          </cell>
          <cell r="B27">
            <v>644350</v>
          </cell>
        </row>
        <row r="28">
          <cell r="A28">
            <v>2016</v>
          </cell>
          <cell r="B28">
            <v>689455</v>
          </cell>
        </row>
        <row r="29">
          <cell r="A29">
            <v>2017</v>
          </cell>
          <cell r="B29">
            <v>737717</v>
          </cell>
        </row>
        <row r="30">
          <cell r="A30">
            <v>2018</v>
          </cell>
          <cell r="B30">
            <v>781242</v>
          </cell>
        </row>
        <row r="31">
          <cell r="A31">
            <v>2019</v>
          </cell>
          <cell r="B31">
            <v>828116</v>
          </cell>
        </row>
        <row r="32">
          <cell r="A32">
            <v>2020</v>
          </cell>
          <cell r="B32">
            <v>877803</v>
          </cell>
        </row>
        <row r="33">
          <cell r="A33">
            <v>2021</v>
          </cell>
          <cell r="B33">
            <v>908526</v>
          </cell>
        </row>
        <row r="34">
          <cell r="A34">
            <v>2022</v>
          </cell>
          <cell r="B34">
            <v>1000000</v>
          </cell>
        </row>
      </sheetData>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superfinanciera.gov.co/publicacion/60819"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9" tint="0.39997558519241921"/>
  </sheetPr>
  <dimension ref="A1:R11"/>
  <sheetViews>
    <sheetView zoomScale="60" zoomScaleNormal="60" workbookViewId="0">
      <selection activeCell="A5" sqref="A5"/>
    </sheetView>
  </sheetViews>
  <sheetFormatPr baseColWidth="10" defaultColWidth="11.453125" defaultRowHeight="14.5"/>
  <cols>
    <col min="1" max="1" width="50.453125" style="1" customWidth="1"/>
    <col min="2" max="2" width="19.6328125" style="1" customWidth="1"/>
    <col min="3" max="3" width="19.453125" style="1" customWidth="1"/>
    <col min="4" max="4" width="7.6328125" style="1" customWidth="1"/>
    <col min="5" max="5" width="17.1796875" style="1" customWidth="1"/>
    <col min="6" max="6" width="18.1796875" style="1" customWidth="1"/>
    <col min="7" max="7" width="15.6328125" style="1" customWidth="1"/>
    <col min="8" max="8" width="19.81640625" style="1" customWidth="1"/>
    <col min="9" max="9" width="24.453125" style="1" customWidth="1"/>
    <col min="10" max="10" width="12.6328125" style="1" customWidth="1"/>
    <col min="11" max="11" width="15.6328125" style="1" customWidth="1"/>
    <col min="12" max="12" width="10.6328125" style="1" customWidth="1"/>
    <col min="13" max="13" width="15.81640625" style="1" customWidth="1"/>
    <col min="14" max="14" width="10.6328125" style="1" customWidth="1"/>
    <col min="15" max="15" width="15.81640625" style="1" customWidth="1"/>
    <col min="16" max="18" width="12.6328125" style="1" customWidth="1"/>
    <col min="19" max="16384" width="11.453125" style="1"/>
  </cols>
  <sheetData>
    <row r="1" spans="1:18" s="4" customFormat="1" ht="16.5" customHeight="1">
      <c r="A1" s="450" t="s">
        <v>156</v>
      </c>
      <c r="B1" s="453" t="s">
        <v>0</v>
      </c>
      <c r="C1" s="453" t="s">
        <v>1</v>
      </c>
      <c r="D1" s="453" t="s">
        <v>2</v>
      </c>
      <c r="E1" s="453" t="s">
        <v>3</v>
      </c>
      <c r="F1" s="463" t="s">
        <v>4</v>
      </c>
      <c r="G1" s="464"/>
      <c r="H1" s="464"/>
      <c r="I1" s="464"/>
      <c r="J1" s="464"/>
      <c r="K1" s="464"/>
      <c r="L1" s="464"/>
      <c r="M1" s="464"/>
      <c r="N1" s="464"/>
      <c r="O1" s="465"/>
      <c r="P1" s="453" t="s">
        <v>13</v>
      </c>
      <c r="Q1" s="453" t="s">
        <v>155</v>
      </c>
      <c r="R1" s="460" t="s">
        <v>14</v>
      </c>
    </row>
    <row r="2" spans="1:18" s="4" customFormat="1" ht="15.5" customHeight="1">
      <c r="A2" s="451"/>
      <c r="B2" s="454"/>
      <c r="C2" s="454"/>
      <c r="D2" s="454"/>
      <c r="E2" s="454"/>
      <c r="F2" s="466" t="s">
        <v>5</v>
      </c>
      <c r="G2" s="467"/>
      <c r="H2" s="467"/>
      <c r="I2" s="467"/>
      <c r="J2" s="467"/>
      <c r="K2" s="468"/>
      <c r="L2" s="456" t="s">
        <v>6</v>
      </c>
      <c r="M2" s="457"/>
      <c r="N2" s="456" t="s">
        <v>7</v>
      </c>
      <c r="O2" s="457"/>
      <c r="P2" s="454"/>
      <c r="Q2" s="454"/>
      <c r="R2" s="461"/>
    </row>
    <row r="3" spans="1:18" s="4" customFormat="1" ht="57" customHeight="1">
      <c r="A3" s="451"/>
      <c r="B3" s="454"/>
      <c r="C3" s="454"/>
      <c r="D3" s="454"/>
      <c r="E3" s="454"/>
      <c r="F3" s="466" t="s">
        <v>9</v>
      </c>
      <c r="G3" s="468"/>
      <c r="H3" s="466" t="s">
        <v>560</v>
      </c>
      <c r="I3" s="468"/>
      <c r="J3" s="466" t="s">
        <v>8</v>
      </c>
      <c r="K3" s="468"/>
      <c r="L3" s="458"/>
      <c r="M3" s="459"/>
      <c r="N3" s="458"/>
      <c r="O3" s="459"/>
      <c r="P3" s="454"/>
      <c r="Q3" s="454"/>
      <c r="R3" s="461"/>
    </row>
    <row r="4" spans="1:18" s="4" customFormat="1" ht="57.5" customHeight="1">
      <c r="A4" s="452"/>
      <c r="B4" s="455"/>
      <c r="C4" s="455"/>
      <c r="D4" s="455"/>
      <c r="E4" s="455"/>
      <c r="F4" s="6" t="s">
        <v>10</v>
      </c>
      <c r="G4" s="6" t="s">
        <v>11</v>
      </c>
      <c r="H4" s="6" t="s">
        <v>10</v>
      </c>
      <c r="I4" s="6" t="s">
        <v>11</v>
      </c>
      <c r="J4" s="6" t="s">
        <v>10</v>
      </c>
      <c r="K4" s="6" t="s">
        <v>11</v>
      </c>
      <c r="L4" s="6" t="s">
        <v>12</v>
      </c>
      <c r="M4" s="6" t="s">
        <v>11</v>
      </c>
      <c r="N4" s="6" t="s">
        <v>12</v>
      </c>
      <c r="O4" s="6" t="s">
        <v>11</v>
      </c>
      <c r="P4" s="455"/>
      <c r="Q4" s="455"/>
      <c r="R4" s="462"/>
    </row>
    <row r="5" spans="1:18" s="2" customFormat="1" ht="194.5" customHeight="1">
      <c r="A5" s="211" t="s">
        <v>652</v>
      </c>
      <c r="B5" s="448" t="s">
        <v>653</v>
      </c>
      <c r="C5" s="212">
        <v>69477143896</v>
      </c>
      <c r="D5" s="54">
        <v>2026</v>
      </c>
      <c r="E5" s="198">
        <f>IF(OR(C5="",D5=""),"",C5/1750905)</f>
        <v>39680.704490534896</v>
      </c>
      <c r="F5" s="73">
        <v>1</v>
      </c>
      <c r="G5" s="21">
        <f>IF(OR(E5="",F5=""),"",E5*F5)</f>
        <v>39680.704490534896</v>
      </c>
      <c r="H5" s="7">
        <v>0.51</v>
      </c>
      <c r="I5" s="21">
        <f>IF(OR(G5="",H5=""),"",G5*H5)</f>
        <v>20237.159290172796</v>
      </c>
      <c r="J5" s="73">
        <v>0.1</v>
      </c>
      <c r="K5" s="21">
        <v>3968.07</v>
      </c>
      <c r="L5" s="68">
        <f>IF(F5="","",F5*0.4)</f>
        <v>0.4</v>
      </c>
      <c r="M5" s="91">
        <f>IF(OR(E5="",L5=""),"",E5*L5)</f>
        <v>15872.28179621396</v>
      </c>
      <c r="N5" s="88">
        <f>IF(F5="","",F5*0.25)</f>
        <v>0.25</v>
      </c>
      <c r="O5" s="91">
        <f>IF(OR(E5="",N5=""),"",E5*N5)</f>
        <v>9920.1761226337239</v>
      </c>
      <c r="P5" s="75">
        <v>46090</v>
      </c>
      <c r="Q5" s="74">
        <v>46090</v>
      </c>
      <c r="R5" s="76"/>
    </row>
    <row r="6" spans="1:18" s="2" customFormat="1" ht="6" customHeight="1" thickBot="1">
      <c r="A6" s="64"/>
      <c r="B6" s="449"/>
      <c r="C6" s="22"/>
      <c r="D6" s="5"/>
      <c r="E6" s="22" t="str">
        <f>IF(OR(C6="",D6=""),"",C6/VLOOKUP(D6,SMMLV!$A$2:$B$101,2,FALSE))</f>
        <v/>
      </c>
      <c r="F6" s="8"/>
      <c r="G6" s="22" t="str">
        <f>IF(OR(E6="",F6=""),"",E6*F6)</f>
        <v/>
      </c>
      <c r="H6" s="8"/>
      <c r="I6" s="22" t="str">
        <f>IF(OR(G6="",H6=""),"",G6*H6)</f>
        <v/>
      </c>
      <c r="J6" s="8"/>
      <c r="K6" s="22" t="str">
        <f>IF(OR(E6="",J6=""),"",E6*J6)</f>
        <v/>
      </c>
      <c r="L6" s="8" t="str">
        <f>IF(F6="","",F6*0.4)</f>
        <v/>
      </c>
      <c r="M6" s="23" t="str">
        <f>IF(OR(E6="",L6=""),"",E6*L6)</f>
        <v/>
      </c>
      <c r="N6" s="24" t="str">
        <f>IF(F6="","",F6*0.25)</f>
        <v/>
      </c>
      <c r="O6" s="23" t="str">
        <f>IF(OR(E6="",N6=""),"",E6*N6)</f>
        <v/>
      </c>
      <c r="P6" s="9"/>
      <c r="Q6" s="9"/>
      <c r="R6" s="10"/>
    </row>
    <row r="11" spans="1:18" ht="39.5" customHeight="1"/>
  </sheetData>
  <mergeCells count="16">
    <mergeCell ref="E1:E4"/>
    <mergeCell ref="N2:O3"/>
    <mergeCell ref="P1:P4"/>
    <mergeCell ref="Q1:Q4"/>
    <mergeCell ref="R1:R4"/>
    <mergeCell ref="L2:M3"/>
    <mergeCell ref="F1:O1"/>
    <mergeCell ref="F2:K2"/>
    <mergeCell ref="F3:G3"/>
    <mergeCell ref="H3:I3"/>
    <mergeCell ref="J3:K3"/>
    <mergeCell ref="B5:B6"/>
    <mergeCell ref="A1:A4"/>
    <mergeCell ref="B1:B4"/>
    <mergeCell ref="C1:C4"/>
    <mergeCell ref="D1: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rgb="FFFF0000"/>
  </sheetPr>
  <dimension ref="A1:FT1828"/>
  <sheetViews>
    <sheetView topLeftCell="B1" zoomScale="30" zoomScaleNormal="30" workbookViewId="0">
      <pane xSplit="1" ySplit="2" topLeftCell="H253" activePane="bottomRight" state="frozen"/>
      <selection activeCell="B1" sqref="B1"/>
      <selection pane="topRight" activeCell="C1" sqref="C1"/>
      <selection pane="bottomLeft" activeCell="B3" sqref="B3"/>
      <selection pane="bottomRight" activeCell="C289" sqref="A289:XFD289"/>
    </sheetView>
  </sheetViews>
  <sheetFormatPr baseColWidth="10" defaultColWidth="11.453125" defaultRowHeight="14.5"/>
  <cols>
    <col min="1" max="1" width="8.36328125" style="4" customWidth="1"/>
    <col min="2" max="2" width="12.453125" style="4" customWidth="1"/>
    <col min="3" max="3" width="9" style="3" customWidth="1"/>
    <col min="4" max="4" width="42.36328125" style="4" customWidth="1"/>
    <col min="5" max="5" width="16.453125" style="4" hidden="1" customWidth="1"/>
    <col min="6" max="6" width="29.453125" style="4" customWidth="1"/>
    <col min="7" max="7" width="14.453125" style="4" customWidth="1"/>
    <col min="8" max="8" width="18.36328125" style="4" customWidth="1"/>
    <col min="9" max="9" width="78.453125" style="4" customWidth="1"/>
    <col min="10" max="10" width="18.453125" style="4" customWidth="1"/>
    <col min="11" max="11" width="39.453125" style="4" customWidth="1"/>
    <col min="12" max="12" width="51.1796875" style="4" customWidth="1"/>
    <col min="13" max="13" width="25.453125" style="4" customWidth="1"/>
    <col min="14" max="14" width="9.453125" style="4" hidden="1" customWidth="1"/>
    <col min="15" max="15" width="10" style="4" hidden="1" customWidth="1"/>
    <col min="16" max="16" width="7" style="4" hidden="1" customWidth="1"/>
    <col min="17" max="17" width="20.6328125" style="4" customWidth="1"/>
    <col min="18" max="18" width="20.1796875" style="4" customWidth="1"/>
    <col min="19" max="19" width="17.36328125" style="4" customWidth="1"/>
    <col min="20" max="20" width="16" style="4" customWidth="1"/>
    <col min="21" max="21" width="11.453125" style="4" customWidth="1"/>
    <col min="22" max="22" width="14.453125" style="4" customWidth="1"/>
    <col min="23" max="23" width="28.6328125" style="4" customWidth="1"/>
    <col min="24" max="24" width="11.36328125" style="4" customWidth="1"/>
    <col min="25" max="25" width="13.81640625" style="4" customWidth="1"/>
    <col min="26" max="26" width="12.453125" style="4" customWidth="1"/>
    <col min="27" max="28" width="9.453125" style="4" customWidth="1"/>
    <col min="29" max="29" width="18" style="4" customWidth="1"/>
    <col min="30" max="30" width="30.453125" style="4" customWidth="1"/>
    <col min="31" max="31" width="15.81640625" style="4" customWidth="1"/>
    <col min="32" max="32" width="15.6328125" style="4" customWidth="1"/>
    <col min="33" max="34" width="17.453125" style="4" customWidth="1"/>
    <col min="35" max="35" width="14.81640625" style="4" customWidth="1"/>
    <col min="36" max="36" width="26.81640625" style="4" customWidth="1"/>
    <col min="37" max="37" width="24.453125" style="4" customWidth="1"/>
    <col min="38" max="38" width="26.6328125" style="4" customWidth="1"/>
    <col min="39" max="39" width="18" style="4" customWidth="1"/>
    <col min="40" max="40" width="15.1796875" style="4" customWidth="1"/>
    <col min="41" max="41" width="23.81640625" style="4" customWidth="1"/>
    <col min="42" max="42" width="18.1796875" style="4" customWidth="1"/>
    <col min="43" max="43" width="26.81640625" style="4" customWidth="1"/>
    <col min="44" max="44" width="33.81640625" style="4" customWidth="1"/>
    <col min="45" max="45" width="34" style="4" customWidth="1"/>
    <col min="46" max="46" width="24.81640625" style="4" customWidth="1"/>
    <col min="47" max="50" width="93.81640625" style="4" customWidth="1"/>
    <col min="51" max="51" width="60.1796875" customWidth="1"/>
    <col min="52" max="76" width="11.453125" style="4"/>
    <col min="77" max="77" width="11.453125" style="4" customWidth="1"/>
    <col min="78" max="78" width="11.453125" style="31" customWidth="1"/>
    <col min="79" max="79" width="11.453125" style="49" customWidth="1"/>
    <col min="80" max="80" width="11.453125" style="71" customWidth="1"/>
    <col min="81" max="81" width="2.6328125" style="71" customWidth="1"/>
    <col min="82" max="83" width="11.453125" style="71" customWidth="1"/>
    <col min="84" max="84" width="32.36328125" style="71" customWidth="1"/>
    <col min="85" max="88" width="11.453125" style="71" customWidth="1"/>
    <col min="89" max="89" width="2.6328125" style="71" customWidth="1"/>
    <col min="90" max="93" width="11.453125" style="71" customWidth="1"/>
    <col min="94" max="94" width="2.6328125" style="71" customWidth="1"/>
    <col min="95" max="95" width="11.453125" style="71" customWidth="1"/>
    <col min="96" max="96" width="15.1796875" style="71" customWidth="1"/>
    <col min="97" max="97" width="11.453125" style="49" customWidth="1"/>
    <col min="98" max="98" width="11.453125" style="31" customWidth="1"/>
    <col min="99" max="101" width="11.453125" style="49" customWidth="1"/>
    <col min="102" max="103" width="11.453125" style="49"/>
    <col min="104" max="16384" width="11.453125" style="4"/>
  </cols>
  <sheetData>
    <row r="1" spans="1:103" s="19" customFormat="1" ht="246.5" customHeight="1">
      <c r="B1" s="584" t="s">
        <v>31</v>
      </c>
      <c r="C1" s="570" t="s">
        <v>32</v>
      </c>
      <c r="D1" s="534" t="s">
        <v>33</v>
      </c>
      <c r="E1" s="563" t="s">
        <v>569</v>
      </c>
      <c r="F1" s="563" t="s">
        <v>46</v>
      </c>
      <c r="G1" s="563" t="s">
        <v>34</v>
      </c>
      <c r="H1" s="563" t="s">
        <v>35</v>
      </c>
      <c r="I1" s="563" t="s">
        <v>36</v>
      </c>
      <c r="J1" s="568" t="s">
        <v>37</v>
      </c>
      <c r="K1" s="572" t="s">
        <v>562</v>
      </c>
      <c r="L1" s="546" t="s">
        <v>563</v>
      </c>
      <c r="M1" s="546" t="s">
        <v>564</v>
      </c>
      <c r="N1" s="566" t="s">
        <v>38</v>
      </c>
      <c r="O1" s="566" t="s">
        <v>39</v>
      </c>
      <c r="P1" s="566" t="s">
        <v>40</v>
      </c>
      <c r="Q1" s="546" t="s">
        <v>561</v>
      </c>
      <c r="R1" s="563" t="s">
        <v>41</v>
      </c>
      <c r="S1" s="563" t="s">
        <v>42</v>
      </c>
      <c r="T1" s="563" t="s">
        <v>161</v>
      </c>
      <c r="U1" s="563" t="s">
        <v>43</v>
      </c>
      <c r="V1" s="563" t="s">
        <v>44</v>
      </c>
      <c r="W1" s="563" t="s">
        <v>268</v>
      </c>
      <c r="X1" s="563" t="s">
        <v>45</v>
      </c>
      <c r="Y1" s="530" t="s">
        <v>48</v>
      </c>
      <c r="Z1" s="532" t="s">
        <v>49</v>
      </c>
      <c r="AA1" s="533"/>
      <c r="AB1" s="534"/>
      <c r="AC1" s="530" t="s">
        <v>53</v>
      </c>
      <c r="AD1" s="546" t="s">
        <v>81</v>
      </c>
      <c r="AE1" s="537" t="s">
        <v>47</v>
      </c>
      <c r="AF1" s="535" t="s">
        <v>202</v>
      </c>
      <c r="AG1" s="535" t="s">
        <v>203</v>
      </c>
      <c r="AH1" s="535" t="s">
        <v>565</v>
      </c>
      <c r="AI1" s="535" t="s">
        <v>566</v>
      </c>
      <c r="AJ1" s="535" t="s">
        <v>567</v>
      </c>
      <c r="AK1" s="535" t="s">
        <v>568</v>
      </c>
      <c r="AL1" s="556" t="s">
        <v>196</v>
      </c>
      <c r="AM1" s="589" t="s">
        <v>171</v>
      </c>
      <c r="AN1" s="548" t="s">
        <v>195</v>
      </c>
      <c r="AO1" s="548" t="s">
        <v>198</v>
      </c>
      <c r="AP1" s="548" t="s">
        <v>197</v>
      </c>
      <c r="AQ1" s="548" t="s">
        <v>199</v>
      </c>
      <c r="AR1" s="548" t="s">
        <v>201</v>
      </c>
      <c r="AS1" s="548" t="s">
        <v>200</v>
      </c>
      <c r="AT1" s="554" t="s">
        <v>54</v>
      </c>
      <c r="AU1" s="558" t="s">
        <v>265</v>
      </c>
      <c r="AV1" s="558" t="s">
        <v>572</v>
      </c>
      <c r="AW1" s="558" t="s">
        <v>266</v>
      </c>
      <c r="AX1" s="558" t="s">
        <v>267</v>
      </c>
      <c r="BZ1" s="52"/>
      <c r="CY1" s="48"/>
    </row>
    <row r="2" spans="1:103" s="19" customFormat="1" ht="131.5" customHeight="1" thickBot="1">
      <c r="B2" s="585"/>
      <c r="C2" s="571"/>
      <c r="D2" s="591"/>
      <c r="E2" s="564"/>
      <c r="F2" s="564"/>
      <c r="G2" s="564"/>
      <c r="H2" s="564"/>
      <c r="I2" s="564"/>
      <c r="J2" s="569"/>
      <c r="K2" s="573"/>
      <c r="L2" s="547"/>
      <c r="M2" s="547"/>
      <c r="N2" s="567"/>
      <c r="O2" s="567"/>
      <c r="P2" s="567"/>
      <c r="Q2" s="547"/>
      <c r="R2" s="564"/>
      <c r="S2" s="564"/>
      <c r="T2" s="564"/>
      <c r="U2" s="564"/>
      <c r="V2" s="564"/>
      <c r="W2" s="564"/>
      <c r="X2" s="564"/>
      <c r="Y2" s="531"/>
      <c r="Z2" s="20" t="s">
        <v>50</v>
      </c>
      <c r="AA2" s="20" t="s">
        <v>51</v>
      </c>
      <c r="AB2" s="20" t="s">
        <v>52</v>
      </c>
      <c r="AC2" s="531"/>
      <c r="AD2" s="547"/>
      <c r="AE2" s="538"/>
      <c r="AF2" s="536"/>
      <c r="AG2" s="536"/>
      <c r="AH2" s="536"/>
      <c r="AI2" s="536"/>
      <c r="AJ2" s="536"/>
      <c r="AK2" s="536"/>
      <c r="AL2" s="557"/>
      <c r="AM2" s="590"/>
      <c r="AN2" s="549"/>
      <c r="AO2" s="549"/>
      <c r="AP2" s="549"/>
      <c r="AQ2" s="549"/>
      <c r="AR2" s="549"/>
      <c r="AS2" s="549"/>
      <c r="AT2" s="555"/>
      <c r="AU2" s="559"/>
      <c r="AV2" s="559"/>
      <c r="AW2" s="559"/>
      <c r="AX2" s="559"/>
      <c r="BZ2" s="52"/>
      <c r="CB2" s="85" t="s">
        <v>82</v>
      </c>
      <c r="CD2" s="545" t="s">
        <v>83</v>
      </c>
      <c r="CE2" s="545"/>
      <c r="CF2" s="545"/>
      <c r="CG2" s="545"/>
      <c r="CH2" s="545"/>
      <c r="CI2" s="545"/>
      <c r="CJ2" s="545"/>
      <c r="CL2" s="545" t="s">
        <v>84</v>
      </c>
      <c r="CM2" s="545"/>
      <c r="CN2" s="545"/>
      <c r="CO2" s="545"/>
      <c r="CQ2" s="545" t="s">
        <v>85</v>
      </c>
      <c r="CR2" s="545"/>
      <c r="CY2" s="48"/>
    </row>
    <row r="3" spans="1:103" ht="34.25" customHeight="1">
      <c r="A3" s="4" t="str">
        <f>"A"&amp;B3</f>
        <v>AP01</v>
      </c>
      <c r="B3" s="565" t="s">
        <v>30</v>
      </c>
      <c r="C3" s="108" t="s">
        <v>170</v>
      </c>
      <c r="D3" s="109" t="str">
        <f>+IFERROR(INDEX('DESEMPATE Y DISCAPACIDAD'!$D$3:$D$450,MATCH(C3,'DESEMPATE Y DISCAPACIDAD'!$C$3:$C$450,0)),"")</f>
        <v>TNM INGENIERIA S.A.S.</v>
      </c>
      <c r="E3" s="110" t="str">
        <f>IFERROR(IF(D3="","",IF(VLOOKUP(D3,'DESEMPATE Y DISCAPACIDAD'!D$3:$E$450,2,FALSE)=1,"N/A",IF(VLOOKUP(D3,'DESEMPATE Y DISCAPACIDAD'!D$3:$F$450,3,FALSE)="X","SI","NO"))),"")</f>
        <v>NO</v>
      </c>
      <c r="F3" s="111" t="s">
        <v>791</v>
      </c>
      <c r="G3" s="111" t="s">
        <v>792</v>
      </c>
      <c r="H3" s="111" t="s">
        <v>793</v>
      </c>
      <c r="I3" s="112" t="s">
        <v>794</v>
      </c>
      <c r="J3" s="111" t="s">
        <v>74</v>
      </c>
      <c r="K3" s="111" t="s">
        <v>74</v>
      </c>
      <c r="L3" s="111" t="s">
        <v>75</v>
      </c>
      <c r="M3" s="111" t="s">
        <v>74</v>
      </c>
      <c r="N3" s="111" t="str">
        <f>IFERROR(IF(OR(J3="",K3=""),"",IF(J3="NO","NO",K3)),"")</f>
        <v>SI</v>
      </c>
      <c r="O3" s="111" t="str">
        <f>IFERROR(IF(OR(J3="",L3=""),"",IF(J3="NO","NO",L3)),"")</f>
        <v>NO</v>
      </c>
      <c r="P3" s="111" t="str">
        <f>IFERROR(IF(OR(J3="",M3=""),"",IF(J3="NO","NO",M3)),"")</f>
        <v>SI</v>
      </c>
      <c r="Q3" s="111" t="str">
        <f>IFERROR(IF(S3="","",IF(S3&gt;=DATE(1900,1,1),"SI","NO")),"")</f>
        <v>SI</v>
      </c>
      <c r="R3" s="113">
        <v>1</v>
      </c>
      <c r="S3" s="114">
        <v>40179</v>
      </c>
      <c r="T3" s="114">
        <v>42277</v>
      </c>
      <c r="U3" s="111">
        <f>IFERROR(IF(T3="","",YEAR(T3)),"")</f>
        <v>2015</v>
      </c>
      <c r="V3" s="115">
        <f>IF(U3=2023,1160000,IFERROR(INDEX(SMMLV!$B$2:$B$101,MATCH(U3,SMMLV!$A$2:$A$101,0)),""))</f>
        <v>644350</v>
      </c>
      <c r="W3" s="115" t="s">
        <v>670</v>
      </c>
      <c r="X3" s="111" t="s">
        <v>671</v>
      </c>
      <c r="Y3" s="111">
        <v>146</v>
      </c>
      <c r="Z3" s="483" t="s">
        <v>74</v>
      </c>
      <c r="AA3" s="484"/>
      <c r="AB3" s="485"/>
      <c r="AC3" s="111" t="str">
        <f t="shared" ref="AC3:AC8" si="0">IFERROR(IF(Y3="","",IF(ISNUMBER(Y3),IF(COUNTIF(Z3,"SI")&gt;0,"SI","NO"),Y3)),"")</f>
        <v>SI</v>
      </c>
      <c r="AD3" s="115" t="str">
        <f>IF(W3="","",IF(W3="N/A","N/A",W3))</f>
        <v>N/A</v>
      </c>
      <c r="AE3" s="115">
        <v>24514.21</v>
      </c>
      <c r="AF3" s="117">
        <f>IFERROR(IF(OR(J3="",J3="NO"),"",IF(AND(J3="SI",Q3="SI"),IFERROR(AE3*R3,""),"")),"")</f>
        <v>24514.21</v>
      </c>
      <c r="AG3" s="486" t="str">
        <f>IFERROR(IF(COUNTIF(AF3:AF12,"")=10,"",IF(COUNTIF(E3:E12,"N/A")&gt;0,IF(SUM(CB3:CB12)&gt;=CMEM1,"CUMPLE","NO CUMPLE"),IF(SUM(AF3:AF12)&gt;=CMEM1,"CUMPLE","NO CUMPLE"))),"")</f>
        <v>CUMPLE</v>
      </c>
      <c r="AH3" s="486" t="str">
        <f>IF(COUNTIF(AF3:AF12,"")=10,"",IF(SUMIF(C3:C12,C3,AF3:AF12)&gt;=CMLM1,"CUMPLE",IF(SUMIF(C3:C12,C4,AF3:AF12)&gt;=CMLM1,"CUMPLE",IF(SUMIF(C3:C12,C5,AF3:AF12)&gt;=CMLM1,"CUMPLE",IF(SUMIF(C3:C12,C6,AF3:AF12)&gt;=CMLM1,"CUMPLE",IF(SUMIF(C3:C12,C7,AF3:AF12)&gt;=CMLM1,"CUMPLE",IF(SUMIF(C3:C12,C8,AF3:AF12)&gt;=CMLM1,"CUMPLE",IF(SUMIF(C3:C12,C9,AF3:AF12)&gt;=CMLM1,"CUMPLE",IF(SUMIF(C3:C12,C10,AF3:AF12)&gt;=CMLM1,"CUMPLE",IF(SUMIF(C3:C12,C11,AF3:AF12)&gt;=CMLM1,"CUMPLE",IF(SUMIF(C3:C12,C12,AF3:AF12)&gt;=CMLM1,"CUMPLE","NO CUMPLE")))))))))))</f>
        <v>CUMPLE</v>
      </c>
      <c r="AI3" s="111" t="str">
        <f>IFERROR(IF(AF3="","",IF(AF3&gt;=CMEMM1,"CUMPLE","NO CUMPLE")),"")</f>
        <v>CUMPLE</v>
      </c>
      <c r="AJ3" s="486" t="str">
        <f>IFERROR(IF(COUNTIF(AF3:AF12,"")=10,"",IF(COUNTIF(E3:E12,"N/A")&gt;0,"N/A",CJ3)),"")</f>
        <v>CUMPLE</v>
      </c>
      <c r="AK3" s="486" t="str">
        <f>IFERROR(IF(AND(COUNTIF(N3:N12,"SI")&gt;=1,COUNTIF(O3:O12,"SI")&gt;=1,COUNTIF(P3:P12,"SI")&gt;=1,COUNTIF(J3:J12,"SI")&lt;=10,CO3="CUMPLE"),"CUMPLE","NO CUMPLE"),"")</f>
        <v>CUMPLE</v>
      </c>
      <c r="AL3" s="529" t="s">
        <v>77</v>
      </c>
      <c r="AM3" s="495">
        <f>IFERROR(IF(B3&lt;&gt;"",IF(VLOOKUP(B3,'DESEMPATE Y DISCAPACIDAD'!$A$3:$Q$450,10,FALSE)="","",VLOOKUP(B3,'DESEMPATE Y DISCAPACIDAD'!$A$3:$Q$450,10,FALSE)+6),""),"")</f>
        <v>8</v>
      </c>
      <c r="AN3" s="111" t="s">
        <v>75</v>
      </c>
      <c r="AO3" s="503" t="s">
        <v>74</v>
      </c>
      <c r="AP3" s="111" t="s">
        <v>74</v>
      </c>
      <c r="AQ3" s="503">
        <f>IFERROR(IF(COUNTIF(AP3:AP12,"")=10,"",IF(AO3="NO",0,COUNTIF(AP3:AP12,"SI"))),"")</f>
        <v>5</v>
      </c>
      <c r="AR3" s="550">
        <f>IFERROR(IF(COUNTIF(AF3:AF12,"")=10,"",IF(AO3="NO",0,IF(COUNTIF(E3:E12,"N/A")&gt;0,SUM(CQ3:CQ12),SUM(CR3:CR12)))),"")</f>
        <v>72438.022400000002</v>
      </c>
      <c r="AS3" s="551">
        <f>IFERROR(IF(OR(COUNTIF(AF3:AF12,"")=10,AQ3="",AR3=""),"",IF(AO3="NO",0,AR3/AQ3)),"")</f>
        <v>14487.60448</v>
      </c>
      <c r="AT3" s="176"/>
      <c r="AU3" s="542" t="s">
        <v>933</v>
      </c>
      <c r="AV3" s="542" t="s">
        <v>931</v>
      </c>
      <c r="AW3" s="560" t="s">
        <v>931</v>
      </c>
      <c r="AX3" s="560" t="s">
        <v>931</v>
      </c>
      <c r="AY3" s="19"/>
      <c r="BZ3" s="4"/>
      <c r="CA3" s="4"/>
      <c r="CB3" s="29" t="str">
        <f>IFERROR(IF(COUNTIF(AF3:AF12,"")=10,"",IF(COUNTIF(E3:E12,"N/A")&gt;0,IF(AF3&gt;=CMEMM1,AF3,0),"N/A")),"")</f>
        <v>N/A</v>
      </c>
      <c r="CC3" s="4"/>
      <c r="CD3" s="4">
        <f>IFERROR(IF(COUNTIF(AF3:AF12,"")=10,"",IF(AF3="","",IF(AF3&gt;=CMEMM1,1,0))),"")</f>
        <v>1</v>
      </c>
      <c r="CE3" s="4" t="str">
        <f>B3&amp;"-0"&amp;1</f>
        <v>P01-01</v>
      </c>
      <c r="CF3" s="4" t="str">
        <f>IFERROR(INDEX('DESEMPATE Y DISCAPACIDAD'!$D$3:$D$450,MATCH(CE3,'DESEMPATE Y DISCAPACIDAD'!$C$3:$C$450,0)),"")</f>
        <v>TNM INGENIERIA S.A.S.</v>
      </c>
      <c r="CG3" s="4">
        <f>IF(OR(CE3="",CF3=""),"",SUMIF(D3:D12,CF3,CD3:CD12))</f>
        <v>3</v>
      </c>
      <c r="CH3" s="4" t="str">
        <f>IF(OR(CE3="",CF3="",CG3=""),"",IF(CG3&gt;0,"CUMPLE","NO CUMPLE"))</f>
        <v>CUMPLE</v>
      </c>
      <c r="CI3" s="4">
        <f>IF(CF3="","",IF(ISTEXT(CF3),1,0))</f>
        <v>1</v>
      </c>
      <c r="CJ3" s="4" t="str">
        <f>IF(OR(CD3="",CE3="",CF3="",CG3="",CH3="",CI3=""),"",IF(COUNTIF(CH3:CH12,"CUMPLE")=COUNTIF(CI3:CI12,1),"CUMPLE","NO CUMPLE"))</f>
        <v>CUMPLE</v>
      </c>
      <c r="CK3" s="4"/>
      <c r="CL3" s="4">
        <f t="shared" ref="CL3:CL66" si="1">IF(N3="","",IF(N3="SI",1,0))</f>
        <v>1</v>
      </c>
      <c r="CM3" s="4">
        <f t="shared" ref="CM3:CM66" si="2">IF(O3="","",IF(O3="SI",1,0))</f>
        <v>0</v>
      </c>
      <c r="CN3" s="4" t="str">
        <f>IF(OR(CL3="",CM3=""),"",IF(AND(CL3=0,CM3=0),"N/A",IF(AND(CL3=1,CM3=0),"COND. A",IF(AND(CL3=0,CM3=1),"COND. B",IF(AND(CL3=1,CM3=1),"COND. A Y B","")))))</f>
        <v>COND. A</v>
      </c>
      <c r="CO3" s="4" t="str">
        <f>IF(COUNTIF(CN3:CN12,"N/A")=10,"NO CUMPLE",IF(COUNTIF(CN3:CN12,"COND. A Y B")&gt;1,"CUMPLE",IF(AND(COUNTIF(CN3:CN12,"COND. A")&gt;0,COUNTIF(CN3:CN12,"COND. B")&gt;0),"CUMPLE",IF(AND(COUNTIF(CN3:CN12,"COND. A Y B")&gt;0,COUNTIF(CN3:CN12,"COND. A")&gt;0),"CUMPLE",IF(AND(COUNTIF(CN3:CN12,"COND. A Y B")&gt;0,COUNTIF(CN3:CN12,"COND. B")&gt;0),"CUMPLE","NO CUMPLE")))))</f>
        <v>CUMPLE</v>
      </c>
      <c r="CP3" s="4"/>
      <c r="CQ3" s="29" t="str">
        <f t="shared" ref="CQ3:CQ34" si="3">IF(OR(AN3="",CB3=""),"",IF(AN3="NO",CB3,0))</f>
        <v>N/A</v>
      </c>
      <c r="CR3" s="29">
        <f t="shared" ref="CR3:CR34" si="4">IF(OR(AN3="",AF3=""),"",IF(AN3="NO",AF3,0))</f>
        <v>24514.21</v>
      </c>
      <c r="CS3" s="4"/>
      <c r="CT3" s="4"/>
      <c r="CU3" s="4"/>
      <c r="CV3" s="4"/>
      <c r="CW3" s="4"/>
      <c r="CX3" s="4"/>
      <c r="CY3" s="4"/>
    </row>
    <row r="4" spans="1:103" ht="34.25" customHeight="1">
      <c r="B4" s="481"/>
      <c r="C4" s="118" t="s">
        <v>170</v>
      </c>
      <c r="D4" s="119" t="str">
        <f>+IFERROR(INDEX('DESEMPATE Y DISCAPACIDAD'!$D$3:$D$450,MATCH(C4,'DESEMPATE Y DISCAPACIDAD'!$C$3:$C$450,0)),"")</f>
        <v>TNM INGENIERIA S.A.S.</v>
      </c>
      <c r="E4" s="120" t="str">
        <f>IFERROR(IF(D4="","",IF(VLOOKUP(D4,'DESEMPATE Y DISCAPACIDAD'!D$3:$E$450,2,FALSE)=1,"N/A",IF(VLOOKUP(D4,'DESEMPATE Y DISCAPACIDAD'!D$3:$F$450,3,FALSE)="X","SI","NO"))),"")</f>
        <v>NO</v>
      </c>
      <c r="F4" s="121" t="s">
        <v>741</v>
      </c>
      <c r="G4" s="121" t="s">
        <v>660</v>
      </c>
      <c r="H4" s="121" t="s">
        <v>795</v>
      </c>
      <c r="I4" s="122" t="s">
        <v>796</v>
      </c>
      <c r="J4" s="121" t="s">
        <v>74</v>
      </c>
      <c r="K4" s="121" t="s">
        <v>74</v>
      </c>
      <c r="L4" s="121" t="s">
        <v>75</v>
      </c>
      <c r="M4" s="121" t="s">
        <v>75</v>
      </c>
      <c r="N4" s="121" t="str">
        <f t="shared" ref="N4:N12" si="5">IFERROR(IF(OR(J4="",K4=""),"",IF(J4="NO","NO",K4)),"")</f>
        <v>SI</v>
      </c>
      <c r="O4" s="121" t="str">
        <f t="shared" ref="O4:O12" si="6">IFERROR(IF(OR(J4="",L4=""),"",IF(J4="NO","NO",L4)),"")</f>
        <v>NO</v>
      </c>
      <c r="P4" s="121" t="str">
        <f t="shared" ref="P4:P12" si="7">IFERROR(IF(OR(J4="",M4=""),"",IF(J4="NO","NO",M4)),"")</f>
        <v>NO</v>
      </c>
      <c r="Q4" s="121" t="str">
        <f t="shared" ref="Q4:Q67" si="8">IFERROR(IF(S4="","",IF(S4&gt;=DATE(1900,1,1),"SI","NO")),"")</f>
        <v>SI</v>
      </c>
      <c r="R4" s="103">
        <v>0.6</v>
      </c>
      <c r="S4" s="123">
        <v>40079</v>
      </c>
      <c r="T4" s="123">
        <v>42094</v>
      </c>
      <c r="U4" s="121">
        <f t="shared" ref="U4:U12" si="9">IFERROR(IF(T4="","",YEAR(T4)),"")</f>
        <v>2015</v>
      </c>
      <c r="V4" s="124">
        <f>IF(U4=2023,1160000,IFERROR(INDEX(SMMLV!$B$2:$B$101,MATCH(U4,SMMLV!$A$2:$A$101,0)),""))</f>
        <v>644350</v>
      </c>
      <c r="W4" s="124" t="s">
        <v>670</v>
      </c>
      <c r="X4" s="125" t="s">
        <v>671</v>
      </c>
      <c r="Y4" s="125">
        <v>98</v>
      </c>
      <c r="Z4" s="474" t="s">
        <v>74</v>
      </c>
      <c r="AA4" s="475"/>
      <c r="AB4" s="476"/>
      <c r="AC4" s="125" t="str">
        <f t="shared" si="0"/>
        <v>SI</v>
      </c>
      <c r="AD4" s="117" t="str">
        <f t="shared" ref="AD4:AD67" si="10">IF(W4="","",IF(W4="N/A","N/A",W4))</f>
        <v>N/A</v>
      </c>
      <c r="AE4" s="117">
        <v>21741.25</v>
      </c>
      <c r="AF4" s="117">
        <f t="shared" ref="AF4:AF67" si="11">IFERROR(IF(OR(J4="",J4="NO"),"",IF(AND(J4="SI",Q4="SI"),IFERROR(AE4*R4,""),"")),"")</f>
        <v>13044.75</v>
      </c>
      <c r="AG4" s="470"/>
      <c r="AH4" s="470"/>
      <c r="AI4" s="125" t="str">
        <f t="shared" ref="AI4:AI66" si="12">IFERROR(IF(AF4="","",IF(AF4&gt;=CMEMM1,"CUMPLE","NO CUMPLE")),"")</f>
        <v>CUMPLE</v>
      </c>
      <c r="AJ4" s="470"/>
      <c r="AK4" s="470"/>
      <c r="AL4" s="472"/>
      <c r="AM4" s="496"/>
      <c r="AN4" s="125" t="s">
        <v>75</v>
      </c>
      <c r="AO4" s="490"/>
      <c r="AP4" s="121" t="s">
        <v>74</v>
      </c>
      <c r="AQ4" s="490"/>
      <c r="AR4" s="522"/>
      <c r="AS4" s="552"/>
      <c r="AT4" s="177"/>
      <c r="AU4" s="543"/>
      <c r="AV4" s="543"/>
      <c r="AW4" s="561"/>
      <c r="AX4" s="561"/>
      <c r="AY4" s="19"/>
      <c r="BZ4" s="4"/>
      <c r="CA4" s="4"/>
      <c r="CB4" s="29" t="str">
        <f>IFERROR(IF(COUNTIF(AF3:AF12,"")=10,"",IF(COUNTIF(E3:E12,"N/A")&gt;0,IF(AF4&gt;=CMEMM1,AF4,0),"N/A")),"")</f>
        <v>N/A</v>
      </c>
      <c r="CC4" s="4"/>
      <c r="CD4" s="4">
        <f>IFERROR(IF(COUNTIF(AF3:AF12,"")=10,"",IF(AF4="","",IF(AF4&gt;=CMEMM1,1,0))),"")</f>
        <v>1</v>
      </c>
      <c r="CE4" s="4" t="str">
        <f>B3&amp;"-0"&amp;2</f>
        <v>P01-02</v>
      </c>
      <c r="CF4" s="4" t="str">
        <f>IFERROR(INDEX('DESEMPATE Y DISCAPACIDAD'!$D$3:$D$450,MATCH(CE4,'DESEMPATE Y DISCAPACIDAD'!$C$3:$C$450,0)),"")</f>
        <v>CEMOSA INGENIERIA Y CONTROL SAS</v>
      </c>
      <c r="CG4" s="4">
        <f>IF(OR(CE4="",CF4=""),"",SUMIF(D3:D12,CF4,CD3:CD12))</f>
        <v>1</v>
      </c>
      <c r="CH4" s="4" t="str">
        <f t="shared" ref="CH4:CH12" si="13">IF(OR(CE4="",CF4="",CG4=""),"",IF(CG4&gt;0,"CUMPLE","NO CUMPLE"))</f>
        <v>CUMPLE</v>
      </c>
      <c r="CI4" s="4">
        <f t="shared" ref="CI4:CI12" si="14">IF(CF4="","",IF(ISTEXT(CF4),1,0))</f>
        <v>1</v>
      </c>
      <c r="CJ4" s="4"/>
      <c r="CK4" s="4"/>
      <c r="CL4" s="4">
        <f t="shared" si="1"/>
        <v>1</v>
      </c>
      <c r="CM4" s="4">
        <f t="shared" si="2"/>
        <v>0</v>
      </c>
      <c r="CN4" s="4" t="str">
        <f t="shared" ref="CN4:CN12" si="15">IF(OR(CL4="",CM4=""),"",IF(AND(CL4=0,CM4=0),"N/A",IF(AND(CL4=1,CM4=0),"COND. A",IF(AND(CL4=0,CM4=1),"COND. B",IF(AND(CL4=1,CM4=1),"COND. A Y B","")))))</f>
        <v>COND. A</v>
      </c>
      <c r="CO4" s="4"/>
      <c r="CP4" s="4"/>
      <c r="CQ4" s="29" t="str">
        <f t="shared" si="3"/>
        <v>N/A</v>
      </c>
      <c r="CR4" s="29">
        <f t="shared" si="4"/>
        <v>13044.75</v>
      </c>
      <c r="CS4" s="4"/>
      <c r="CT4" s="4"/>
      <c r="CU4" s="4"/>
      <c r="CV4" s="4"/>
      <c r="CW4" s="4"/>
      <c r="CX4" s="4"/>
      <c r="CY4" s="4"/>
    </row>
    <row r="5" spans="1:103" ht="45" customHeight="1">
      <c r="B5" s="481"/>
      <c r="C5" s="118" t="s">
        <v>170</v>
      </c>
      <c r="D5" s="126" t="str">
        <f>+IFERROR(INDEX('DESEMPATE Y DISCAPACIDAD'!$D$3:$D$450,MATCH(C5,'DESEMPATE Y DISCAPACIDAD'!$C$3:$C$450,0)),"")</f>
        <v>TNM INGENIERIA S.A.S.</v>
      </c>
      <c r="E5" s="127" t="str">
        <f>IFERROR(IF(D5="","",IF(VLOOKUP(D5,'DESEMPATE Y DISCAPACIDAD'!D$3:$E$450,2,FALSE)=1,"N/A",IF(VLOOKUP(D5,'DESEMPATE Y DISCAPACIDAD'!D$3:$F$450,3,FALSE)="X","SI","NO"))),"")</f>
        <v>NO</v>
      </c>
      <c r="F5" s="125" t="s">
        <v>663</v>
      </c>
      <c r="G5" s="125" t="s">
        <v>660</v>
      </c>
      <c r="H5" s="125" t="s">
        <v>797</v>
      </c>
      <c r="I5" s="128" t="s">
        <v>798</v>
      </c>
      <c r="J5" s="121" t="s">
        <v>74</v>
      </c>
      <c r="K5" s="121" t="s">
        <v>74</v>
      </c>
      <c r="L5" s="121" t="s">
        <v>74</v>
      </c>
      <c r="M5" s="121" t="s">
        <v>75</v>
      </c>
      <c r="N5" s="125" t="str">
        <f t="shared" si="5"/>
        <v>SI</v>
      </c>
      <c r="O5" s="125" t="str">
        <f t="shared" si="6"/>
        <v>SI</v>
      </c>
      <c r="P5" s="125" t="str">
        <f t="shared" si="7"/>
        <v>NO</v>
      </c>
      <c r="Q5" s="125" t="str">
        <f t="shared" si="8"/>
        <v>SI</v>
      </c>
      <c r="R5" s="68">
        <v>0.68</v>
      </c>
      <c r="S5" s="129">
        <v>41191</v>
      </c>
      <c r="T5" s="129">
        <v>43077</v>
      </c>
      <c r="U5" s="125">
        <f t="shared" si="9"/>
        <v>2017</v>
      </c>
      <c r="V5" s="117">
        <f>IF(U5=2023,1160000,IFERROR(INDEX(SMMLV!$B$2:$B$101,MATCH(U5,SMMLV!$A$2:$A$101,0)),""))</f>
        <v>737717</v>
      </c>
      <c r="W5" s="117" t="s">
        <v>670</v>
      </c>
      <c r="X5" s="125" t="s">
        <v>671</v>
      </c>
      <c r="Y5" s="125">
        <v>155</v>
      </c>
      <c r="Z5" s="474" t="s">
        <v>74</v>
      </c>
      <c r="AA5" s="475"/>
      <c r="AB5" s="476"/>
      <c r="AC5" s="125" t="str">
        <f t="shared" si="0"/>
        <v>SI</v>
      </c>
      <c r="AD5" s="117" t="str">
        <f t="shared" si="10"/>
        <v>N/A</v>
      </c>
      <c r="AE5" s="117">
        <v>6530.93</v>
      </c>
      <c r="AF5" s="117">
        <f t="shared" si="11"/>
        <v>4441.032400000001</v>
      </c>
      <c r="AG5" s="470"/>
      <c r="AH5" s="470"/>
      <c r="AI5" s="125" t="str">
        <f t="shared" si="12"/>
        <v>CUMPLE</v>
      </c>
      <c r="AJ5" s="470"/>
      <c r="AK5" s="470"/>
      <c r="AL5" s="472"/>
      <c r="AM5" s="496"/>
      <c r="AN5" s="125" t="s">
        <v>75</v>
      </c>
      <c r="AO5" s="490"/>
      <c r="AP5" s="121" t="s">
        <v>74</v>
      </c>
      <c r="AQ5" s="490"/>
      <c r="AR5" s="522"/>
      <c r="AS5" s="552"/>
      <c r="AT5" s="177"/>
      <c r="AU5" s="543"/>
      <c r="AV5" s="543"/>
      <c r="AW5" s="561"/>
      <c r="AX5" s="561"/>
      <c r="AY5" s="19"/>
      <c r="BZ5" s="4"/>
      <c r="CA5" s="4"/>
      <c r="CB5" s="29" t="str">
        <f>IFERROR(IF(COUNTIF(AF3:AF12,"")=10,"",IF(COUNTIF(E3:E12,"N/A")&gt;0,IF(AF5&gt;=CMEMM1,AF5,0),"N/A")),"")</f>
        <v>N/A</v>
      </c>
      <c r="CC5" s="4"/>
      <c r="CD5" s="4">
        <f>IFERROR(IF(COUNTIF(AF3:AF12,"")=10,"",IF(AF5="","",IF(AF5&gt;=CMEMM1,1,0))),"")</f>
        <v>1</v>
      </c>
      <c r="CE5" s="4" t="str">
        <f>B3&amp;"-0"&amp;3</f>
        <v>P01-03</v>
      </c>
      <c r="CF5" s="4" t="str">
        <f>IFERROR(INDEX('DESEMPATE Y DISCAPACIDAD'!$D$3:$D$450,MATCH(CE5,'DESEMPATE Y DISCAPACIDAD'!$C$3:$C$450,0)),"")</f>
        <v>CEMOSA COLOMBIA</v>
      </c>
      <c r="CG5" s="4">
        <f>IF(OR(CE5="",CF5=""),"",SUMIF(D3:D12,CF5,CD3:CD12))</f>
        <v>1</v>
      </c>
      <c r="CH5" s="4" t="str">
        <f t="shared" si="13"/>
        <v>CUMPLE</v>
      </c>
      <c r="CI5" s="4">
        <f t="shared" si="14"/>
        <v>1</v>
      </c>
      <c r="CJ5" s="4"/>
      <c r="CK5" s="4"/>
      <c r="CL5" s="4">
        <f t="shared" si="1"/>
        <v>1</v>
      </c>
      <c r="CM5" s="4">
        <f t="shared" si="2"/>
        <v>1</v>
      </c>
      <c r="CN5" s="4" t="str">
        <f t="shared" si="15"/>
        <v>COND. A Y B</v>
      </c>
      <c r="CO5" s="4"/>
      <c r="CP5" s="4"/>
      <c r="CQ5" s="29" t="str">
        <f t="shared" si="3"/>
        <v>N/A</v>
      </c>
      <c r="CR5" s="29">
        <f t="shared" si="4"/>
        <v>4441.032400000001</v>
      </c>
      <c r="CS5" s="4"/>
      <c r="CT5" s="4"/>
      <c r="CU5" s="4"/>
      <c r="CV5" s="4"/>
      <c r="CW5" s="4"/>
      <c r="CX5" s="4"/>
      <c r="CY5" s="4"/>
    </row>
    <row r="6" spans="1:103" ht="45" customHeight="1">
      <c r="B6" s="481"/>
      <c r="C6" s="118" t="s">
        <v>207</v>
      </c>
      <c r="D6" s="126" t="str">
        <f>+IFERROR(INDEX('DESEMPATE Y DISCAPACIDAD'!$D$3:$D$450,MATCH(C6,'DESEMPATE Y DISCAPACIDAD'!$C$3:$C$450,0)),"")</f>
        <v>CEMOSA INGENIERIA Y CONTROL SAS</v>
      </c>
      <c r="E6" s="127" t="str">
        <f>IFERROR(IF(D6="","",IF(VLOOKUP(D6,'DESEMPATE Y DISCAPACIDAD'!D$3:$E$450,2,FALSE)=1,"N/A",IF(VLOOKUP(D6,'DESEMPATE Y DISCAPACIDAD'!D$3:$F$450,3,FALSE)="X","SI","NO"))),"")</f>
        <v>NO</v>
      </c>
      <c r="F6" s="125" t="s">
        <v>799</v>
      </c>
      <c r="G6" s="121" t="s">
        <v>736</v>
      </c>
      <c r="H6" s="125" t="s">
        <v>793</v>
      </c>
      <c r="I6" s="128" t="s">
        <v>800</v>
      </c>
      <c r="J6" s="121" t="s">
        <v>74</v>
      </c>
      <c r="K6" s="125" t="s">
        <v>74</v>
      </c>
      <c r="L6" s="125" t="s">
        <v>75</v>
      </c>
      <c r="M6" s="125" t="s">
        <v>75</v>
      </c>
      <c r="N6" s="125" t="str">
        <f>IFERROR(IF(OR(J6="",K6=""),"",IF(J6="NO","NO",K6)),"")</f>
        <v>SI</v>
      </c>
      <c r="O6" s="125" t="str">
        <f>IFERROR(IF(OR(J6="",L6=""),"",IF(J6="NO","NO",L6)),"")</f>
        <v>NO</v>
      </c>
      <c r="P6" s="125" t="str">
        <f>IFERROR(IF(OR(J6="",M6=""),"",IF(J6="NO","NO",M6)),"")</f>
        <v>NO</v>
      </c>
      <c r="Q6" s="125" t="str">
        <f t="shared" si="8"/>
        <v>SI</v>
      </c>
      <c r="R6" s="68">
        <v>1</v>
      </c>
      <c r="S6" s="129">
        <v>37201</v>
      </c>
      <c r="T6" s="129">
        <v>38173</v>
      </c>
      <c r="U6" s="125">
        <f t="shared" si="9"/>
        <v>2004</v>
      </c>
      <c r="V6" s="117">
        <f>IF(U6=2023,1160000,IFERROR(INDEX(SMMLV!$B$2:$B$101,MATCH(U6,SMMLV!$A$2:$A$101,0)),""))</f>
        <v>358000</v>
      </c>
      <c r="W6" s="117" t="s">
        <v>670</v>
      </c>
      <c r="X6" s="125" t="s">
        <v>671</v>
      </c>
      <c r="Y6" s="125">
        <v>35</v>
      </c>
      <c r="Z6" s="474" t="s">
        <v>74</v>
      </c>
      <c r="AA6" s="475"/>
      <c r="AB6" s="476"/>
      <c r="AC6" s="125" t="str">
        <f t="shared" si="0"/>
        <v>SI</v>
      </c>
      <c r="AD6" s="117" t="str">
        <f t="shared" si="10"/>
        <v>N/A</v>
      </c>
      <c r="AE6" s="117">
        <v>14369.32</v>
      </c>
      <c r="AF6" s="117">
        <f>IFERROR(IF(OR(J6="",J6="NO"),"",IF(AND(J6="SI",Q6="SI"),IFERROR(AE6*R6,""),"")),"")</f>
        <v>14369.32</v>
      </c>
      <c r="AG6" s="470"/>
      <c r="AH6" s="470"/>
      <c r="AI6" s="125" t="str">
        <f t="shared" si="12"/>
        <v>CUMPLE</v>
      </c>
      <c r="AJ6" s="470"/>
      <c r="AK6" s="470"/>
      <c r="AL6" s="472"/>
      <c r="AM6" s="496"/>
      <c r="AN6" s="125" t="s">
        <v>75</v>
      </c>
      <c r="AO6" s="490"/>
      <c r="AP6" s="121" t="s">
        <v>74</v>
      </c>
      <c r="AQ6" s="490"/>
      <c r="AR6" s="522"/>
      <c r="AS6" s="552"/>
      <c r="AT6" s="177"/>
      <c r="AU6" s="543"/>
      <c r="AV6" s="543"/>
      <c r="AW6" s="561"/>
      <c r="AX6" s="561"/>
      <c r="AY6" s="19"/>
      <c r="BZ6" s="4"/>
      <c r="CA6" s="4"/>
      <c r="CB6" s="29" t="str">
        <f>IFERROR(IF(COUNTIF(AF3:AF12,"")=10,"",IF(COUNTIF(E3:E12,"N/A")&gt;0,IF(AF6&gt;=CMEMM1,AF6,0),"N/A")),"")</f>
        <v>N/A</v>
      </c>
      <c r="CC6" s="4"/>
      <c r="CD6" s="4">
        <f>IFERROR(IF(COUNTIF(AF3:AF12,"")=10,"",IF(AF6="","",IF(AF6&gt;=CMEMM1,1,0))),"")</f>
        <v>1</v>
      </c>
      <c r="CE6" s="4" t="str">
        <f>B3&amp;"-0"&amp;4</f>
        <v>P01-04</v>
      </c>
      <c r="CF6" s="4">
        <f>IFERROR(INDEX('DESEMPATE Y DISCAPACIDAD'!$D$3:$D$450,MATCH(CE6,'DESEMPATE Y DISCAPACIDAD'!$C$3:$C$450,0)),"")</f>
        <v>0</v>
      </c>
      <c r="CG6" s="4">
        <f>IF(OR(CE6="",CF6=""),"",SUMIF(D3:D12,CF6,CD3:CD12))</f>
        <v>0</v>
      </c>
      <c r="CH6" s="4" t="str">
        <f t="shared" si="13"/>
        <v>NO CUMPLE</v>
      </c>
      <c r="CI6" s="4">
        <f t="shared" si="14"/>
        <v>0</v>
      </c>
      <c r="CJ6" s="4"/>
      <c r="CK6" s="4"/>
      <c r="CL6" s="4">
        <f t="shared" si="1"/>
        <v>1</v>
      </c>
      <c r="CM6" s="4">
        <f t="shared" si="2"/>
        <v>0</v>
      </c>
      <c r="CN6" s="4" t="str">
        <f t="shared" si="15"/>
        <v>COND. A</v>
      </c>
      <c r="CO6" s="4"/>
      <c r="CP6" s="4"/>
      <c r="CQ6" s="29" t="str">
        <f t="shared" si="3"/>
        <v>N/A</v>
      </c>
      <c r="CR6" s="29">
        <f t="shared" si="4"/>
        <v>14369.32</v>
      </c>
      <c r="CS6" s="4"/>
      <c r="CT6" s="4"/>
      <c r="CU6" s="4"/>
      <c r="CV6" s="4"/>
      <c r="CW6" s="4"/>
      <c r="CX6" s="4"/>
      <c r="CY6" s="4"/>
    </row>
    <row r="7" spans="1:103" ht="45" customHeight="1">
      <c r="B7" s="481"/>
      <c r="C7" s="118" t="s">
        <v>208</v>
      </c>
      <c r="D7" s="126" t="str">
        <f>+IFERROR(INDEX('DESEMPATE Y DISCAPACIDAD'!$D$3:$D$450,MATCH(C7,'DESEMPATE Y DISCAPACIDAD'!$C$3:$C$450,0)),"")</f>
        <v>CEMOSA COLOMBIA</v>
      </c>
      <c r="E7" s="127" t="str">
        <f>IFERROR(IF(D7="","",IF(VLOOKUP(D7,'DESEMPATE Y DISCAPACIDAD'!D$3:$E$450,2,FALSE)=1,"N/A",IF(VLOOKUP(D7,'DESEMPATE Y DISCAPACIDAD'!D$3:$F$450,3,FALSE)="X","SI","NO"))),"")</f>
        <v>NO</v>
      </c>
      <c r="F7" s="125" t="s">
        <v>799</v>
      </c>
      <c r="G7" s="121" t="s">
        <v>736</v>
      </c>
      <c r="H7" s="125" t="s">
        <v>801</v>
      </c>
      <c r="I7" s="128" t="s">
        <v>802</v>
      </c>
      <c r="J7" s="125" t="s">
        <v>74</v>
      </c>
      <c r="K7" s="125" t="s">
        <v>74</v>
      </c>
      <c r="L7" s="125" t="s">
        <v>75</v>
      </c>
      <c r="M7" s="125" t="s">
        <v>75</v>
      </c>
      <c r="N7" s="125" t="str">
        <f>IFERROR(IF(OR(J7="",K7=""),"",IF(J7="NO","NO",K7)),"")</f>
        <v>SI</v>
      </c>
      <c r="O7" s="125" t="str">
        <f>IFERROR(IF(OR(J7="",L7=""),"",IF(J7="NO","NO",L7)),"")</f>
        <v>NO</v>
      </c>
      <c r="P7" s="125" t="str">
        <f>IFERROR(IF(OR(J7="",M7=""),"",IF(J7="NO","NO",M7)),"")</f>
        <v>NO</v>
      </c>
      <c r="Q7" s="125" t="str">
        <f t="shared" si="8"/>
        <v>SI</v>
      </c>
      <c r="R7" s="68">
        <v>1</v>
      </c>
      <c r="S7" s="129">
        <v>38672</v>
      </c>
      <c r="T7" s="129">
        <v>42107</v>
      </c>
      <c r="U7" s="125">
        <f t="shared" si="9"/>
        <v>2015</v>
      </c>
      <c r="V7" s="117">
        <f>IF(U7=2023,1160000,IFERROR(INDEX(SMMLV!$B$2:$B$101,MATCH(U7,SMMLV!$A$2:$A$101,0)),""))</f>
        <v>644350</v>
      </c>
      <c r="W7" s="117" t="s">
        <v>670</v>
      </c>
      <c r="X7" s="125" t="s">
        <v>671</v>
      </c>
      <c r="Y7" s="125">
        <v>168</v>
      </c>
      <c r="Z7" s="474" t="s">
        <v>74</v>
      </c>
      <c r="AA7" s="475"/>
      <c r="AB7" s="476"/>
      <c r="AC7" s="125" t="str">
        <f t="shared" si="0"/>
        <v>SI</v>
      </c>
      <c r="AD7" s="117" t="str">
        <f t="shared" si="10"/>
        <v>N/A</v>
      </c>
      <c r="AE7" s="117">
        <v>16068.71</v>
      </c>
      <c r="AF7" s="117">
        <f t="shared" si="11"/>
        <v>16068.71</v>
      </c>
      <c r="AG7" s="470"/>
      <c r="AH7" s="470"/>
      <c r="AI7" s="125" t="str">
        <f t="shared" si="12"/>
        <v>CUMPLE</v>
      </c>
      <c r="AJ7" s="470"/>
      <c r="AK7" s="470"/>
      <c r="AL7" s="472"/>
      <c r="AM7" s="496"/>
      <c r="AN7" s="125" t="s">
        <v>75</v>
      </c>
      <c r="AO7" s="490"/>
      <c r="AP7" s="121" t="s">
        <v>74</v>
      </c>
      <c r="AQ7" s="490"/>
      <c r="AR7" s="522"/>
      <c r="AS7" s="552"/>
      <c r="AT7" s="177"/>
      <c r="AU7" s="543"/>
      <c r="AV7" s="543"/>
      <c r="AW7" s="561"/>
      <c r="AX7" s="561"/>
      <c r="AY7" s="19"/>
      <c r="BZ7" s="4"/>
      <c r="CA7" s="4"/>
      <c r="CB7" s="29" t="str">
        <f>IFERROR(IF(COUNTIF(AF3:AF12,"")=10,"",IF(COUNTIF(E3:E12,"N/A")&gt;0,IF(AF7&gt;=CMEMM1,AF7,0),"N/A")),"")</f>
        <v>N/A</v>
      </c>
      <c r="CC7" s="4"/>
      <c r="CD7" s="4">
        <f>IFERROR(IF(COUNTIF(AF3:AF12,"")=10,"",IF(AF7="","",IF(AF7&gt;=CMEMM1,1,0))),"")</f>
        <v>1</v>
      </c>
      <c r="CE7" s="4" t="str">
        <f>B3&amp;"-0"&amp;5</f>
        <v>P01-05</v>
      </c>
      <c r="CF7" s="4">
        <f>IFERROR(INDEX('DESEMPATE Y DISCAPACIDAD'!$D$3:$D$450,MATCH(CE7,'DESEMPATE Y DISCAPACIDAD'!$C$3:$C$450,0)),"")</f>
        <v>0</v>
      </c>
      <c r="CG7" s="4">
        <f>IF(OR(CE7="",CF7=""),"",SUMIF(D3:D12,CF7,CD3:CD12))</f>
        <v>0</v>
      </c>
      <c r="CH7" s="4" t="str">
        <f t="shared" si="13"/>
        <v>NO CUMPLE</v>
      </c>
      <c r="CI7" s="4">
        <f t="shared" si="14"/>
        <v>0</v>
      </c>
      <c r="CJ7" s="4"/>
      <c r="CK7" s="4"/>
      <c r="CL7" s="4">
        <f t="shared" si="1"/>
        <v>1</v>
      </c>
      <c r="CM7" s="4">
        <f t="shared" si="2"/>
        <v>0</v>
      </c>
      <c r="CN7" s="4" t="str">
        <f t="shared" si="15"/>
        <v>COND. A</v>
      </c>
      <c r="CO7" s="4"/>
      <c r="CP7" s="4"/>
      <c r="CQ7" s="29" t="str">
        <f t="shared" si="3"/>
        <v>N/A</v>
      </c>
      <c r="CR7" s="29">
        <f t="shared" si="4"/>
        <v>16068.71</v>
      </c>
      <c r="CS7" s="4"/>
      <c r="CT7" s="4"/>
      <c r="CU7" s="4"/>
      <c r="CV7" s="4"/>
      <c r="CW7" s="4"/>
      <c r="CX7" s="4"/>
      <c r="CY7" s="4"/>
    </row>
    <row r="8" spans="1:103" ht="2" customHeight="1">
      <c r="B8" s="481"/>
      <c r="C8" s="118"/>
      <c r="D8" s="126" t="str">
        <f>+IFERROR(INDEX('DESEMPATE Y DISCAPACIDAD'!$D$3:$D$450,MATCH(C8,'DESEMPATE Y DISCAPACIDAD'!$C$3:$C$450,0)),"")</f>
        <v/>
      </c>
      <c r="E8" s="127" t="str">
        <f>IFERROR(IF(D8="","",IF(VLOOKUP(D8,'DESEMPATE Y DISCAPACIDAD'!D$3:$E$450,2,FALSE)=1,"N/A",IF(VLOOKUP(D8,'DESEMPATE Y DISCAPACIDAD'!D$3:$F$450,3,FALSE)="X","SI","NO"))),"")</f>
        <v/>
      </c>
      <c r="F8" s="125"/>
      <c r="G8" s="121"/>
      <c r="H8" s="125"/>
      <c r="I8" s="128"/>
      <c r="J8" s="125"/>
      <c r="K8" s="125"/>
      <c r="L8" s="125"/>
      <c r="M8" s="125"/>
      <c r="N8" s="125" t="str">
        <f>IFERROR(IF(OR(J8="",K8=""),"",IF(J8="NO","NO",K8)),"")</f>
        <v/>
      </c>
      <c r="O8" s="125" t="str">
        <f>IFERROR(IF(OR(J8="",L8=""),"",IF(J8="NO","NO",L8)),"")</f>
        <v/>
      </c>
      <c r="P8" s="125" t="str">
        <f>IFERROR(IF(OR(J8="",M8=""),"",IF(J8="NO","NO",M8)),"")</f>
        <v/>
      </c>
      <c r="Q8" s="125" t="str">
        <f t="shared" si="8"/>
        <v/>
      </c>
      <c r="R8" s="68"/>
      <c r="S8" s="129"/>
      <c r="T8" s="129"/>
      <c r="U8" s="125" t="str">
        <f t="shared" si="9"/>
        <v/>
      </c>
      <c r="V8" s="117" t="str">
        <f>IF(U8=2023,1160000,IFERROR(INDEX(SMMLV!$B$2:$B$101,MATCH(U8,SMMLV!$A$2:$A$101,0)),""))</f>
        <v/>
      </c>
      <c r="W8" s="117"/>
      <c r="X8" s="125"/>
      <c r="Y8" s="125"/>
      <c r="Z8" s="474"/>
      <c r="AA8" s="475"/>
      <c r="AB8" s="476"/>
      <c r="AC8" s="125" t="str">
        <f t="shared" si="0"/>
        <v/>
      </c>
      <c r="AD8" s="117" t="str">
        <f t="shared" si="10"/>
        <v/>
      </c>
      <c r="AE8" s="117" t="s">
        <v>894</v>
      </c>
      <c r="AF8" s="117" t="str">
        <f t="shared" si="11"/>
        <v/>
      </c>
      <c r="AG8" s="470"/>
      <c r="AH8" s="470"/>
      <c r="AI8" s="125" t="str">
        <f t="shared" si="12"/>
        <v/>
      </c>
      <c r="AJ8" s="470"/>
      <c r="AK8" s="470"/>
      <c r="AL8" s="472"/>
      <c r="AM8" s="496"/>
      <c r="AN8" s="125"/>
      <c r="AO8" s="490"/>
      <c r="AP8" s="121"/>
      <c r="AQ8" s="490"/>
      <c r="AR8" s="522"/>
      <c r="AS8" s="552"/>
      <c r="AT8" s="177"/>
      <c r="AU8" s="543"/>
      <c r="AV8" s="543"/>
      <c r="AW8" s="561"/>
      <c r="AX8" s="561"/>
      <c r="AY8" s="19"/>
      <c r="BZ8" s="4"/>
      <c r="CA8" s="4"/>
      <c r="CB8" s="29" t="str">
        <f>IFERROR(IF(COUNTIF(AF3:AF12,"")=10,"",IF(COUNTIF(E3:E12,"N/A")&gt;0,IF(AF8&gt;=CMEMM1,AF8,0),"N/A")),"")</f>
        <v>N/A</v>
      </c>
      <c r="CC8" s="4"/>
      <c r="CD8" s="4" t="str">
        <f>IFERROR(IF(COUNTIF(AF3:AF12,"")=10,"",IF(AF8="","",IF(AF8&gt;=CMEMM1,1,0))),"")</f>
        <v/>
      </c>
      <c r="CE8" s="4" t="str">
        <f>B3&amp;"-0"&amp;6</f>
        <v>P01-06</v>
      </c>
      <c r="CF8" s="4">
        <f>IFERROR(INDEX('DESEMPATE Y DISCAPACIDAD'!$D$3:$D$450,MATCH(CE8,'DESEMPATE Y DISCAPACIDAD'!$C$3:$C$450,0)),"")</f>
        <v>0</v>
      </c>
      <c r="CG8" s="4">
        <f>IF(OR(CE8="",CF8=""),"",SUMIF(D3:D12,CF8,CD3:CD12))</f>
        <v>0</v>
      </c>
      <c r="CH8" s="4" t="str">
        <f t="shared" si="13"/>
        <v>NO CUMPLE</v>
      </c>
      <c r="CI8" s="4">
        <f t="shared" si="14"/>
        <v>0</v>
      </c>
      <c r="CJ8" s="4"/>
      <c r="CK8" s="4"/>
      <c r="CL8" s="4" t="str">
        <f t="shared" si="1"/>
        <v/>
      </c>
      <c r="CM8" s="4" t="str">
        <f t="shared" si="2"/>
        <v/>
      </c>
      <c r="CN8" s="4" t="str">
        <f t="shared" si="15"/>
        <v/>
      </c>
      <c r="CO8" s="4"/>
      <c r="CP8" s="4"/>
      <c r="CQ8" s="29" t="str">
        <f t="shared" si="3"/>
        <v/>
      </c>
      <c r="CR8" s="29" t="str">
        <f t="shared" si="4"/>
        <v/>
      </c>
      <c r="CS8" s="4"/>
      <c r="CT8" s="4"/>
      <c r="CU8" s="4"/>
      <c r="CV8" s="4"/>
      <c r="CW8" s="4"/>
      <c r="CX8" s="4"/>
      <c r="CY8" s="4"/>
    </row>
    <row r="9" spans="1:103" ht="2" customHeight="1">
      <c r="B9" s="481"/>
      <c r="C9" s="118"/>
      <c r="D9" s="126" t="str">
        <f>+IFERROR(INDEX('DESEMPATE Y DISCAPACIDAD'!$D$3:$D$450,MATCH(C9,'DESEMPATE Y DISCAPACIDAD'!$C$3:$C$450,0)),"")</f>
        <v/>
      </c>
      <c r="E9" s="127" t="str">
        <f>IFERROR(IF(D9="","",IF(VLOOKUP(D9,'DESEMPATE Y DISCAPACIDAD'!D$3:$E$450,2,FALSE)=1,"N/A",IF(VLOOKUP(D9,'DESEMPATE Y DISCAPACIDAD'!D$3:$F$450,3,FALSE)="X","SI","NO"))),"")</f>
        <v/>
      </c>
      <c r="F9" s="125"/>
      <c r="G9" s="125"/>
      <c r="H9" s="125"/>
      <c r="I9" s="128"/>
      <c r="J9" s="125"/>
      <c r="K9" s="125"/>
      <c r="L9" s="125"/>
      <c r="M9" s="125"/>
      <c r="N9" s="125" t="str">
        <f>IFERROR(IF(OR(J9="",K9=""),"",IF(J9="NO","NO",K9)),"")</f>
        <v/>
      </c>
      <c r="O9" s="125" t="str">
        <f>IFERROR(IF(OR(J9="",L9=""),"",IF(J9="NO","NO",L9)),"")</f>
        <v/>
      </c>
      <c r="P9" s="125" t="str">
        <f>IFERROR(IF(OR(J9="",M9=""),"",IF(J9="NO","NO",M9)),"")</f>
        <v/>
      </c>
      <c r="Q9" s="125" t="str">
        <f t="shared" si="8"/>
        <v/>
      </c>
      <c r="R9" s="68"/>
      <c r="S9" s="129"/>
      <c r="T9" s="129"/>
      <c r="U9" s="125" t="str">
        <f t="shared" si="9"/>
        <v/>
      </c>
      <c r="V9" s="117" t="str">
        <f>IF(U9=2023,1160000,IFERROR(INDEX(SMMLV!$B$2:$B$101,MATCH(U9,SMMLV!$A$2:$A$101,0)),""))</f>
        <v/>
      </c>
      <c r="W9" s="117"/>
      <c r="X9" s="125"/>
      <c r="Y9" s="125"/>
      <c r="Z9" s="474"/>
      <c r="AA9" s="475"/>
      <c r="AB9" s="476"/>
      <c r="AC9" s="125" t="str">
        <f t="shared" ref="AC9:AC17" si="16">IFERROR(IF(Y9="","",IF(ISNUMBER(Y9),IF(COUNTIF(Z9,"SI")&gt;0,"SI","NO"),Y9)),"")</f>
        <v/>
      </c>
      <c r="AD9" s="117" t="str">
        <f t="shared" si="10"/>
        <v/>
      </c>
      <c r="AE9" s="117" t="s">
        <v>894</v>
      </c>
      <c r="AF9" s="117" t="str">
        <f t="shared" si="11"/>
        <v/>
      </c>
      <c r="AG9" s="470"/>
      <c r="AH9" s="470"/>
      <c r="AI9" s="125" t="str">
        <f t="shared" si="12"/>
        <v/>
      </c>
      <c r="AJ9" s="470"/>
      <c r="AK9" s="470"/>
      <c r="AL9" s="472"/>
      <c r="AM9" s="496"/>
      <c r="AN9" s="125"/>
      <c r="AO9" s="490"/>
      <c r="AP9" s="125"/>
      <c r="AQ9" s="490"/>
      <c r="AR9" s="522"/>
      <c r="AS9" s="552"/>
      <c r="AT9" s="177"/>
      <c r="AU9" s="543"/>
      <c r="AV9" s="543"/>
      <c r="AW9" s="561"/>
      <c r="AX9" s="561"/>
      <c r="AY9" s="19"/>
      <c r="BZ9" s="4"/>
      <c r="CA9" s="4"/>
      <c r="CB9" s="29" t="str">
        <f>IFERROR(IF(COUNTIF(AF3:AF12,"")=10,"",IF(COUNTIF(E3:E12,"N/A")&gt;0,IF(AF9&gt;=CMEMM1,AF9,0),"N/A")),"")</f>
        <v>N/A</v>
      </c>
      <c r="CC9" s="4"/>
      <c r="CD9" s="4" t="str">
        <f>IFERROR(IF(COUNTIF(AF3:AF12,"")=10,"",IF(AF9="","",IF(AF9&gt;=CMEMM1,1,0))),"")</f>
        <v/>
      </c>
      <c r="CE9" s="4" t="str">
        <f>B3&amp;"-0"&amp;7</f>
        <v>P01-07</v>
      </c>
      <c r="CF9" s="4" t="str">
        <f>IFERROR(INDEX('DESEMPATE Y DISCAPACIDAD'!$D$3:$D$450,MATCH(CE9,'DESEMPATE Y DISCAPACIDAD'!$C$3:$C$450,0)),"")</f>
        <v/>
      </c>
      <c r="CG9" s="4" t="str">
        <f>IF(OR(CE9="",CF9=""),"",SUMIF(D3:D12,CF9,CD3:CD12))</f>
        <v/>
      </c>
      <c r="CH9" s="4" t="str">
        <f t="shared" si="13"/>
        <v/>
      </c>
      <c r="CI9" s="4" t="str">
        <f t="shared" si="14"/>
        <v/>
      </c>
      <c r="CJ9" s="4"/>
      <c r="CK9" s="4"/>
      <c r="CL9" s="4" t="str">
        <f t="shared" si="1"/>
        <v/>
      </c>
      <c r="CM9" s="4" t="str">
        <f t="shared" si="2"/>
        <v/>
      </c>
      <c r="CN9" s="4" t="str">
        <f t="shared" si="15"/>
        <v/>
      </c>
      <c r="CO9" s="4"/>
      <c r="CP9" s="4"/>
      <c r="CQ9" s="29" t="str">
        <f t="shared" si="3"/>
        <v/>
      </c>
      <c r="CR9" s="29" t="str">
        <f t="shared" si="4"/>
        <v/>
      </c>
      <c r="CS9" s="4"/>
      <c r="CT9" s="4"/>
      <c r="CU9" s="4"/>
      <c r="CV9" s="4"/>
      <c r="CW9" s="4"/>
      <c r="CX9" s="4"/>
      <c r="CY9" s="4"/>
    </row>
    <row r="10" spans="1:103" ht="2" customHeight="1">
      <c r="B10" s="481"/>
      <c r="C10" s="118"/>
      <c r="D10" s="126" t="str">
        <f>+IFERROR(INDEX('DESEMPATE Y DISCAPACIDAD'!$D$3:$D$450,MATCH(C10,'DESEMPATE Y DISCAPACIDAD'!$C$3:$C$450,0)),"")</f>
        <v/>
      </c>
      <c r="E10" s="127" t="str">
        <f>IFERROR(IF(D10="","",IF(VLOOKUP(D10,'DESEMPATE Y DISCAPACIDAD'!D$3:$E$450,2,FALSE)=1,"N/A",IF(VLOOKUP(D10,'DESEMPATE Y DISCAPACIDAD'!D$3:$F$450,3,FALSE)="X","SI","NO"))),"")</f>
        <v/>
      </c>
      <c r="F10" s="125"/>
      <c r="G10" s="125"/>
      <c r="H10" s="125"/>
      <c r="I10" s="128"/>
      <c r="J10" s="125"/>
      <c r="K10" s="125"/>
      <c r="L10" s="125"/>
      <c r="M10" s="125"/>
      <c r="N10" s="125" t="str">
        <f t="shared" si="5"/>
        <v/>
      </c>
      <c r="O10" s="125" t="str">
        <f t="shared" si="6"/>
        <v/>
      </c>
      <c r="P10" s="125" t="str">
        <f t="shared" si="7"/>
        <v/>
      </c>
      <c r="Q10" s="125" t="str">
        <f t="shared" si="8"/>
        <v/>
      </c>
      <c r="R10" s="68"/>
      <c r="S10" s="129"/>
      <c r="T10" s="129"/>
      <c r="U10" s="125" t="str">
        <f t="shared" si="9"/>
        <v/>
      </c>
      <c r="V10" s="117" t="str">
        <f>IF(U10=2023,1160000,IFERROR(INDEX(SMMLV!$B$2:$B$101,MATCH(U10,SMMLV!$A$2:$A$101,0)),""))</f>
        <v/>
      </c>
      <c r="W10" s="117"/>
      <c r="X10" s="125"/>
      <c r="Y10" s="125"/>
      <c r="Z10" s="474"/>
      <c r="AA10" s="475"/>
      <c r="AB10" s="476"/>
      <c r="AC10" s="125" t="str">
        <f t="shared" si="16"/>
        <v/>
      </c>
      <c r="AD10" s="117" t="str">
        <f t="shared" si="10"/>
        <v/>
      </c>
      <c r="AE10" s="117" t="s">
        <v>894</v>
      </c>
      <c r="AF10" s="117" t="str">
        <f t="shared" si="11"/>
        <v/>
      </c>
      <c r="AG10" s="470"/>
      <c r="AH10" s="470"/>
      <c r="AI10" s="125" t="str">
        <f t="shared" si="12"/>
        <v/>
      </c>
      <c r="AJ10" s="470"/>
      <c r="AK10" s="470"/>
      <c r="AL10" s="472"/>
      <c r="AM10" s="496"/>
      <c r="AN10" s="125"/>
      <c r="AO10" s="490"/>
      <c r="AP10" s="125"/>
      <c r="AQ10" s="490"/>
      <c r="AR10" s="522"/>
      <c r="AS10" s="552"/>
      <c r="AT10" s="177"/>
      <c r="AU10" s="543"/>
      <c r="AV10" s="543"/>
      <c r="AW10" s="561"/>
      <c r="AX10" s="561"/>
      <c r="AY10" s="19"/>
      <c r="BZ10" s="4"/>
      <c r="CA10" s="4"/>
      <c r="CB10" s="29" t="str">
        <f>IFERROR(IF(COUNTIF(AF3:AF12,"")=10,"",IF(COUNTIF(E3:E12,"N/A")&gt;0,IF(AF10&gt;=CMEMM1,AF10,0),"N/A")),"")</f>
        <v>N/A</v>
      </c>
      <c r="CC10" s="4"/>
      <c r="CD10" s="4" t="str">
        <f>IFERROR(IF(COUNTIF(AF3:AF12,"")=10,"",IF(AF10="","",IF(AF10&gt;=CMEMM1,1,0))),"")</f>
        <v/>
      </c>
      <c r="CE10" s="4" t="str">
        <f>B3&amp;"-0"&amp;8</f>
        <v>P01-08</v>
      </c>
      <c r="CF10" s="4" t="str">
        <f>IFERROR(INDEX('DESEMPATE Y DISCAPACIDAD'!$D$3:$D$450,MATCH(CE10,'DESEMPATE Y DISCAPACIDAD'!$C$3:$C$450,0)),"")</f>
        <v/>
      </c>
      <c r="CG10" s="4" t="str">
        <f>IF(OR(CE10="",CF10=""),"",SUMIF(D3:D12,CF10,CD3:CD12))</f>
        <v/>
      </c>
      <c r="CH10" s="4" t="str">
        <f t="shared" si="13"/>
        <v/>
      </c>
      <c r="CI10" s="4" t="str">
        <f t="shared" si="14"/>
        <v/>
      </c>
      <c r="CJ10" s="4"/>
      <c r="CK10" s="4"/>
      <c r="CL10" s="4" t="str">
        <f t="shared" si="1"/>
        <v/>
      </c>
      <c r="CM10" s="4" t="str">
        <f t="shared" si="2"/>
        <v/>
      </c>
      <c r="CN10" s="4" t="str">
        <f t="shared" si="15"/>
        <v/>
      </c>
      <c r="CO10" s="4"/>
      <c r="CP10" s="4"/>
      <c r="CQ10" s="29" t="str">
        <f t="shared" si="3"/>
        <v/>
      </c>
      <c r="CR10" s="29" t="str">
        <f t="shared" si="4"/>
        <v/>
      </c>
      <c r="CS10" s="4"/>
      <c r="CT10" s="4"/>
      <c r="CU10" s="4"/>
      <c r="CV10" s="4"/>
      <c r="CW10" s="4"/>
      <c r="CX10" s="4"/>
      <c r="CY10" s="4"/>
    </row>
    <row r="11" spans="1:103" ht="2" customHeight="1">
      <c r="B11" s="481"/>
      <c r="C11" s="118"/>
      <c r="D11" s="126" t="str">
        <f>+IFERROR(INDEX('DESEMPATE Y DISCAPACIDAD'!$D$3:$D$450,MATCH(C11,'DESEMPATE Y DISCAPACIDAD'!$C$3:$C$450,0)),"")</f>
        <v/>
      </c>
      <c r="E11" s="127" t="str">
        <f>IFERROR(IF(D11="","",IF(VLOOKUP(D11,'DESEMPATE Y DISCAPACIDAD'!D$3:$E$450,2,FALSE)=1,"N/A",IF(VLOOKUP(D11,'DESEMPATE Y DISCAPACIDAD'!D$3:$F$450,3,FALSE)="X","SI","NO"))),"")</f>
        <v/>
      </c>
      <c r="F11" s="125"/>
      <c r="G11" s="125"/>
      <c r="H11" s="125"/>
      <c r="I11" s="128"/>
      <c r="J11" s="125"/>
      <c r="K11" s="125"/>
      <c r="L11" s="125"/>
      <c r="M11" s="125"/>
      <c r="N11" s="125" t="str">
        <f t="shared" si="5"/>
        <v/>
      </c>
      <c r="O11" s="125" t="str">
        <f t="shared" si="6"/>
        <v/>
      </c>
      <c r="P11" s="125" t="str">
        <f t="shared" si="7"/>
        <v/>
      </c>
      <c r="Q11" s="125" t="str">
        <f t="shared" si="8"/>
        <v/>
      </c>
      <c r="R11" s="68"/>
      <c r="S11" s="129"/>
      <c r="T11" s="129"/>
      <c r="U11" s="125" t="str">
        <f t="shared" si="9"/>
        <v/>
      </c>
      <c r="V11" s="117" t="str">
        <f>IF(U11=2023,1160000,IFERROR(INDEX(SMMLV!$B$2:$B$101,MATCH(U11,SMMLV!$A$2:$A$101,0)),""))</f>
        <v/>
      </c>
      <c r="W11" s="117"/>
      <c r="X11" s="125"/>
      <c r="Y11" s="125"/>
      <c r="Z11" s="474"/>
      <c r="AA11" s="475"/>
      <c r="AB11" s="476"/>
      <c r="AC11" s="125" t="str">
        <f t="shared" si="16"/>
        <v/>
      </c>
      <c r="AD11" s="117" t="str">
        <f t="shared" si="10"/>
        <v/>
      </c>
      <c r="AE11" s="117" t="s">
        <v>894</v>
      </c>
      <c r="AF11" s="117" t="str">
        <f t="shared" si="11"/>
        <v/>
      </c>
      <c r="AG11" s="470"/>
      <c r="AH11" s="470"/>
      <c r="AI11" s="125" t="str">
        <f t="shared" si="12"/>
        <v/>
      </c>
      <c r="AJ11" s="470"/>
      <c r="AK11" s="470"/>
      <c r="AL11" s="472"/>
      <c r="AM11" s="496"/>
      <c r="AN11" s="125"/>
      <c r="AO11" s="490"/>
      <c r="AP11" s="125"/>
      <c r="AQ11" s="490"/>
      <c r="AR11" s="522"/>
      <c r="AS11" s="552"/>
      <c r="AT11" s="177"/>
      <c r="AU11" s="543"/>
      <c r="AV11" s="543"/>
      <c r="AW11" s="561"/>
      <c r="AX11" s="561"/>
      <c r="AY11" s="19"/>
      <c r="BZ11" s="4"/>
      <c r="CA11" s="4"/>
      <c r="CB11" s="29" t="str">
        <f>IFERROR(IF(COUNTIF(AF3:AF12,"")=10,"",IF(COUNTIF(E3:E12,"N/A")&gt;0,IF(AF11&gt;=CMEMM1,AF11,0),"N/A")),"")</f>
        <v>N/A</v>
      </c>
      <c r="CC11" s="4"/>
      <c r="CD11" s="4" t="str">
        <f>IFERROR(IF(COUNTIF(AF3:AF12,"")=10,"",IF(AF11="","",IF(AF11&gt;=CMEMM1,1,0))),"")</f>
        <v/>
      </c>
      <c r="CE11" s="4" t="str">
        <f>B3&amp;"-0"&amp;9</f>
        <v>P01-09</v>
      </c>
      <c r="CF11" s="4" t="str">
        <f>IFERROR(INDEX('DESEMPATE Y DISCAPACIDAD'!$D$3:$D$450,MATCH(CE11,'DESEMPATE Y DISCAPACIDAD'!$C$3:$C$450,0)),"")</f>
        <v/>
      </c>
      <c r="CG11" s="4" t="str">
        <f>IF(OR(CE11="",CF11=""),"",SUMIF(D3:D12,CF11,CD3:CD12))</f>
        <v/>
      </c>
      <c r="CH11" s="4" t="str">
        <f t="shared" si="13"/>
        <v/>
      </c>
      <c r="CI11" s="4" t="str">
        <f t="shared" si="14"/>
        <v/>
      </c>
      <c r="CJ11" s="4"/>
      <c r="CK11" s="4"/>
      <c r="CL11" s="4" t="str">
        <f t="shared" si="1"/>
        <v/>
      </c>
      <c r="CM11" s="4" t="str">
        <f t="shared" si="2"/>
        <v/>
      </c>
      <c r="CN11" s="4" t="str">
        <f t="shared" si="15"/>
        <v/>
      </c>
      <c r="CO11" s="4"/>
      <c r="CP11" s="4"/>
      <c r="CQ11" s="29" t="str">
        <f t="shared" si="3"/>
        <v/>
      </c>
      <c r="CR11" s="29" t="str">
        <f t="shared" si="4"/>
        <v/>
      </c>
      <c r="CS11" s="4"/>
      <c r="CT11" s="4"/>
      <c r="CU11" s="4"/>
      <c r="CV11" s="4"/>
      <c r="CW11" s="4"/>
      <c r="CX11" s="4"/>
      <c r="CY11" s="4"/>
    </row>
    <row r="12" spans="1:103" ht="2" customHeight="1" thickBot="1">
      <c r="B12" s="482"/>
      <c r="C12" s="130"/>
      <c r="D12" s="131" t="str">
        <f>+IFERROR(INDEX('DESEMPATE Y DISCAPACIDAD'!$D$3:$D$450,MATCH(C12,'DESEMPATE Y DISCAPACIDAD'!$C$3:$C$450,0)),"")</f>
        <v/>
      </c>
      <c r="E12" s="132" t="str">
        <f>IFERROR(IF(D12="","",IF(VLOOKUP(D12,'DESEMPATE Y DISCAPACIDAD'!D$3:$E$450,2,FALSE)=1,"N/A",IF(VLOOKUP(D12,'DESEMPATE Y DISCAPACIDAD'!D$3:$F$450,3,FALSE)="X","SI","NO"))),"")</f>
        <v/>
      </c>
      <c r="F12" s="133"/>
      <c r="G12" s="133"/>
      <c r="H12" s="133"/>
      <c r="I12" s="134"/>
      <c r="J12" s="133"/>
      <c r="K12" s="133"/>
      <c r="L12" s="133"/>
      <c r="M12" s="133"/>
      <c r="N12" s="133" t="str">
        <f t="shared" si="5"/>
        <v/>
      </c>
      <c r="O12" s="133" t="str">
        <f t="shared" si="6"/>
        <v/>
      </c>
      <c r="P12" s="133" t="str">
        <f t="shared" si="7"/>
        <v/>
      </c>
      <c r="Q12" s="133" t="str">
        <f t="shared" si="8"/>
        <v/>
      </c>
      <c r="R12" s="104"/>
      <c r="S12" s="135"/>
      <c r="T12" s="135"/>
      <c r="U12" s="133" t="str">
        <f t="shared" si="9"/>
        <v/>
      </c>
      <c r="V12" s="136" t="str">
        <f>IF(U12=2023,1160000,IFERROR(INDEX(SMMLV!$B$2:$B$101,MATCH(U12,SMMLV!$A$2:$A$101,0)),""))</f>
        <v/>
      </c>
      <c r="W12" s="136"/>
      <c r="X12" s="133"/>
      <c r="Y12" s="133"/>
      <c r="Z12" s="487"/>
      <c r="AA12" s="488"/>
      <c r="AB12" s="489"/>
      <c r="AC12" s="133" t="str">
        <f t="shared" si="16"/>
        <v/>
      </c>
      <c r="AD12" s="136" t="str">
        <f t="shared" si="10"/>
        <v/>
      </c>
      <c r="AE12" s="117" t="s">
        <v>894</v>
      </c>
      <c r="AF12" s="136" t="str">
        <f t="shared" si="11"/>
        <v/>
      </c>
      <c r="AG12" s="471"/>
      <c r="AH12" s="471"/>
      <c r="AI12" s="133" t="str">
        <f t="shared" si="12"/>
        <v/>
      </c>
      <c r="AJ12" s="471"/>
      <c r="AK12" s="471"/>
      <c r="AL12" s="473"/>
      <c r="AM12" s="497"/>
      <c r="AN12" s="133"/>
      <c r="AO12" s="491"/>
      <c r="AP12" s="133"/>
      <c r="AQ12" s="491"/>
      <c r="AR12" s="523"/>
      <c r="AS12" s="553"/>
      <c r="AT12" s="178"/>
      <c r="AU12" s="544"/>
      <c r="AV12" s="544"/>
      <c r="AW12" s="562"/>
      <c r="AX12" s="562"/>
      <c r="AY12" s="19"/>
      <c r="BZ12" s="4"/>
      <c r="CA12" s="4"/>
      <c r="CB12" s="29" t="str">
        <f>IFERROR(IF(COUNTIF(AF3:AF12,"")=10,"",IF(COUNTIF(E3:E12,"N/A")&gt;0,IF(AF12&gt;=CMEMM1,AF12,0),"N/A")),"")</f>
        <v>N/A</v>
      </c>
      <c r="CC12" s="4"/>
      <c r="CD12" s="4" t="str">
        <f>IFERROR(IF(COUNTIF(AF3:AF12,"")=10,"",IF(AF12="","",IF(AF12&gt;=CMEMM1,1,0))),"")</f>
        <v/>
      </c>
      <c r="CE12" s="4" t="str">
        <f>B3&amp;"-"&amp;10</f>
        <v>P01-10</v>
      </c>
      <c r="CF12" s="4" t="str">
        <f>IFERROR(INDEX('DESEMPATE Y DISCAPACIDAD'!$D$3:$D$450,MATCH(CE12,'DESEMPATE Y DISCAPACIDAD'!$C$3:$C$450,0)),"")</f>
        <v/>
      </c>
      <c r="CG12" s="4" t="str">
        <f>IF(OR(CE12="",CF12=""),"",SUMIF(D3:D12,CF12,CD3:CD12))</f>
        <v/>
      </c>
      <c r="CH12" s="4" t="str">
        <f t="shared" si="13"/>
        <v/>
      </c>
      <c r="CI12" s="4" t="str">
        <f t="shared" si="14"/>
        <v/>
      </c>
      <c r="CJ12" s="4"/>
      <c r="CK12" s="4"/>
      <c r="CL12" s="4" t="str">
        <f t="shared" si="1"/>
        <v/>
      </c>
      <c r="CM12" s="4" t="str">
        <f t="shared" si="2"/>
        <v/>
      </c>
      <c r="CN12" s="4" t="str">
        <f t="shared" si="15"/>
        <v/>
      </c>
      <c r="CO12" s="4"/>
      <c r="CP12" s="4"/>
      <c r="CQ12" s="29" t="str">
        <f t="shared" si="3"/>
        <v/>
      </c>
      <c r="CR12" s="29" t="str">
        <f t="shared" si="4"/>
        <v/>
      </c>
      <c r="CS12" s="4"/>
      <c r="CT12" s="4"/>
      <c r="CU12" s="4"/>
      <c r="CV12" s="4"/>
      <c r="CW12" s="4"/>
      <c r="CX12" s="4"/>
      <c r="CY12" s="4"/>
    </row>
    <row r="13" spans="1:103" ht="45" customHeight="1">
      <c r="A13" s="4" t="str">
        <f>"A"&amp;B13</f>
        <v>AP02</v>
      </c>
      <c r="B13" s="480" t="s">
        <v>123</v>
      </c>
      <c r="C13" s="108" t="s">
        <v>172</v>
      </c>
      <c r="D13" s="119" t="str">
        <f>+IFERROR(INDEX('DESEMPATE Y DISCAPACIDAD'!$D$3:$D$450,MATCH(C13,'DESEMPATE Y DISCAPACIDAD'!$C$3:$C$450,0)),"")</f>
        <v>INTECSA COLOMBIA INTERNACIONAL S.A.S</v>
      </c>
      <c r="E13" s="120" t="str">
        <f>IFERROR(IF(D13="","",IF(VLOOKUP(D13,'DESEMPATE Y DISCAPACIDAD'!D$3:$E$450,2,FALSE)=1,"N/A",IF(VLOOKUP(D13,'DESEMPATE Y DISCAPACIDAD'!D$3:$F$450,3,FALSE)="X","SI","NO"))),"")</f>
        <v>NO</v>
      </c>
      <c r="F13" s="121" t="s">
        <v>799</v>
      </c>
      <c r="G13" s="121" t="s">
        <v>736</v>
      </c>
      <c r="H13" s="121" t="s">
        <v>803</v>
      </c>
      <c r="I13" s="122" t="s">
        <v>804</v>
      </c>
      <c r="J13" s="121" t="s">
        <v>74</v>
      </c>
      <c r="K13" s="121" t="s">
        <v>74</v>
      </c>
      <c r="L13" s="121" t="s">
        <v>75</v>
      </c>
      <c r="M13" s="121" t="s">
        <v>75</v>
      </c>
      <c r="N13" s="121" t="str">
        <f>IFERROR(IF(OR(J13="",K13=""),"",IF(J13="NO","NO",K13)),"")</f>
        <v>SI</v>
      </c>
      <c r="O13" s="121" t="str">
        <f>IFERROR(IF(OR(J13="",L13=""),"",IF(J13="NO","NO",L13)),"")</f>
        <v>NO</v>
      </c>
      <c r="P13" s="121" t="str">
        <f>IFERROR(IF(OR(J13="",M13=""),"",IF(J13="NO","NO",M13)),"")</f>
        <v>NO</v>
      </c>
      <c r="Q13" s="121" t="str">
        <f t="shared" si="8"/>
        <v>SI</v>
      </c>
      <c r="R13" s="103">
        <v>1</v>
      </c>
      <c r="S13" s="123">
        <v>37242</v>
      </c>
      <c r="T13" s="123">
        <v>38094</v>
      </c>
      <c r="U13" s="121">
        <f>IFERROR(IF(T13="","",YEAR(T13)),"")</f>
        <v>2004</v>
      </c>
      <c r="V13" s="124">
        <f>IF(U13=2023,1160000,IFERROR(INDEX(SMMLV!$B$2:$B$101,MATCH(U13,SMMLV!$A$2:$A$101,0)),""))</f>
        <v>358000</v>
      </c>
      <c r="W13" s="117" t="s">
        <v>670</v>
      </c>
      <c r="X13" s="121" t="s">
        <v>671</v>
      </c>
      <c r="Y13" s="121">
        <v>39</v>
      </c>
      <c r="Z13" s="500" t="s">
        <v>74</v>
      </c>
      <c r="AA13" s="501"/>
      <c r="AB13" s="502"/>
      <c r="AC13" s="121" t="str">
        <f t="shared" si="16"/>
        <v>SI</v>
      </c>
      <c r="AD13" s="124" t="str">
        <f t="shared" si="10"/>
        <v>N/A</v>
      </c>
      <c r="AE13" s="21">
        <v>20019.89</v>
      </c>
      <c r="AF13" s="358">
        <f>IFERROR(IF(OR(J13="",J13="NO"),"",IF(AND(J13="SI",Q13="SI"),IFERROR(AE13*R13,""),"")),"")</f>
        <v>20019.89</v>
      </c>
      <c r="AG13" s="539" t="str">
        <f>IFERROR(IF(COUNTIF(AF13:AF22,"")=10,"",IF(COUNTIF(E13:E22,"N/A")&gt;0,IF(SUM(CB13:CB22)&gt;=CMEM1,"CUMPLE","NO CUMPLE"),IF(SUM(AF13:AF22)&gt;=CMEM1,"CUMPLE","NO CUMPLE"))),"")</f>
        <v>CUMPLE</v>
      </c>
      <c r="AH13" s="486" t="str">
        <f>IF(COUNTIF(AF13:AF22,"")=10,"",IF(SUMIF(C13:C22,C13,AF13:AF22)&gt;=CMLM1,"CUMPLE",IF(SUMIF(C13:C22,C14,AF13:AF22)&gt;=CMLM1,"CUMPLE",IF(SUMIF(C13:C22,C15,AF13:AF22)&gt;=CMLM1,"CUMPLE",IF(SUMIF(C13:C22,C16,AF13:AF22)&gt;=CMLM1,"CUMPLE",IF(SUMIF(C13:C22,C17,AF13:AF22)&gt;=CMLM1,"CUMPLE",IF(SUMIF(C13:C22,C18,AF13:AF22)&gt;=CMLM1,"CUMPLE",IF(SUMIF(C13:C22,C19,AF13:AF22)&gt;=CMLM1,"CUMPLE",IF(SUMIF(C13:C22,C20,AF13:AF22)&gt;=CMLM1,"CUMPLE",IF(SUMIF(C13:C22,C21,AF13:AF22)&gt;=CMLM1,"CUMPLE",IF(SUMIF(C13:C22,C22,AF13:AF22)&gt;=CMLM1,"CUMPLE","NO CUMPLE")))))))))))</f>
        <v>CUMPLE</v>
      </c>
      <c r="AI13" s="121" t="str">
        <f t="shared" si="12"/>
        <v>CUMPLE</v>
      </c>
      <c r="AJ13" s="469" t="str">
        <f>IFERROR(IF(COUNTIF(AF13:AF22,"")=10,"",IF(COUNTIF(E13:E22,"N/A")&gt;0,"N/A",CJ13)),"")</f>
        <v>CUMPLE</v>
      </c>
      <c r="AK13" s="469" t="str">
        <f>IFERROR(IF(AND(COUNTIF(N13:N22,"SI")&gt;=1,COUNTIF(O13:O22,"SI")&gt;=1,COUNTIF(P13:P22,"SI")&gt;=1,COUNTIF(J13:J22,"SI")&lt;=10,CO13="CUMPLE"),"CUMPLE","NO CUMPLE"),"")</f>
        <v>CUMPLE</v>
      </c>
      <c r="AL13" s="472" t="s">
        <v>77</v>
      </c>
      <c r="AM13" s="495">
        <f>IFERROR(IF(B13&lt;&gt;"",IF(VLOOKUP(B13,'DESEMPATE Y DISCAPACIDAD'!$A$3:$Q$450,10,FALSE)="","",VLOOKUP(B13,'DESEMPATE Y DISCAPACIDAD'!$A$3:$Q$450,10,FALSE)+6),""),"")</f>
        <v>8</v>
      </c>
      <c r="AN13" s="121" t="s">
        <v>75</v>
      </c>
      <c r="AO13" s="490" t="s">
        <v>74</v>
      </c>
      <c r="AP13" s="121" t="s">
        <v>74</v>
      </c>
      <c r="AQ13" s="490">
        <f>IFERROR(IF(COUNTIF(AP13:AP22,"")=10,"",IF(AO13="NO",0,COUNTIF(AP13:AP22,"SI"))),"")</f>
        <v>4</v>
      </c>
      <c r="AR13" s="521">
        <f>IFERROR(IF(COUNTIF(AF13:AF22,"")=10,"",IF(AO13="NO",0,IF(COUNTIF(E13:E22,"N/A")&gt;0,SUM(CQ13:CQ22),SUM(CR13:CR22)))),"")</f>
        <v>66105.116599999994</v>
      </c>
      <c r="AS13" s="518">
        <f>IFERROR(IF(OR(COUNTIF(AF13:AF22,"")=10,AQ13="",AR13=""),"",IF(AO13="NO",0,AR13/AQ13)),"")</f>
        <v>16526.279149999998</v>
      </c>
      <c r="AT13" s="203"/>
      <c r="AU13" s="610" t="s">
        <v>934</v>
      </c>
      <c r="AV13" s="542" t="s">
        <v>931</v>
      </c>
      <c r="AW13" s="560" t="s">
        <v>931</v>
      </c>
      <c r="AX13" s="560" t="s">
        <v>1353</v>
      </c>
      <c r="AY13" s="19"/>
      <c r="BZ13" s="4"/>
      <c r="CA13" s="4"/>
      <c r="CB13" s="29" t="str">
        <f>IFERROR(IF(COUNTIF(AF13:AF22,"")=10,"",IF(COUNTIF(E13:E22,"N/A")&gt;0,IF(AF13&gt;=CMEMM1,AF13,0),"N/A")),"")</f>
        <v>N/A</v>
      </c>
      <c r="CC13" s="4"/>
      <c r="CD13" s="4">
        <f>IFERROR(IF(COUNTIF(AF13:AF22,"")=10,"",IF(AF13="","",IF(AF13&gt;=CMEMM1,1,0))),"")</f>
        <v>1</v>
      </c>
      <c r="CE13" s="4" t="str">
        <f>B13&amp;"-0"&amp;1</f>
        <v>P02-01</v>
      </c>
      <c r="CF13" s="4" t="str">
        <f>IFERROR(INDEX('DESEMPATE Y DISCAPACIDAD'!$D$3:$D$450,MATCH(CE13,'DESEMPATE Y DISCAPACIDAD'!$C$3:$C$450,0)),"")</f>
        <v>INTECSA COLOMBIA INTERNACIONAL S.A.S</v>
      </c>
      <c r="CG13" s="4">
        <f>IF(OR(CE13="",CF13=""),"",SUMIF(D13:D22,CF13,CD13:CD22))</f>
        <v>2</v>
      </c>
      <c r="CH13" s="4" t="str">
        <f>IF(OR(CE13="",CF13="",CG13=""),"",IF(CG13&gt;0,"CUMPLE","NO CUMPLE"))</f>
        <v>CUMPLE</v>
      </c>
      <c r="CI13" s="4">
        <f>IF(CF13="","",IF(ISTEXT(CF13),1,0))</f>
        <v>1</v>
      </c>
      <c r="CJ13" s="4" t="str">
        <f>IF(OR(CD13="",CE13="",CF13="",CG13="",CH13="",CI13=""),"",IF(COUNTIF(CH13:CH22,"CUMPLE")=COUNTIF(CI13:CI22,1),"CUMPLE","NO CUMPLE"))</f>
        <v>CUMPLE</v>
      </c>
      <c r="CK13" s="4"/>
      <c r="CL13" s="4">
        <f t="shared" si="1"/>
        <v>1</v>
      </c>
      <c r="CM13" s="4">
        <f t="shared" si="2"/>
        <v>0</v>
      </c>
      <c r="CN13" s="4" t="str">
        <f>IF(OR(CL13="",CM13=""),"",IF(AND(CL13=0,CM13=0),"N/A",IF(AND(CL13=1,CM13=0),"COND. A",IF(AND(CL13=0,CM13=1),"COND. B",IF(AND(CL13=1,CM13=1),"COND. A Y B","")))))</f>
        <v>COND. A</v>
      </c>
      <c r="CO13" s="4" t="str">
        <f>IF(COUNTIF(CN13:CN22,"N/A")=10,"NO CUMPLE",IF(COUNTIF(CN13:CN22,"COND. A Y B")&gt;1,"CUMPLE",IF(AND(COUNTIF(CN13:CN22,"COND. A")&gt;0,COUNTIF(CN13:CN22,"COND. B")&gt;0),"CUMPLE",IF(AND(COUNTIF(CN13:CN22,"COND. A Y B")&gt;0,COUNTIF(CN13:CN22,"COND. A")&gt;0),"CUMPLE",IF(AND(COUNTIF(CN13:CN22,"COND. A Y B")&gt;0,COUNTIF(CN13:CN22,"COND. B")&gt;0),"CUMPLE","NO CUMPLE")))))</f>
        <v>CUMPLE</v>
      </c>
      <c r="CP13" s="4"/>
      <c r="CQ13" s="29" t="str">
        <f t="shared" si="3"/>
        <v>N/A</v>
      </c>
      <c r="CR13" s="29">
        <f t="shared" si="4"/>
        <v>20019.89</v>
      </c>
      <c r="CS13" s="4"/>
      <c r="CT13" s="4"/>
      <c r="CU13" s="4"/>
      <c r="CV13" s="4"/>
      <c r="CW13" s="4"/>
      <c r="CX13" s="4"/>
      <c r="CY13" s="4"/>
    </row>
    <row r="14" spans="1:103" ht="34.25" customHeight="1">
      <c r="B14" s="481"/>
      <c r="C14" s="118" t="s">
        <v>172</v>
      </c>
      <c r="D14" s="119" t="str">
        <f>+IFERROR(INDEX('DESEMPATE Y DISCAPACIDAD'!$D$3:$D$450,MATCH(C14,'DESEMPATE Y DISCAPACIDAD'!$C$3:$C$450,0)),"")</f>
        <v>INTECSA COLOMBIA INTERNACIONAL S.A.S</v>
      </c>
      <c r="E14" s="120" t="str">
        <f>IFERROR(IF(D14="","",IF(VLOOKUP(D14,'DESEMPATE Y DISCAPACIDAD'!D$3:$E$450,2,FALSE)=1,"N/A",IF(VLOOKUP(D14,'DESEMPATE Y DISCAPACIDAD'!D$3:$F$450,3,FALSE)="X","SI","NO"))),"")</f>
        <v>NO</v>
      </c>
      <c r="F14" s="121" t="s">
        <v>799</v>
      </c>
      <c r="G14" s="121" t="s">
        <v>736</v>
      </c>
      <c r="H14" s="121" t="s">
        <v>805</v>
      </c>
      <c r="I14" s="122" t="s">
        <v>806</v>
      </c>
      <c r="J14" s="121" t="s">
        <v>74</v>
      </c>
      <c r="K14" s="121" t="s">
        <v>74</v>
      </c>
      <c r="L14" s="121" t="s">
        <v>75</v>
      </c>
      <c r="M14" s="121" t="s">
        <v>75</v>
      </c>
      <c r="N14" s="121" t="str">
        <f>IFERROR(IF(OR(J14="",K14=""),"",IF(J14="NO","NO",K14)),"")</f>
        <v>SI</v>
      </c>
      <c r="O14" s="121" t="str">
        <f t="shared" ref="O14:O22" si="17">IFERROR(IF(OR(J14="",L14=""),"",IF(J14="NO","NO",L14)),"")</f>
        <v>NO</v>
      </c>
      <c r="P14" s="121" t="str">
        <f t="shared" ref="P14:P22" si="18">IFERROR(IF(OR(J14="",M14=""),"",IF(J14="NO","NO",M14)),"")</f>
        <v>NO</v>
      </c>
      <c r="Q14" s="121" t="str">
        <f t="shared" si="8"/>
        <v>SI</v>
      </c>
      <c r="R14" s="68">
        <v>1</v>
      </c>
      <c r="S14" s="129">
        <v>35660</v>
      </c>
      <c r="T14" s="129">
        <v>37088</v>
      </c>
      <c r="U14" s="121">
        <f t="shared" ref="U14:U21" si="19">IFERROR(IF(T14="","",YEAR(T14)),"")</f>
        <v>2001</v>
      </c>
      <c r="V14" s="124">
        <f>IF(U14=2023,1160000,IFERROR(INDEX(SMMLV!$B$2:$B$101,MATCH(U14,SMMLV!$A$2:$A$101,0)),""))</f>
        <v>286000</v>
      </c>
      <c r="W14" s="117" t="s">
        <v>670</v>
      </c>
      <c r="X14" s="125" t="s">
        <v>671</v>
      </c>
      <c r="Y14" s="125">
        <v>38</v>
      </c>
      <c r="Z14" s="474" t="s">
        <v>74</v>
      </c>
      <c r="AA14" s="475"/>
      <c r="AB14" s="476"/>
      <c r="AC14" s="125" t="str">
        <f t="shared" si="16"/>
        <v>SI</v>
      </c>
      <c r="AD14" s="117" t="str">
        <f t="shared" si="10"/>
        <v>N/A</v>
      </c>
      <c r="AE14" s="21">
        <v>13194.81</v>
      </c>
      <c r="AF14" s="21">
        <f t="shared" si="11"/>
        <v>13194.81</v>
      </c>
      <c r="AG14" s="540"/>
      <c r="AH14" s="470"/>
      <c r="AI14" s="125" t="str">
        <f t="shared" si="12"/>
        <v>CUMPLE</v>
      </c>
      <c r="AJ14" s="470"/>
      <c r="AK14" s="470"/>
      <c r="AL14" s="472"/>
      <c r="AM14" s="496"/>
      <c r="AN14" s="121" t="s">
        <v>75</v>
      </c>
      <c r="AO14" s="490"/>
      <c r="AP14" s="121" t="s">
        <v>74</v>
      </c>
      <c r="AQ14" s="490"/>
      <c r="AR14" s="522"/>
      <c r="AS14" s="519"/>
      <c r="AT14" s="204"/>
      <c r="AU14" s="611"/>
      <c r="AV14" s="543"/>
      <c r="AW14" s="561"/>
      <c r="AX14" s="561"/>
      <c r="AY14" s="19"/>
      <c r="BZ14" s="4"/>
      <c r="CA14" s="4"/>
      <c r="CB14" s="29" t="str">
        <f>IFERROR(IF(COUNTIF(AF13:AF22,"")=10,"",IF(COUNTIF(E13:E22,"N/A")&gt;0,IF(AF14&gt;=CMEMM1,AF14,0),"N/A")),"")</f>
        <v>N/A</v>
      </c>
      <c r="CC14" s="4"/>
      <c r="CD14" s="4">
        <f>IFERROR(IF(COUNTIF(AF13:AF22,"")=10,"",IF(AF14="","",IF(AF14&gt;=CMEMM1,1,0))),"")</f>
        <v>1</v>
      </c>
      <c r="CE14" s="4" t="str">
        <f>B13&amp;"-0"&amp;2</f>
        <v>P02-02</v>
      </c>
      <c r="CF14" s="4" t="str">
        <f>IFERROR(INDEX('DESEMPATE Y DISCAPACIDAD'!$D$3:$D$450,MATCH(CE14,'DESEMPATE Y DISCAPACIDAD'!$C$3:$C$450,0)),"")</f>
        <v>INTECSA ENGINEERING GROUP, S.A. UNIPERSONAL SUCURSAL COLOMBIA</v>
      </c>
      <c r="CG14" s="4">
        <f>IF(OR(CE14="",CF14=""),"",SUMIF(D13:D22,CF14,CD13:CD22))</f>
        <v>1</v>
      </c>
      <c r="CH14" s="4" t="str">
        <f t="shared" ref="CH14:CH22" si="20">IF(OR(CE14="",CF14="",CG14=""),"",IF(CG14&gt;0,"CUMPLE","NO CUMPLE"))</f>
        <v>CUMPLE</v>
      </c>
      <c r="CI14" s="4">
        <f t="shared" ref="CI14:CI22" si="21">IF(CF14="","",IF(ISTEXT(CF14),1,0))</f>
        <v>1</v>
      </c>
      <c r="CJ14" s="4"/>
      <c r="CK14" s="4"/>
      <c r="CL14" s="4">
        <f t="shared" si="1"/>
        <v>1</v>
      </c>
      <c r="CM14" s="4">
        <f t="shared" si="2"/>
        <v>0</v>
      </c>
      <c r="CN14" s="4" t="str">
        <f t="shared" ref="CN14:CN22" si="22">IF(OR(CL14="",CM14=""),"",IF(AND(CL14=0,CM14=0),"N/A",IF(AND(CL14=1,CM14=0),"COND. A",IF(AND(CL14=0,CM14=1),"COND. B",IF(AND(CL14=1,CM14=1),"COND. A Y B","")))))</f>
        <v>COND. A</v>
      </c>
      <c r="CO14" s="4"/>
      <c r="CP14" s="4"/>
      <c r="CQ14" s="29" t="str">
        <f t="shared" si="3"/>
        <v>N/A</v>
      </c>
      <c r="CR14" s="29">
        <f t="shared" si="4"/>
        <v>13194.81</v>
      </c>
      <c r="CS14" s="4"/>
      <c r="CT14" s="4"/>
      <c r="CU14" s="4"/>
      <c r="CV14" s="4"/>
      <c r="CW14" s="4"/>
      <c r="CX14" s="4"/>
      <c r="CY14" s="4"/>
    </row>
    <row r="15" spans="1:103" ht="45" customHeight="1">
      <c r="B15" s="481"/>
      <c r="C15" s="118" t="s">
        <v>218</v>
      </c>
      <c r="D15" s="126" t="str">
        <f>+IFERROR(INDEX('DESEMPATE Y DISCAPACIDAD'!$D$3:$D$450,MATCH(C15,'DESEMPATE Y DISCAPACIDAD'!$C$3:$C$450,0)),"")</f>
        <v>INTECSA ENGINEERING GROUP, S.A. UNIPERSONAL SUCURSAL COLOMBIA</v>
      </c>
      <c r="E15" s="127" t="str">
        <f>IFERROR(IF(D15="","",IF(VLOOKUP(D15,'DESEMPATE Y DISCAPACIDAD'!D$3:$E$450,2,FALSE)=1,"N/A",IF(VLOOKUP(D15,'DESEMPATE Y DISCAPACIDAD'!D$3:$F$450,3,FALSE)="X","SI","NO"))),"")</f>
        <v>NO</v>
      </c>
      <c r="F15" s="121" t="s">
        <v>807</v>
      </c>
      <c r="G15" s="121" t="s">
        <v>736</v>
      </c>
      <c r="H15" s="125" t="s">
        <v>808</v>
      </c>
      <c r="I15" s="128" t="s">
        <v>809</v>
      </c>
      <c r="J15" s="179" t="s">
        <v>74</v>
      </c>
      <c r="K15" s="121" t="s">
        <v>75</v>
      </c>
      <c r="L15" s="121" t="s">
        <v>75</v>
      </c>
      <c r="M15" s="121" t="s">
        <v>74</v>
      </c>
      <c r="N15" s="125" t="str">
        <f t="shared" ref="N15:N22" si="23">IFERROR(IF(OR(J15="",K15=""),"",IF(J15="NO","NO",K15)),"")</f>
        <v>NO</v>
      </c>
      <c r="O15" s="125" t="str">
        <f t="shared" si="17"/>
        <v>NO</v>
      </c>
      <c r="P15" s="125" t="str">
        <f t="shared" si="18"/>
        <v>SI</v>
      </c>
      <c r="Q15" s="125" t="str">
        <f t="shared" si="8"/>
        <v>SI</v>
      </c>
      <c r="R15" s="68">
        <v>1</v>
      </c>
      <c r="S15" s="129">
        <v>38058</v>
      </c>
      <c r="T15" s="129">
        <v>40068</v>
      </c>
      <c r="U15" s="125">
        <f t="shared" si="19"/>
        <v>2009</v>
      </c>
      <c r="V15" s="117">
        <f>IF(U15=2023,1160000,IFERROR(INDEX(SMMLV!$B$2:$B$101,MATCH(U15,SMMLV!$A$2:$A$101,0)),""))</f>
        <v>496900</v>
      </c>
      <c r="W15" s="117" t="s">
        <v>670</v>
      </c>
      <c r="X15" s="125" t="s">
        <v>671</v>
      </c>
      <c r="Y15" s="125">
        <v>75</v>
      </c>
      <c r="Z15" s="474" t="s">
        <v>74</v>
      </c>
      <c r="AA15" s="475"/>
      <c r="AB15" s="476"/>
      <c r="AC15" s="125" t="str">
        <f t="shared" si="16"/>
        <v>SI</v>
      </c>
      <c r="AD15" s="117" t="str">
        <f t="shared" si="10"/>
        <v>N/A</v>
      </c>
      <c r="AE15" s="21">
        <v>25239.06</v>
      </c>
      <c r="AF15" s="21">
        <f t="shared" si="11"/>
        <v>25239.06</v>
      </c>
      <c r="AG15" s="540"/>
      <c r="AH15" s="470"/>
      <c r="AI15" s="125" t="str">
        <f t="shared" si="12"/>
        <v>CUMPLE</v>
      </c>
      <c r="AJ15" s="470"/>
      <c r="AK15" s="470"/>
      <c r="AL15" s="472"/>
      <c r="AM15" s="496"/>
      <c r="AN15" s="121" t="s">
        <v>75</v>
      </c>
      <c r="AO15" s="490"/>
      <c r="AP15" s="121" t="s">
        <v>74</v>
      </c>
      <c r="AQ15" s="490"/>
      <c r="AR15" s="522"/>
      <c r="AS15" s="519"/>
      <c r="AT15" s="204"/>
      <c r="AU15" s="611"/>
      <c r="AV15" s="543"/>
      <c r="AW15" s="561"/>
      <c r="AX15" s="561"/>
      <c r="AY15" s="19"/>
      <c r="BZ15" s="4"/>
      <c r="CA15" s="4"/>
      <c r="CB15" s="29" t="str">
        <f>IFERROR(IF(COUNTIF(AF13:AF22,"")=10,"",IF(COUNTIF(E13:E22,"N/A")&gt;0,IF(AF15&gt;=CMEMM1,AF15,0),"N/A")),"")</f>
        <v>N/A</v>
      </c>
      <c r="CC15" s="4"/>
      <c r="CD15" s="4">
        <f>IFERROR(IF(COUNTIF(AF13:AF22,"")=10,"",IF(AF15="","",IF(AF15&gt;=CMEMM1,1,0))),"")</f>
        <v>1</v>
      </c>
      <c r="CE15" s="4" t="str">
        <f>B13&amp;"-0"&amp;3</f>
        <v>P02-03</v>
      </c>
      <c r="CF15" s="4" t="str">
        <f>IFERROR(INDEX('DESEMPATE Y DISCAPACIDAD'!$D$3:$D$450,MATCH(CE15,'DESEMPATE Y DISCAPACIDAD'!$C$3:$C$450,0)),"")</f>
        <v>JGF INGENIERIA S.A.S</v>
      </c>
      <c r="CG15" s="4">
        <f>IF(OR(CE15="",CF15=""),"",SUMIF(D13:D22,CF15,CD13:CD22))</f>
        <v>1</v>
      </c>
      <c r="CH15" s="4" t="str">
        <f t="shared" si="20"/>
        <v>CUMPLE</v>
      </c>
      <c r="CI15" s="4">
        <f t="shared" si="21"/>
        <v>1</v>
      </c>
      <c r="CJ15" s="4"/>
      <c r="CK15" s="4"/>
      <c r="CL15" s="4">
        <f t="shared" si="1"/>
        <v>0</v>
      </c>
      <c r="CM15" s="4">
        <f t="shared" si="2"/>
        <v>0</v>
      </c>
      <c r="CN15" s="4" t="str">
        <f t="shared" si="22"/>
        <v>N/A</v>
      </c>
      <c r="CO15" s="4"/>
      <c r="CP15" s="4"/>
      <c r="CQ15" s="29" t="str">
        <f t="shared" si="3"/>
        <v>N/A</v>
      </c>
      <c r="CR15" s="29">
        <f t="shared" si="4"/>
        <v>25239.06</v>
      </c>
      <c r="CS15" s="4"/>
      <c r="CT15" s="4"/>
      <c r="CU15" s="4"/>
      <c r="CV15" s="4"/>
      <c r="CW15" s="4"/>
      <c r="CX15" s="4"/>
      <c r="CY15" s="4"/>
    </row>
    <row r="16" spans="1:103" ht="45" customHeight="1">
      <c r="B16" s="481"/>
      <c r="C16" s="118" t="s">
        <v>219</v>
      </c>
      <c r="D16" s="126" t="str">
        <f>+IFERROR(INDEX('DESEMPATE Y DISCAPACIDAD'!$D$3:$D$450,MATCH(C16,'DESEMPATE Y DISCAPACIDAD'!$C$3:$C$450,0)),"")</f>
        <v>JGF INGENIERIA S.A.S</v>
      </c>
      <c r="E16" s="127" t="str">
        <f>IFERROR(IF(D16="","",IF(VLOOKUP(D16,'DESEMPATE Y DISCAPACIDAD'!D$3:$E$450,2,FALSE)=1,"N/A",IF(VLOOKUP(D16,'DESEMPATE Y DISCAPACIDAD'!D$3:$F$450,3,FALSE)="X","SI","NO"))),"")</f>
        <v>NO</v>
      </c>
      <c r="F16" s="125" t="s">
        <v>810</v>
      </c>
      <c r="G16" s="121" t="s">
        <v>660</v>
      </c>
      <c r="H16" s="125" t="s">
        <v>811</v>
      </c>
      <c r="I16" s="128" t="s">
        <v>812</v>
      </c>
      <c r="J16" s="121" t="s">
        <v>74</v>
      </c>
      <c r="K16" s="125" t="s">
        <v>74</v>
      </c>
      <c r="L16" s="125" t="s">
        <v>74</v>
      </c>
      <c r="M16" s="121" t="s">
        <v>75</v>
      </c>
      <c r="N16" s="125" t="str">
        <f t="shared" si="23"/>
        <v>SI</v>
      </c>
      <c r="O16" s="125" t="str">
        <f t="shared" si="17"/>
        <v>SI</v>
      </c>
      <c r="P16" s="125" t="str">
        <f t="shared" si="18"/>
        <v>NO</v>
      </c>
      <c r="Q16" s="125" t="str">
        <f t="shared" si="8"/>
        <v>SI</v>
      </c>
      <c r="R16" s="68">
        <v>0.51</v>
      </c>
      <c r="S16" s="129">
        <v>42963</v>
      </c>
      <c r="T16" s="129">
        <v>45925</v>
      </c>
      <c r="U16" s="125">
        <f t="shared" si="19"/>
        <v>2025</v>
      </c>
      <c r="V16" s="117" t="str">
        <f>IF(U16=2023,1160000,IFERROR(INDEX(SMMLV!$B$2:$B$101,MATCH(U16,SMMLV!$A$2:$A$101,0)),""))</f>
        <v/>
      </c>
      <c r="W16" s="117" t="s">
        <v>670</v>
      </c>
      <c r="X16" s="125" t="s">
        <v>671</v>
      </c>
      <c r="Y16" s="125">
        <v>33</v>
      </c>
      <c r="Z16" s="474" t="s">
        <v>74</v>
      </c>
      <c r="AA16" s="475"/>
      <c r="AB16" s="476"/>
      <c r="AC16" s="125" t="str">
        <f t="shared" si="16"/>
        <v>SI</v>
      </c>
      <c r="AD16" s="117" t="str">
        <f t="shared" si="10"/>
        <v>N/A</v>
      </c>
      <c r="AE16" s="21">
        <v>15002.66</v>
      </c>
      <c r="AF16" s="21">
        <f t="shared" si="11"/>
        <v>7651.3566000000001</v>
      </c>
      <c r="AG16" s="540"/>
      <c r="AH16" s="470"/>
      <c r="AI16" s="125" t="str">
        <f t="shared" si="12"/>
        <v>CUMPLE</v>
      </c>
      <c r="AJ16" s="470"/>
      <c r="AK16" s="470"/>
      <c r="AL16" s="472"/>
      <c r="AM16" s="496"/>
      <c r="AN16" s="121" t="s">
        <v>75</v>
      </c>
      <c r="AO16" s="490"/>
      <c r="AP16" s="121" t="s">
        <v>74</v>
      </c>
      <c r="AQ16" s="490"/>
      <c r="AR16" s="522"/>
      <c r="AS16" s="519"/>
      <c r="AT16" s="204"/>
      <c r="AU16" s="611"/>
      <c r="AV16" s="543"/>
      <c r="AW16" s="561"/>
      <c r="AX16" s="561"/>
      <c r="AY16" s="19"/>
      <c r="BZ16" s="4"/>
      <c r="CA16" s="4"/>
      <c r="CB16" s="29" t="str">
        <f>IFERROR(IF(COUNTIF(AF13:AF22,"")=10,"",IF(COUNTIF(E13:E22,"N/A")&gt;0,IF(AF16&gt;=CMEMM1,AF16,0),"N/A")),"")</f>
        <v>N/A</v>
      </c>
      <c r="CC16" s="4"/>
      <c r="CD16" s="4">
        <f>IFERROR(IF(COUNTIF(AF13:AF22,"")=10,"",IF(AF16="","",IF(AF16&gt;=CMEMM1,1,0))),"")</f>
        <v>1</v>
      </c>
      <c r="CE16" s="4" t="str">
        <f>B13&amp;"-0"&amp;4</f>
        <v>P02-04</v>
      </c>
      <c r="CF16" s="4">
        <f>IFERROR(INDEX('DESEMPATE Y DISCAPACIDAD'!$D$3:$D$450,MATCH(CE16,'DESEMPATE Y DISCAPACIDAD'!$C$3:$C$450,0)),"")</f>
        <v>0</v>
      </c>
      <c r="CG16" s="4">
        <f>IF(OR(CE16="",CF16=""),"",SUMIF(D13:D22,CF16,CD13:CD22))</f>
        <v>0</v>
      </c>
      <c r="CH16" s="4" t="str">
        <f t="shared" si="20"/>
        <v>NO CUMPLE</v>
      </c>
      <c r="CI16" s="4">
        <f t="shared" si="21"/>
        <v>0</v>
      </c>
      <c r="CJ16" s="4"/>
      <c r="CK16" s="4"/>
      <c r="CL16" s="4">
        <f t="shared" si="1"/>
        <v>1</v>
      </c>
      <c r="CM16" s="4">
        <f t="shared" si="2"/>
        <v>1</v>
      </c>
      <c r="CN16" s="4" t="str">
        <f t="shared" si="22"/>
        <v>COND. A Y B</v>
      </c>
      <c r="CO16" s="4"/>
      <c r="CP16" s="4"/>
      <c r="CQ16" s="29" t="str">
        <f t="shared" si="3"/>
        <v>N/A</v>
      </c>
      <c r="CR16" s="29">
        <f t="shared" si="4"/>
        <v>7651.3566000000001</v>
      </c>
      <c r="CS16" s="4"/>
      <c r="CT16" s="4"/>
      <c r="CU16" s="4"/>
      <c r="CV16" s="4"/>
      <c r="CW16" s="4"/>
      <c r="CX16" s="4"/>
      <c r="CY16" s="4"/>
    </row>
    <row r="17" spans="1:103" ht="2" customHeight="1">
      <c r="B17" s="481"/>
      <c r="C17" s="118"/>
      <c r="D17" s="126" t="str">
        <f>+IFERROR(INDEX('DESEMPATE Y DISCAPACIDAD'!$D$3:$D$450,MATCH(C17,'DESEMPATE Y DISCAPACIDAD'!$C$3:$C$450,0)),"")</f>
        <v/>
      </c>
      <c r="E17" s="127" t="str">
        <f>IFERROR(IF(D17="","",IF(VLOOKUP(D17,'DESEMPATE Y DISCAPACIDAD'!D$3:$E$450,2,FALSE)=1,"N/A",IF(VLOOKUP(D17,'DESEMPATE Y DISCAPACIDAD'!D$3:$F$450,3,FALSE)="X","SI","NO"))),"")</f>
        <v/>
      </c>
      <c r="F17" s="125"/>
      <c r="G17" s="121"/>
      <c r="H17" s="125"/>
      <c r="I17" s="128"/>
      <c r="J17" s="121"/>
      <c r="K17" s="121"/>
      <c r="L17" s="121"/>
      <c r="M17" s="121"/>
      <c r="N17" s="125" t="str">
        <f t="shared" si="23"/>
        <v/>
      </c>
      <c r="O17" s="125" t="str">
        <f t="shared" si="17"/>
        <v/>
      </c>
      <c r="P17" s="125" t="str">
        <f t="shared" si="18"/>
        <v/>
      </c>
      <c r="Q17" s="125" t="str">
        <f t="shared" si="8"/>
        <v/>
      </c>
      <c r="R17" s="68"/>
      <c r="S17" s="129"/>
      <c r="T17" s="129"/>
      <c r="U17" s="125" t="str">
        <f t="shared" si="19"/>
        <v/>
      </c>
      <c r="V17" s="117" t="str">
        <f>IF(U17=2023,1160000,IFERROR(INDEX(SMMLV!$B$2:$B$101,MATCH(U17,SMMLV!$A$2:$A$101,0)),""))</f>
        <v/>
      </c>
      <c r="W17" s="117"/>
      <c r="X17" s="125"/>
      <c r="Y17" s="125"/>
      <c r="Z17" s="474"/>
      <c r="AA17" s="475"/>
      <c r="AB17" s="476"/>
      <c r="AC17" s="125" t="str">
        <f t="shared" si="16"/>
        <v/>
      </c>
      <c r="AD17" s="117" t="str">
        <f t="shared" si="10"/>
        <v/>
      </c>
      <c r="AE17" s="21" t="s">
        <v>894</v>
      </c>
      <c r="AF17" s="21" t="str">
        <f t="shared" si="11"/>
        <v/>
      </c>
      <c r="AG17" s="540"/>
      <c r="AH17" s="470"/>
      <c r="AI17" s="125" t="str">
        <f t="shared" si="12"/>
        <v/>
      </c>
      <c r="AJ17" s="470"/>
      <c r="AK17" s="470"/>
      <c r="AL17" s="472"/>
      <c r="AM17" s="496"/>
      <c r="AN17" s="125"/>
      <c r="AO17" s="490"/>
      <c r="AP17" s="125"/>
      <c r="AQ17" s="490"/>
      <c r="AR17" s="522"/>
      <c r="AS17" s="519"/>
      <c r="AT17" s="205"/>
      <c r="AU17" s="611"/>
      <c r="AV17" s="543"/>
      <c r="AW17" s="561"/>
      <c r="AX17" s="561"/>
      <c r="AY17" s="19"/>
      <c r="BZ17" s="4"/>
      <c r="CA17" s="4"/>
      <c r="CB17" s="29" t="str">
        <f>IFERROR(IF(COUNTIF(AF13:AF22,"")=10,"",IF(COUNTIF(E13:E22,"N/A")&gt;0,IF(AF17&gt;=CMEMM1,AF17,0),"N/A")),"")</f>
        <v>N/A</v>
      </c>
      <c r="CC17" s="4"/>
      <c r="CD17" s="4" t="str">
        <f>IFERROR(IF(COUNTIF(AF13:AF22,"")=10,"",IF(AF17="","",IF(AF17&gt;=CMEMM1,1,0))),"")</f>
        <v/>
      </c>
      <c r="CE17" s="4" t="str">
        <f>B13&amp;"-0"&amp;5</f>
        <v>P02-05</v>
      </c>
      <c r="CF17" s="4">
        <f>IFERROR(INDEX('DESEMPATE Y DISCAPACIDAD'!$D$3:$D$450,MATCH(CE17,'DESEMPATE Y DISCAPACIDAD'!$C$3:$C$450,0)),"")</f>
        <v>0</v>
      </c>
      <c r="CG17" s="4">
        <f>IF(OR(CE17="",CF17=""),"",SUMIF(D13:D22,CF17,CD13:CD22))</f>
        <v>0</v>
      </c>
      <c r="CH17" s="4" t="str">
        <f t="shared" si="20"/>
        <v>NO CUMPLE</v>
      </c>
      <c r="CI17" s="4">
        <f t="shared" si="21"/>
        <v>0</v>
      </c>
      <c r="CJ17" s="4"/>
      <c r="CK17" s="4"/>
      <c r="CL17" s="4" t="str">
        <f t="shared" si="1"/>
        <v/>
      </c>
      <c r="CM17" s="4" t="str">
        <f t="shared" si="2"/>
        <v/>
      </c>
      <c r="CN17" s="4" t="str">
        <f t="shared" si="22"/>
        <v/>
      </c>
      <c r="CO17" s="4"/>
      <c r="CP17" s="4"/>
      <c r="CQ17" s="29" t="str">
        <f t="shared" si="3"/>
        <v/>
      </c>
      <c r="CR17" s="29" t="str">
        <f t="shared" si="4"/>
        <v/>
      </c>
      <c r="CS17" s="4"/>
      <c r="CT17" s="4"/>
      <c r="CU17" s="4"/>
      <c r="CV17" s="4"/>
      <c r="CW17" s="4"/>
      <c r="CX17" s="4"/>
      <c r="CY17" s="4"/>
    </row>
    <row r="18" spans="1:103" ht="2" customHeight="1">
      <c r="B18" s="481"/>
      <c r="C18" s="118"/>
      <c r="D18" s="126" t="str">
        <f>+IFERROR(INDEX('DESEMPATE Y DISCAPACIDAD'!$D$3:$D$450,MATCH(C18,'DESEMPATE Y DISCAPACIDAD'!$C$3:$C$450,0)),"")</f>
        <v/>
      </c>
      <c r="E18" s="127" t="str">
        <f>IFERROR(IF(D18="","",IF(VLOOKUP(D18,'DESEMPATE Y DISCAPACIDAD'!D$3:$E$450,2,FALSE)=1,"N/A",IF(VLOOKUP(D18,'DESEMPATE Y DISCAPACIDAD'!D$3:$F$450,3,FALSE)="X","SI","NO"))),"")</f>
        <v/>
      </c>
      <c r="F18" s="125"/>
      <c r="G18" s="121"/>
      <c r="H18" s="125"/>
      <c r="I18" s="128"/>
      <c r="J18" s="125"/>
      <c r="K18" s="125"/>
      <c r="L18" s="125"/>
      <c r="M18" s="125"/>
      <c r="N18" s="125" t="str">
        <f t="shared" si="23"/>
        <v/>
      </c>
      <c r="O18" s="125" t="str">
        <f t="shared" si="17"/>
        <v/>
      </c>
      <c r="P18" s="125" t="str">
        <f t="shared" si="18"/>
        <v/>
      </c>
      <c r="Q18" s="125" t="str">
        <f t="shared" si="8"/>
        <v/>
      </c>
      <c r="R18" s="68"/>
      <c r="S18" s="129"/>
      <c r="T18" s="129"/>
      <c r="U18" s="125" t="str">
        <f t="shared" si="19"/>
        <v/>
      </c>
      <c r="V18" s="117" t="str">
        <f>IF(U18=2023,1160000,IFERROR(INDEX(SMMLV!$B$2:$B$101,MATCH(U18,SMMLV!$A$2:$A$101,0)),""))</f>
        <v/>
      </c>
      <c r="W18" s="117"/>
      <c r="X18" s="125"/>
      <c r="Y18" s="125"/>
      <c r="Z18" s="474"/>
      <c r="AA18" s="475"/>
      <c r="AB18" s="476"/>
      <c r="AC18" s="125" t="str">
        <f t="shared" ref="AC18:AC23" si="24">IFERROR(IF(Y18="","",IF(ISNUMBER(Y18),IF(COUNTIF(Z18,"SI")&gt;0,"SI","NO"),Y18)),"")</f>
        <v/>
      </c>
      <c r="AD18" s="117" t="str">
        <f t="shared" si="10"/>
        <v/>
      </c>
      <c r="AE18" s="21" t="s">
        <v>894</v>
      </c>
      <c r="AF18" s="21" t="str">
        <f t="shared" si="11"/>
        <v/>
      </c>
      <c r="AG18" s="540"/>
      <c r="AH18" s="470"/>
      <c r="AI18" s="125" t="str">
        <f t="shared" si="12"/>
        <v/>
      </c>
      <c r="AJ18" s="470"/>
      <c r="AK18" s="470"/>
      <c r="AL18" s="472"/>
      <c r="AM18" s="496"/>
      <c r="AN18" s="125"/>
      <c r="AO18" s="490"/>
      <c r="AP18" s="125"/>
      <c r="AQ18" s="490"/>
      <c r="AR18" s="522"/>
      <c r="AS18" s="519"/>
      <c r="AT18" s="204"/>
      <c r="AU18" s="611"/>
      <c r="AV18" s="543"/>
      <c r="AW18" s="561"/>
      <c r="AX18" s="561"/>
      <c r="AY18" s="19"/>
      <c r="BZ18" s="4"/>
      <c r="CA18" s="4"/>
      <c r="CB18" s="29" t="str">
        <f>IFERROR(IF(COUNTIF(AF13:AF22,"")=10,"",IF(COUNTIF(E13:E22,"N/A")&gt;0,IF(AF18&gt;=CMEMM1,AF18,0),"N/A")),"")</f>
        <v>N/A</v>
      </c>
      <c r="CC18" s="4"/>
      <c r="CD18" s="4" t="str">
        <f>IFERROR(IF(COUNTIF(AF13:AF22,"")=10,"",IF(AF18="","",IF(AF18&gt;=CMEMM1,1,0))),"")</f>
        <v/>
      </c>
      <c r="CE18" s="4" t="str">
        <f>B13&amp;"-0"&amp;6</f>
        <v>P02-06</v>
      </c>
      <c r="CF18" s="4">
        <f>IFERROR(INDEX('DESEMPATE Y DISCAPACIDAD'!$D$3:$D$450,MATCH(CE18,'DESEMPATE Y DISCAPACIDAD'!$C$3:$C$450,0)),"")</f>
        <v>0</v>
      </c>
      <c r="CG18" s="4">
        <f>IF(OR(CE18="",CF18=""),"",SUMIF(D13:D22,CF18,CD13:CD22))</f>
        <v>0</v>
      </c>
      <c r="CH18" s="4" t="str">
        <f t="shared" si="20"/>
        <v>NO CUMPLE</v>
      </c>
      <c r="CI18" s="4">
        <f t="shared" si="21"/>
        <v>0</v>
      </c>
      <c r="CJ18" s="4"/>
      <c r="CK18" s="4"/>
      <c r="CL18" s="4" t="str">
        <f t="shared" si="1"/>
        <v/>
      </c>
      <c r="CM18" s="4" t="str">
        <f t="shared" si="2"/>
        <v/>
      </c>
      <c r="CN18" s="4" t="str">
        <f t="shared" si="22"/>
        <v/>
      </c>
      <c r="CO18" s="4"/>
      <c r="CP18" s="4"/>
      <c r="CQ18" s="29" t="str">
        <f t="shared" si="3"/>
        <v/>
      </c>
      <c r="CR18" s="29" t="str">
        <f t="shared" si="4"/>
        <v/>
      </c>
      <c r="CS18" s="4"/>
      <c r="CT18" s="4"/>
      <c r="CU18" s="4"/>
      <c r="CV18" s="4"/>
      <c r="CW18" s="4"/>
      <c r="CX18" s="4"/>
      <c r="CY18" s="4"/>
    </row>
    <row r="19" spans="1:103" ht="2" customHeight="1">
      <c r="B19" s="481"/>
      <c r="C19" s="118"/>
      <c r="D19" s="126" t="str">
        <f>+IFERROR(INDEX('DESEMPATE Y DISCAPACIDAD'!$D$3:$D$450,MATCH(C19,'DESEMPATE Y DISCAPACIDAD'!$C$3:$C$450,0)),"")</f>
        <v/>
      </c>
      <c r="E19" s="127" t="str">
        <f>IFERROR(IF(D19="","",IF(VLOOKUP(D19,'DESEMPATE Y DISCAPACIDAD'!D$3:$E$450,2,FALSE)=1,"N/A",IF(VLOOKUP(D19,'DESEMPATE Y DISCAPACIDAD'!D$3:$F$450,3,FALSE)="X","SI","NO"))),"")</f>
        <v/>
      </c>
      <c r="F19" s="125"/>
      <c r="G19" s="121"/>
      <c r="H19" s="125"/>
      <c r="I19" s="128"/>
      <c r="J19" s="125"/>
      <c r="K19" s="125"/>
      <c r="L19" s="125"/>
      <c r="M19" s="125"/>
      <c r="N19" s="125" t="str">
        <f t="shared" si="23"/>
        <v/>
      </c>
      <c r="O19" s="125" t="str">
        <f t="shared" si="17"/>
        <v/>
      </c>
      <c r="P19" s="125" t="str">
        <f t="shared" si="18"/>
        <v/>
      </c>
      <c r="Q19" s="125" t="str">
        <f t="shared" si="8"/>
        <v/>
      </c>
      <c r="R19" s="68"/>
      <c r="S19" s="129"/>
      <c r="T19" s="129"/>
      <c r="U19" s="125" t="str">
        <f t="shared" si="19"/>
        <v/>
      </c>
      <c r="V19" s="117" t="str">
        <f>IF(U19=2023,1160000,IFERROR(INDEX(SMMLV!$B$2:$B$101,MATCH(U19,SMMLV!$A$2:$A$101,0)),""))</f>
        <v/>
      </c>
      <c r="W19" s="117"/>
      <c r="X19" s="125"/>
      <c r="Y19" s="125"/>
      <c r="Z19" s="474"/>
      <c r="AA19" s="475"/>
      <c r="AB19" s="476"/>
      <c r="AC19" s="125" t="str">
        <f t="shared" si="24"/>
        <v/>
      </c>
      <c r="AD19" s="117" t="str">
        <f t="shared" si="10"/>
        <v/>
      </c>
      <c r="AE19" s="21" t="s">
        <v>894</v>
      </c>
      <c r="AF19" s="21" t="str">
        <f>IFERROR(IF(OR(J19="",J19="NO"),"",IF(AND(J19="SI",Q19="SI"),IFERROR(AE19*R19,""),"")),"")</f>
        <v/>
      </c>
      <c r="AG19" s="540"/>
      <c r="AH19" s="470"/>
      <c r="AI19" s="125" t="str">
        <f t="shared" si="12"/>
        <v/>
      </c>
      <c r="AJ19" s="470"/>
      <c r="AK19" s="470"/>
      <c r="AL19" s="472"/>
      <c r="AM19" s="496"/>
      <c r="AN19" s="125"/>
      <c r="AO19" s="490"/>
      <c r="AP19" s="125"/>
      <c r="AQ19" s="490"/>
      <c r="AR19" s="522"/>
      <c r="AS19" s="519"/>
      <c r="AT19" s="204"/>
      <c r="AU19" s="611"/>
      <c r="AV19" s="543"/>
      <c r="AW19" s="561"/>
      <c r="AX19" s="561"/>
      <c r="AY19" s="19"/>
      <c r="BZ19" s="4"/>
      <c r="CA19" s="4"/>
      <c r="CB19" s="29" t="str">
        <f>IFERROR(IF(COUNTIF(AF13:AF22,"")=10,"",IF(COUNTIF(E13:E22,"N/A")&gt;0,IF(AF19&gt;=CMEMM1,AF19,0),"N/A")),"")</f>
        <v>N/A</v>
      </c>
      <c r="CC19" s="4"/>
      <c r="CD19" s="4" t="str">
        <f>IFERROR(IF(COUNTIF(AF13:AF22,"")=10,"",IF(AF19="","",IF(AF19&gt;=CMEMM1,1,0))),"")</f>
        <v/>
      </c>
      <c r="CE19" s="4" t="str">
        <f>B13&amp;"-0"&amp;7</f>
        <v>P02-07</v>
      </c>
      <c r="CF19" s="4" t="str">
        <f>IFERROR(INDEX('DESEMPATE Y DISCAPACIDAD'!$D$3:$D$450,MATCH(CE19,'DESEMPATE Y DISCAPACIDAD'!$C$3:$C$450,0)),"")</f>
        <v/>
      </c>
      <c r="CG19" s="4" t="str">
        <f>IF(OR(CE19="",CF19=""),"",SUMIF(D13:D22,CF19,CD13:CD22))</f>
        <v/>
      </c>
      <c r="CH19" s="4" t="str">
        <f t="shared" si="20"/>
        <v/>
      </c>
      <c r="CI19" s="4" t="str">
        <f t="shared" si="21"/>
        <v/>
      </c>
      <c r="CJ19" s="4"/>
      <c r="CK19" s="4"/>
      <c r="CL19" s="4" t="str">
        <f t="shared" si="1"/>
        <v/>
      </c>
      <c r="CM19" s="4" t="str">
        <f t="shared" si="2"/>
        <v/>
      </c>
      <c r="CN19" s="4" t="str">
        <f t="shared" si="22"/>
        <v/>
      </c>
      <c r="CO19" s="4"/>
      <c r="CP19" s="4"/>
      <c r="CQ19" s="29" t="str">
        <f t="shared" si="3"/>
        <v/>
      </c>
      <c r="CR19" s="29" t="str">
        <f t="shared" si="4"/>
        <v/>
      </c>
      <c r="CS19" s="4"/>
      <c r="CT19" s="4"/>
      <c r="CU19" s="4"/>
      <c r="CV19" s="4"/>
      <c r="CW19" s="4"/>
      <c r="CX19" s="4"/>
      <c r="CY19" s="4"/>
    </row>
    <row r="20" spans="1:103" ht="2" customHeight="1">
      <c r="B20" s="481"/>
      <c r="C20" s="118"/>
      <c r="D20" s="126" t="str">
        <f>+IFERROR(INDEX('DESEMPATE Y DISCAPACIDAD'!$D$3:$D$450,MATCH(C20,'DESEMPATE Y DISCAPACIDAD'!$C$3:$C$450,0)),"")</f>
        <v/>
      </c>
      <c r="E20" s="127" t="str">
        <f>IFERROR(IF(D20="","",IF(VLOOKUP(D20,'DESEMPATE Y DISCAPACIDAD'!D$3:$E$450,2,FALSE)=1,"N/A",IF(VLOOKUP(D20,'DESEMPATE Y DISCAPACIDAD'!D$3:$F$450,3,FALSE)="X","SI","NO"))),"")</f>
        <v/>
      </c>
      <c r="F20" s="125"/>
      <c r="G20" s="125"/>
      <c r="H20" s="125"/>
      <c r="I20" s="128"/>
      <c r="J20" s="125"/>
      <c r="K20" s="125"/>
      <c r="L20" s="125"/>
      <c r="M20" s="125"/>
      <c r="N20" s="125" t="str">
        <f t="shared" si="23"/>
        <v/>
      </c>
      <c r="O20" s="125" t="str">
        <f t="shared" si="17"/>
        <v/>
      </c>
      <c r="P20" s="125" t="str">
        <f t="shared" si="18"/>
        <v/>
      </c>
      <c r="Q20" s="125" t="str">
        <f t="shared" si="8"/>
        <v/>
      </c>
      <c r="R20" s="68"/>
      <c r="S20" s="129"/>
      <c r="T20" s="129"/>
      <c r="U20" s="125" t="str">
        <f t="shared" si="19"/>
        <v/>
      </c>
      <c r="V20" s="117" t="str">
        <f>IF(U20=2023,1160000,IFERROR(INDEX(SMMLV!$B$2:$B$101,MATCH(U20,SMMLV!$A$2:$A$101,0)),""))</f>
        <v/>
      </c>
      <c r="W20" s="117"/>
      <c r="X20" s="125"/>
      <c r="Y20" s="125"/>
      <c r="Z20" s="474"/>
      <c r="AA20" s="475"/>
      <c r="AB20" s="476"/>
      <c r="AC20" s="125" t="str">
        <f t="shared" si="24"/>
        <v/>
      </c>
      <c r="AD20" s="117" t="str">
        <f t="shared" si="10"/>
        <v/>
      </c>
      <c r="AE20" s="21" t="s">
        <v>894</v>
      </c>
      <c r="AF20" s="21" t="str">
        <f t="shared" si="11"/>
        <v/>
      </c>
      <c r="AG20" s="540"/>
      <c r="AH20" s="470"/>
      <c r="AI20" s="125" t="str">
        <f t="shared" si="12"/>
        <v/>
      </c>
      <c r="AJ20" s="470"/>
      <c r="AK20" s="470"/>
      <c r="AL20" s="472"/>
      <c r="AM20" s="496"/>
      <c r="AN20" s="125"/>
      <c r="AO20" s="490"/>
      <c r="AP20" s="125"/>
      <c r="AQ20" s="490"/>
      <c r="AR20" s="522"/>
      <c r="AS20" s="519"/>
      <c r="AT20" s="204"/>
      <c r="AU20" s="611"/>
      <c r="AV20" s="543"/>
      <c r="AW20" s="561"/>
      <c r="AX20" s="561"/>
      <c r="AY20" s="19"/>
      <c r="BZ20" s="4"/>
      <c r="CA20" s="4"/>
      <c r="CB20" s="29" t="str">
        <f>IFERROR(IF(COUNTIF(AF13:AF22,"")=10,"",IF(COUNTIF(E13:E22,"N/A")&gt;0,IF(AF20&gt;=CMEMM1,AF20,0),"N/A")),"")</f>
        <v>N/A</v>
      </c>
      <c r="CC20" s="4"/>
      <c r="CD20" s="4" t="str">
        <f>IFERROR(IF(COUNTIF(AF13:AF22,"")=10,"",IF(AF20="","",IF(AF20&gt;=CMEMM1,1,0))),"")</f>
        <v/>
      </c>
      <c r="CE20" s="4" t="str">
        <f>B13&amp;"-0"&amp;8</f>
        <v>P02-08</v>
      </c>
      <c r="CF20" s="4" t="str">
        <f>IFERROR(INDEX('DESEMPATE Y DISCAPACIDAD'!$D$3:$D$450,MATCH(CE20,'DESEMPATE Y DISCAPACIDAD'!$C$3:$C$450,0)),"")</f>
        <v/>
      </c>
      <c r="CG20" s="4" t="str">
        <f>IF(OR(CE20="",CF20=""),"",SUMIF(D13:D22,CF20,CD13:CD22))</f>
        <v/>
      </c>
      <c r="CH20" s="4" t="str">
        <f t="shared" si="20"/>
        <v/>
      </c>
      <c r="CI20" s="4" t="str">
        <f t="shared" si="21"/>
        <v/>
      </c>
      <c r="CJ20" s="4"/>
      <c r="CK20" s="4"/>
      <c r="CL20" s="4" t="str">
        <f t="shared" si="1"/>
        <v/>
      </c>
      <c r="CM20" s="4" t="str">
        <f t="shared" si="2"/>
        <v/>
      </c>
      <c r="CN20" s="4" t="str">
        <f t="shared" si="22"/>
        <v/>
      </c>
      <c r="CO20" s="4"/>
      <c r="CP20" s="4"/>
      <c r="CQ20" s="29" t="str">
        <f t="shared" si="3"/>
        <v/>
      </c>
      <c r="CR20" s="29" t="str">
        <f t="shared" si="4"/>
        <v/>
      </c>
      <c r="CS20" s="4"/>
      <c r="CT20" s="4"/>
      <c r="CU20" s="4"/>
      <c r="CV20" s="4"/>
      <c r="CW20" s="4"/>
      <c r="CX20" s="4"/>
      <c r="CY20" s="4"/>
    </row>
    <row r="21" spans="1:103" ht="2" customHeight="1">
      <c r="B21" s="481"/>
      <c r="C21" s="118"/>
      <c r="D21" s="126" t="str">
        <f>+IFERROR(INDEX('DESEMPATE Y DISCAPACIDAD'!$D$3:$D$450,MATCH(C21,'DESEMPATE Y DISCAPACIDAD'!$C$3:$C$450,0)),"")</f>
        <v/>
      </c>
      <c r="E21" s="127" t="str">
        <f>IFERROR(IF(D21="","",IF(VLOOKUP(D21,'DESEMPATE Y DISCAPACIDAD'!D$3:$E$450,2,FALSE)=1,"N/A",IF(VLOOKUP(D21,'DESEMPATE Y DISCAPACIDAD'!D$3:$F$450,3,FALSE)="X","SI","NO"))),"")</f>
        <v/>
      </c>
      <c r="F21" s="125"/>
      <c r="G21" s="125"/>
      <c r="H21" s="125"/>
      <c r="I21" s="128"/>
      <c r="J21" s="125"/>
      <c r="K21" s="125"/>
      <c r="L21" s="125"/>
      <c r="M21" s="125"/>
      <c r="N21" s="125" t="str">
        <f t="shared" si="23"/>
        <v/>
      </c>
      <c r="O21" s="125" t="str">
        <f t="shared" si="17"/>
        <v/>
      </c>
      <c r="P21" s="125" t="str">
        <f t="shared" si="18"/>
        <v/>
      </c>
      <c r="Q21" s="125" t="str">
        <f t="shared" si="8"/>
        <v/>
      </c>
      <c r="R21" s="68"/>
      <c r="S21" s="129"/>
      <c r="T21" s="129"/>
      <c r="U21" s="125" t="str">
        <f t="shared" si="19"/>
        <v/>
      </c>
      <c r="V21" s="117" t="str">
        <f>IF(U21=2023,1160000,IFERROR(INDEX(SMMLV!$B$2:$B$101,MATCH(U21,SMMLV!$A$2:$A$101,0)),""))</f>
        <v/>
      </c>
      <c r="W21" s="117"/>
      <c r="X21" s="125"/>
      <c r="Y21" s="125"/>
      <c r="Z21" s="474"/>
      <c r="AA21" s="475"/>
      <c r="AB21" s="476"/>
      <c r="AC21" s="125" t="str">
        <f t="shared" si="24"/>
        <v/>
      </c>
      <c r="AD21" s="117" t="str">
        <f t="shared" si="10"/>
        <v/>
      </c>
      <c r="AE21" s="21" t="s">
        <v>894</v>
      </c>
      <c r="AF21" s="21" t="str">
        <f t="shared" si="11"/>
        <v/>
      </c>
      <c r="AG21" s="540"/>
      <c r="AH21" s="470"/>
      <c r="AI21" s="125" t="str">
        <f t="shared" si="12"/>
        <v/>
      </c>
      <c r="AJ21" s="470"/>
      <c r="AK21" s="470"/>
      <c r="AL21" s="472"/>
      <c r="AM21" s="496"/>
      <c r="AN21" s="125"/>
      <c r="AO21" s="490"/>
      <c r="AP21" s="125"/>
      <c r="AQ21" s="490"/>
      <c r="AR21" s="522"/>
      <c r="AS21" s="519"/>
      <c r="AT21" s="204"/>
      <c r="AU21" s="611"/>
      <c r="AV21" s="543"/>
      <c r="AW21" s="561"/>
      <c r="AX21" s="561"/>
      <c r="AY21" s="19"/>
      <c r="BZ21" s="4"/>
      <c r="CA21" s="4"/>
      <c r="CB21" s="29" t="str">
        <f>IFERROR(IF(COUNTIF(AF13:AF22,"")=10,"",IF(COUNTIF(E13:E22,"N/A")&gt;0,IF(AF21&gt;=CMEMM1,AF21,0),"N/A")),"")</f>
        <v>N/A</v>
      </c>
      <c r="CC21" s="4"/>
      <c r="CD21" s="4" t="str">
        <f>IFERROR(IF(COUNTIF(AF13:AF22,"")=10,"",IF(AF21="","",IF(AF21&gt;=CMEMM1,1,0))),"")</f>
        <v/>
      </c>
      <c r="CE21" s="4" t="str">
        <f>B13&amp;"-0"&amp;9</f>
        <v>P02-09</v>
      </c>
      <c r="CF21" s="4" t="str">
        <f>IFERROR(INDEX('DESEMPATE Y DISCAPACIDAD'!$D$3:$D$450,MATCH(CE21,'DESEMPATE Y DISCAPACIDAD'!$C$3:$C$450,0)),"")</f>
        <v/>
      </c>
      <c r="CG21" s="4" t="str">
        <f>IF(OR(CE21="",CF21=""),"",SUMIF(D13:D22,CF21,CD13:CD22))</f>
        <v/>
      </c>
      <c r="CH21" s="4" t="str">
        <f t="shared" si="20"/>
        <v/>
      </c>
      <c r="CI21" s="4" t="str">
        <f t="shared" si="21"/>
        <v/>
      </c>
      <c r="CJ21" s="4"/>
      <c r="CK21" s="4"/>
      <c r="CL21" s="4" t="str">
        <f t="shared" si="1"/>
        <v/>
      </c>
      <c r="CM21" s="4" t="str">
        <f t="shared" si="2"/>
        <v/>
      </c>
      <c r="CN21" s="4" t="str">
        <f t="shared" si="22"/>
        <v/>
      </c>
      <c r="CO21" s="4"/>
      <c r="CP21" s="4"/>
      <c r="CQ21" s="29" t="str">
        <f t="shared" si="3"/>
        <v/>
      </c>
      <c r="CR21" s="29" t="str">
        <f t="shared" si="4"/>
        <v/>
      </c>
      <c r="CS21" s="4"/>
      <c r="CT21" s="4"/>
      <c r="CU21" s="4"/>
      <c r="CV21" s="4"/>
      <c r="CW21" s="4"/>
      <c r="CX21" s="4"/>
      <c r="CY21" s="4"/>
    </row>
    <row r="22" spans="1:103" ht="2" customHeight="1" thickBot="1">
      <c r="B22" s="482"/>
      <c r="C22" s="130"/>
      <c r="D22" s="131" t="str">
        <f>+IFERROR(INDEX('DESEMPATE Y DISCAPACIDAD'!$D$3:$D$450,MATCH(C22,'DESEMPATE Y DISCAPACIDAD'!$C$3:$C$450,0)),"")</f>
        <v/>
      </c>
      <c r="E22" s="132" t="str">
        <f>IFERROR(IF(D22="","",IF(VLOOKUP(D22,'DESEMPATE Y DISCAPACIDAD'!D$3:$E$450,2,FALSE)=1,"N/A",IF(VLOOKUP(D22,'DESEMPATE Y DISCAPACIDAD'!D$3:$F$450,3,FALSE)="X","SI","NO"))),"")</f>
        <v/>
      </c>
      <c r="F22" s="133"/>
      <c r="G22" s="133"/>
      <c r="H22" s="133"/>
      <c r="I22" s="134"/>
      <c r="J22" s="133"/>
      <c r="K22" s="133"/>
      <c r="L22" s="133"/>
      <c r="M22" s="133"/>
      <c r="N22" s="133" t="str">
        <f t="shared" si="23"/>
        <v/>
      </c>
      <c r="O22" s="133" t="str">
        <f t="shared" si="17"/>
        <v/>
      </c>
      <c r="P22" s="133" t="str">
        <f t="shared" si="18"/>
        <v/>
      </c>
      <c r="Q22" s="133" t="str">
        <f t="shared" si="8"/>
        <v/>
      </c>
      <c r="R22" s="104"/>
      <c r="S22" s="135"/>
      <c r="T22" s="135"/>
      <c r="U22" s="133" t="str">
        <f>IFERROR(IF(T22="","",YEAR(T22)),"")</f>
        <v/>
      </c>
      <c r="V22" s="136" t="str">
        <f>IF(U22=2023,1160000,IFERROR(INDEX(SMMLV!$B$2:$B$101,MATCH(U22,SMMLV!$A$2:$A$101,0)),""))</f>
        <v/>
      </c>
      <c r="W22" s="136"/>
      <c r="X22" s="133"/>
      <c r="Y22" s="133"/>
      <c r="Z22" s="487"/>
      <c r="AA22" s="488"/>
      <c r="AB22" s="489"/>
      <c r="AC22" s="133" t="str">
        <f t="shared" si="24"/>
        <v/>
      </c>
      <c r="AD22" s="136" t="str">
        <f t="shared" si="10"/>
        <v/>
      </c>
      <c r="AE22" s="21" t="s">
        <v>894</v>
      </c>
      <c r="AF22" s="22" t="str">
        <f t="shared" si="11"/>
        <v/>
      </c>
      <c r="AG22" s="541"/>
      <c r="AH22" s="471"/>
      <c r="AI22" s="133" t="str">
        <f t="shared" si="12"/>
        <v/>
      </c>
      <c r="AJ22" s="471"/>
      <c r="AK22" s="471"/>
      <c r="AL22" s="473"/>
      <c r="AM22" s="497"/>
      <c r="AN22" s="133"/>
      <c r="AO22" s="491"/>
      <c r="AP22" s="133"/>
      <c r="AQ22" s="491"/>
      <c r="AR22" s="523"/>
      <c r="AS22" s="520"/>
      <c r="AT22" s="206"/>
      <c r="AU22" s="612"/>
      <c r="AV22" s="544"/>
      <c r="AW22" s="562"/>
      <c r="AX22" s="562"/>
      <c r="AY22" s="19"/>
      <c r="BZ22" s="4"/>
      <c r="CA22" s="4"/>
      <c r="CB22" s="29" t="str">
        <f>IFERROR(IF(COUNTIF(AF13:AF22,"")=10,"",IF(COUNTIF(E13:E22,"N/A")&gt;0,IF(AF22&gt;=CMEMM1,AF22,0),"N/A")),"")</f>
        <v>N/A</v>
      </c>
      <c r="CC22" s="4"/>
      <c r="CD22" s="4" t="str">
        <f>IFERROR(IF(COUNTIF(AF13:AF22,"")=10,"",IF(AF22="","",IF(AF22&gt;=CMEMM1,1,0))),"")</f>
        <v/>
      </c>
      <c r="CE22" s="4" t="str">
        <f>B13&amp;"-"&amp;10</f>
        <v>P02-10</v>
      </c>
      <c r="CF22" s="4" t="str">
        <f>IFERROR(INDEX('DESEMPATE Y DISCAPACIDAD'!$D$3:$D$450,MATCH(CE22,'DESEMPATE Y DISCAPACIDAD'!$C$3:$C$450,0)),"")</f>
        <v/>
      </c>
      <c r="CG22" s="4" t="str">
        <f>IF(OR(CE22="",CF22=""),"",SUMIF(D13:D22,CF22,CD13:CD22))</f>
        <v/>
      </c>
      <c r="CH22" s="4" t="str">
        <f t="shared" si="20"/>
        <v/>
      </c>
      <c r="CI22" s="4" t="str">
        <f t="shared" si="21"/>
        <v/>
      </c>
      <c r="CJ22" s="4"/>
      <c r="CK22" s="4"/>
      <c r="CL22" s="4" t="str">
        <f t="shared" si="1"/>
        <v/>
      </c>
      <c r="CM22" s="4" t="str">
        <f t="shared" si="2"/>
        <v/>
      </c>
      <c r="CN22" s="4" t="str">
        <f t="shared" si="22"/>
        <v/>
      </c>
      <c r="CO22" s="4"/>
      <c r="CP22" s="4"/>
      <c r="CQ22" s="29" t="str">
        <f t="shared" si="3"/>
        <v/>
      </c>
      <c r="CR22" s="29" t="str">
        <f t="shared" si="4"/>
        <v/>
      </c>
      <c r="CS22" s="4"/>
      <c r="CT22" s="4"/>
      <c r="CU22" s="4"/>
      <c r="CV22" s="4"/>
      <c r="CW22" s="4"/>
      <c r="CX22" s="4"/>
      <c r="CY22" s="4"/>
    </row>
    <row r="23" spans="1:103" ht="45" customHeight="1">
      <c r="A23" s="4" t="str">
        <f>"A"&amp;B23</f>
        <v>AP03</v>
      </c>
      <c r="B23" s="480" t="s">
        <v>124</v>
      </c>
      <c r="C23" s="108" t="s">
        <v>173</v>
      </c>
      <c r="D23" s="119" t="str">
        <f>+IFERROR(INDEX('DESEMPATE Y DISCAPACIDAD'!$D$3:$D$450,MATCH(C23,'DESEMPATE Y DISCAPACIDAD'!$C$3:$C$450,0)),"")</f>
        <v>AIM ENGINEERING S.A.S</v>
      </c>
      <c r="E23" s="120" t="str">
        <f>IFERROR(IF(D23="","",IF(VLOOKUP(D23,'DESEMPATE Y DISCAPACIDAD'!D$3:$E$450,2,FALSE)=1,"N/A",IF(VLOOKUP(D23,'DESEMPATE Y DISCAPACIDAD'!D$3:$F$450,3,FALSE)="X","SI","NO"))),"")</f>
        <v>NO</v>
      </c>
      <c r="F23" s="125" t="s">
        <v>663</v>
      </c>
      <c r="G23" s="244" t="s">
        <v>660</v>
      </c>
      <c r="H23" s="244" t="s">
        <v>813</v>
      </c>
      <c r="I23" s="245" t="s">
        <v>814</v>
      </c>
      <c r="J23" s="121" t="s">
        <v>74</v>
      </c>
      <c r="K23" s="121" t="s">
        <v>74</v>
      </c>
      <c r="L23" s="121" t="s">
        <v>74</v>
      </c>
      <c r="M23" s="121" t="s">
        <v>75</v>
      </c>
      <c r="N23" s="121" t="str">
        <f>IFERROR(IF(OR(J23="",K23=""),"",IF(J23="NO","NO",K23)),"")</f>
        <v>SI</v>
      </c>
      <c r="O23" s="121" t="str">
        <f>IFERROR(IF(OR(J23="",L23=""),"",IF(J23="NO","NO",L23)),"")</f>
        <v>SI</v>
      </c>
      <c r="P23" s="121" t="str">
        <f>IFERROR(IF(OR(J23="",M23=""),"",IF(J23="NO","NO",M23)),"")</f>
        <v>NO</v>
      </c>
      <c r="Q23" s="121" t="str">
        <f t="shared" si="8"/>
        <v>SI</v>
      </c>
      <c r="R23" s="103">
        <v>0.51</v>
      </c>
      <c r="S23" s="123">
        <v>41953</v>
      </c>
      <c r="T23" s="123">
        <v>44895</v>
      </c>
      <c r="U23" s="121">
        <f>IFERROR(IF(T23="","",YEAR(T23)),"")</f>
        <v>2022</v>
      </c>
      <c r="V23" s="124">
        <f>IF(U23=2023,1160000,IFERROR(INDEX(SMMLV!$B$2:$B$101,MATCH(U23,SMMLV!$A$2:$A$101,0)),""))</f>
        <v>1000000</v>
      </c>
      <c r="W23" s="117" t="s">
        <v>670</v>
      </c>
      <c r="X23" s="121" t="s">
        <v>671</v>
      </c>
      <c r="Y23" s="121">
        <v>221</v>
      </c>
      <c r="Z23" s="483" t="s">
        <v>74</v>
      </c>
      <c r="AA23" s="484"/>
      <c r="AB23" s="485"/>
      <c r="AC23" s="121" t="str">
        <f t="shared" si="24"/>
        <v>SI</v>
      </c>
      <c r="AD23" s="124" t="str">
        <f t="shared" si="10"/>
        <v>N/A</v>
      </c>
      <c r="AE23" s="117">
        <v>40001.370000000003</v>
      </c>
      <c r="AF23" s="124">
        <f t="shared" si="11"/>
        <v>20400.698700000001</v>
      </c>
      <c r="AG23" s="486" t="str">
        <f>IFERROR(IF(COUNTIF(AF23:AF32,"")=10,"",IF(COUNTIF(E23:E32,"N/A")&gt;0,IF(SUM(CB23:CB32)&gt;=CMEM1,"CUMPLE","NO CUMPLE"),IF(SUM(AF23:AF32)&gt;=CMEM1,"CUMPLE","NO CUMPLE"))),"")</f>
        <v>CUMPLE</v>
      </c>
      <c r="AH23" s="486" t="str">
        <f>IF(COUNTIF(AF23:AF32,"")=10,"",IF(SUMIF(C23:C32,C23,AF23:AF32)&gt;=CMLM1,"CUMPLE",IF(SUMIF(C23:C32,C24,AF23:AF32)&gt;=CMLM1,"CUMPLE",IF(SUMIF(C23:C32,C25,AF23:AF32)&gt;=CMLM1,"CUMPLE",IF(SUMIF(C23:C32,C26,AF23:AF32)&gt;=CMLM1,"CUMPLE",IF(SUMIF(C23:C32,C27,AF23:AF32)&gt;=CMLM1,"CUMPLE",IF(SUMIF(C23:C32,C28,AF23:AF32)&gt;=CMLM1,"CUMPLE",IF(SUMIF(C23:C32,C29,AF23:AF32)&gt;=CMLM1,"CUMPLE",IF(SUMIF(C23:C32,C30,AF23:AF32)&gt;=CMLM1,"CUMPLE",IF(SUMIF(C23:C32,C31,AF23:AF32)&gt;=CMLM1,"CUMPLE",IF(SUMIF(C23:C32,C32,AF23:AF32)&gt;=CMLM1,"CUMPLE","NO CUMPLE")))))))))))</f>
        <v>CUMPLE</v>
      </c>
      <c r="AI23" s="121" t="str">
        <f t="shared" si="12"/>
        <v>CUMPLE</v>
      </c>
      <c r="AJ23" s="469" t="str">
        <f>IFERROR(IF(COUNTIF(AF23:AF32,"")=10,"",IF(COUNTIF(E23:E32,"N/A")&gt;0,"N/A",CJ23)),"")</f>
        <v>CUMPLE</v>
      </c>
      <c r="AK23" s="469" t="str">
        <f>IFERROR(IF(AND(COUNTIF(N23:N32,"SI")&gt;=1,COUNTIF(O23:O32,"SI")&gt;=1,COUNTIF(P23:P32,"SI")&gt;=1,COUNTIF(J23:J32,"SI")&lt;=10,CO23="CUMPLE"),"CUMPLE","NO CUMPLE"),"")</f>
        <v>CUMPLE</v>
      </c>
      <c r="AL23" s="527" t="s">
        <v>77</v>
      </c>
      <c r="AM23" s="504">
        <f>IFERROR(IF(B23&lt;&gt;"",IF(VLOOKUP(B23,'DESEMPATE Y DISCAPACIDAD'!$A$3:$Q$450,10,FALSE)="","",VLOOKUP(B23,'DESEMPATE Y DISCAPACIDAD'!$A$3:$Q$450,10,FALSE)+6),""),"")</f>
        <v>8</v>
      </c>
      <c r="AN23" s="179" t="s">
        <v>75</v>
      </c>
      <c r="AO23" s="498" t="s">
        <v>74</v>
      </c>
      <c r="AP23" s="179" t="s">
        <v>74</v>
      </c>
      <c r="AQ23" s="498">
        <f>IFERROR(IF(COUNTIF(AP23:AP32,"")=10,"",IF(AO23="NO",0,COUNTIF(AP23:AP32,"SI"))),"")</f>
        <v>5</v>
      </c>
      <c r="AR23" s="599">
        <f>IFERROR(IF(COUNTIF(AF23:AF32,"")=10,"",IF(AO23="NO",0,IF(COUNTIF(E23:E32,"N/A")&gt;0,SUM(CQ23:CQ32),SUM(CR23:CR32)))),"")</f>
        <v>110603.8316</v>
      </c>
      <c r="AS23" s="586">
        <f>IFERROR(IF(OR(COUNTIF(AF23:AF32,"")=10,AQ23="",AR23=""),"",IF(AO23="NO",0,AR23/AQ23)),"")</f>
        <v>22120.766320000002</v>
      </c>
      <c r="AT23" s="207"/>
      <c r="AU23" s="610" t="s">
        <v>1345</v>
      </c>
      <c r="AV23" s="542" t="s">
        <v>747</v>
      </c>
      <c r="AW23" s="560" t="s">
        <v>747</v>
      </c>
      <c r="AX23" s="560" t="s">
        <v>747</v>
      </c>
      <c r="AY23" s="19"/>
      <c r="BZ23" s="4"/>
      <c r="CA23" s="4"/>
      <c r="CB23" s="29" t="str">
        <f>IFERROR(IF(COUNTIF(AF23:AF32,"")=10,"",IF(COUNTIF(E23:E32,"N/A")&gt;0,IF(AF23&gt;=CMEMM1,AF23,0),"N/A")),"")</f>
        <v>N/A</v>
      </c>
      <c r="CC23" s="4"/>
      <c r="CD23" s="4">
        <f>IFERROR(IF(COUNTIF(AF23:AF32,"")=10,"",IF(AF23="","",IF(AF23&gt;=CMEMM1,1,0))),"")</f>
        <v>1</v>
      </c>
      <c r="CE23" s="4" t="str">
        <f>B23&amp;"-0"&amp;1</f>
        <v>P03-01</v>
      </c>
      <c r="CF23" s="4" t="str">
        <f>IFERROR(INDEX('DESEMPATE Y DISCAPACIDAD'!$D$3:$D$450,MATCH(CE23,'DESEMPATE Y DISCAPACIDAD'!$C$3:$C$450,0)),"")</f>
        <v>AIM ENGINEERING S.A.S</v>
      </c>
      <c r="CG23" s="4">
        <f>IF(OR(CE23="",CF23=""),"",SUMIF(D23:D32,CF23,CD23:CD32))</f>
        <v>3</v>
      </c>
      <c r="CH23" s="4" t="str">
        <f>IF(OR(CE23="",CF23="",CG23=""),"",IF(CG23&gt;0,"CUMPLE","NO CUMPLE"))</f>
        <v>CUMPLE</v>
      </c>
      <c r="CI23" s="4">
        <f>IF(CF23="","",IF(ISTEXT(CF23),1,0))</f>
        <v>1</v>
      </c>
      <c r="CJ23" s="4" t="str">
        <f>IF(OR(CD23="",CE23="",CF23="",CG23="",CH23="",CI23=""),"",IF(COUNTIF(CH23:CH32,"CUMPLE")=COUNTIF(CI23:CI32,1),"CUMPLE","NO CUMPLE"))</f>
        <v>CUMPLE</v>
      </c>
      <c r="CK23" s="4"/>
      <c r="CL23" s="4">
        <f t="shared" si="1"/>
        <v>1</v>
      </c>
      <c r="CM23" s="4">
        <f t="shared" si="2"/>
        <v>1</v>
      </c>
      <c r="CN23" s="4" t="str">
        <f>IF(OR(CL23="",CM23=""),"",IF(AND(CL23=0,CM23=0),"N/A",IF(AND(CL23=1,CM23=0),"COND. A",IF(AND(CL23=0,CM23=1),"COND. B",IF(AND(CL23=1,CM23=1),"COND. A Y B","")))))</f>
        <v>COND. A Y B</v>
      </c>
      <c r="CO23" s="4" t="str">
        <f>IF(COUNTIF(CN23:CN32,"N/A")=10,"NO CUMPLE",IF(COUNTIF(CN23:CN32,"COND. A Y B")&gt;1,"CUMPLE",IF(AND(COUNTIF(CN23:CN32,"COND. A")&gt;0,COUNTIF(CN23:CN32,"COND. B")&gt;0),"CUMPLE",IF(AND(COUNTIF(CN23:CN32,"COND. A Y B")&gt;0,COUNTIF(CN23:CN32,"COND. A")&gt;0),"CUMPLE",IF(AND(COUNTIF(CN23:CN32,"COND. A Y B")&gt;0,COUNTIF(CN23:CN32,"COND. B")&gt;0),"CUMPLE","NO CUMPLE")))))</f>
        <v>CUMPLE</v>
      </c>
      <c r="CP23" s="4"/>
      <c r="CQ23" s="29" t="str">
        <f t="shared" si="3"/>
        <v>N/A</v>
      </c>
      <c r="CR23" s="29">
        <f t="shared" si="4"/>
        <v>20400.698700000001</v>
      </c>
      <c r="CS23" s="4"/>
      <c r="CT23" s="4"/>
      <c r="CU23" s="4"/>
      <c r="CV23" s="4"/>
      <c r="CW23" s="4"/>
      <c r="CX23" s="4"/>
      <c r="CY23" s="4"/>
    </row>
    <row r="24" spans="1:103" ht="45" customHeight="1">
      <c r="B24" s="481"/>
      <c r="C24" s="118" t="s">
        <v>173</v>
      </c>
      <c r="D24" s="119" t="str">
        <f>+IFERROR(INDEX('DESEMPATE Y DISCAPACIDAD'!$D$3:$D$450,MATCH(C24,'DESEMPATE Y DISCAPACIDAD'!$C$3:$C$450,0)),"")</f>
        <v>AIM ENGINEERING S.A.S</v>
      </c>
      <c r="E24" s="120" t="str">
        <f>IFERROR(IF(D24="","",IF(VLOOKUP(D24,'DESEMPATE Y DISCAPACIDAD'!D$3:$E$450,2,FALSE)=1,"N/A",IF(VLOOKUP(D24,'DESEMPATE Y DISCAPACIDAD'!D$3:$F$450,3,FALSE)="X","SI","NO"))),"")</f>
        <v>NO</v>
      </c>
      <c r="F24" s="125" t="s">
        <v>663</v>
      </c>
      <c r="G24" s="244" t="s">
        <v>660</v>
      </c>
      <c r="H24" s="246" t="s">
        <v>815</v>
      </c>
      <c r="I24" s="245" t="s">
        <v>816</v>
      </c>
      <c r="J24" s="121" t="s">
        <v>74</v>
      </c>
      <c r="K24" s="121" t="s">
        <v>74</v>
      </c>
      <c r="L24" s="121" t="s">
        <v>74</v>
      </c>
      <c r="M24" s="121" t="s">
        <v>75</v>
      </c>
      <c r="N24" s="121" t="str">
        <f t="shared" ref="N24:N32" si="25">IFERROR(IF(OR(J24="",K24=""),"",IF(J24="NO","NO",K24)),"")</f>
        <v>SI</v>
      </c>
      <c r="O24" s="121" t="str">
        <f t="shared" ref="O24:O32" si="26">IFERROR(IF(OR(J24="",L24=""),"",IF(J24="NO","NO",L24)),"")</f>
        <v>SI</v>
      </c>
      <c r="P24" s="121" t="str">
        <f t="shared" ref="P24:P32" si="27">IFERROR(IF(OR(J24="",M24=""),"",IF(J24="NO","NO",M24)),"")</f>
        <v>NO</v>
      </c>
      <c r="Q24" s="121" t="str">
        <f>IFERROR(IF(S24="","",IF(S24&gt;=DATE(1900,1,1),"SI","NO")),"")</f>
        <v>SI</v>
      </c>
      <c r="R24" s="103">
        <v>0.4</v>
      </c>
      <c r="S24" s="123">
        <v>41012</v>
      </c>
      <c r="T24" s="123">
        <v>44938</v>
      </c>
      <c r="U24" s="121">
        <f>IFERROR(IF(T24="","",YEAR(T24)),"")</f>
        <v>2023</v>
      </c>
      <c r="V24" s="124">
        <f>IF(U24=2023,1160000,IFERROR(INDEX(SMMLV!$B$2:$B$101,MATCH(U24,SMMLV!$A$2:$A$101,0)),""))</f>
        <v>1160000</v>
      </c>
      <c r="W24" s="117">
        <v>102465836655</v>
      </c>
      <c r="X24" s="125" t="s">
        <v>671</v>
      </c>
      <c r="Y24" s="125">
        <v>229</v>
      </c>
      <c r="Z24" s="474" t="s">
        <v>74</v>
      </c>
      <c r="AA24" s="475"/>
      <c r="AB24" s="476"/>
      <c r="AC24" s="125" t="str">
        <f t="shared" ref="AC24:AC32" si="28">IFERROR(IF(Y24="","",IF(ISNUMBER(Y24),IF(COUNTIF(Z24,"SI")&gt;0,"SI","NO"),Y24)),"")</f>
        <v>SI</v>
      </c>
      <c r="AD24" s="117">
        <f t="shared" si="10"/>
        <v>102465836655</v>
      </c>
      <c r="AE24" s="117">
        <v>88332.62</v>
      </c>
      <c r="AF24" s="117">
        <f t="shared" si="11"/>
        <v>35333.048000000003</v>
      </c>
      <c r="AG24" s="470"/>
      <c r="AH24" s="470"/>
      <c r="AI24" s="125" t="str">
        <f t="shared" si="12"/>
        <v>CUMPLE</v>
      </c>
      <c r="AJ24" s="470"/>
      <c r="AK24" s="470"/>
      <c r="AL24" s="527"/>
      <c r="AM24" s="505"/>
      <c r="AN24" s="3" t="s">
        <v>75</v>
      </c>
      <c r="AO24" s="498"/>
      <c r="AP24" s="3" t="s">
        <v>74</v>
      </c>
      <c r="AQ24" s="498"/>
      <c r="AR24" s="600"/>
      <c r="AS24" s="587"/>
      <c r="AT24" s="204"/>
      <c r="AU24" s="611"/>
      <c r="AV24" s="543"/>
      <c r="AW24" s="561"/>
      <c r="AX24" s="561"/>
      <c r="AY24" s="19"/>
      <c r="BZ24" s="4"/>
      <c r="CA24" s="4"/>
      <c r="CB24" s="29" t="str">
        <f>IFERROR(IF(COUNTIF(AF23:AF32,"")=10,"",IF(COUNTIF(E23:E32,"N/A")&gt;0,IF(AF24&gt;=CMEMM1,AF24,0),"N/A")),"")</f>
        <v>N/A</v>
      </c>
      <c r="CC24" s="4"/>
      <c r="CD24" s="4">
        <f>IFERROR(IF(COUNTIF(AF23:AF32,"")=10,"",IF(AF24="","",IF(AF24&gt;=CMEMM1,1,0))),"")</f>
        <v>1</v>
      </c>
      <c r="CE24" s="4" t="str">
        <f>B23&amp;"-0"&amp;2</f>
        <v>P03-02</v>
      </c>
      <c r="CF24" s="4" t="str">
        <f>IFERROR(INDEX('DESEMPATE Y DISCAPACIDAD'!$D$3:$D$450,MATCH(CE24,'DESEMPATE Y DISCAPACIDAD'!$C$3:$C$450,0)),"")</f>
        <v>COMPAÑÍA COLOMBIANA DE CONSULTORES S.A.S.</v>
      </c>
      <c r="CG24" s="4">
        <f>IF(OR(CE24="",CF24=""),"",SUMIF(D23:D32,CF24,CD23:CD32))</f>
        <v>3</v>
      </c>
      <c r="CH24" s="4" t="str">
        <f t="shared" ref="CH24:CH32" si="29">IF(OR(CE24="",CF24="",CG24=""),"",IF(CG24&gt;0,"CUMPLE","NO CUMPLE"))</f>
        <v>CUMPLE</v>
      </c>
      <c r="CI24" s="4">
        <f t="shared" ref="CI24:CI32" si="30">IF(CF24="","",IF(ISTEXT(CF24),1,0))</f>
        <v>1</v>
      </c>
      <c r="CJ24" s="4"/>
      <c r="CK24" s="4"/>
      <c r="CL24" s="4">
        <f t="shared" si="1"/>
        <v>1</v>
      </c>
      <c r="CM24" s="4">
        <f t="shared" si="2"/>
        <v>1</v>
      </c>
      <c r="CN24" s="4" t="str">
        <f t="shared" ref="CN24:CN32" si="31">IF(OR(CL24="",CM24=""),"",IF(AND(CL24=0,CM24=0),"N/A",IF(AND(CL24=1,CM24=0),"COND. A",IF(AND(CL24=0,CM24=1),"COND. B",IF(AND(CL24=1,CM24=1),"COND. A Y B","")))))</f>
        <v>COND. A Y B</v>
      </c>
      <c r="CO24" s="4"/>
      <c r="CP24" s="4"/>
      <c r="CQ24" s="29" t="str">
        <f t="shared" si="3"/>
        <v>N/A</v>
      </c>
      <c r="CR24" s="29">
        <f t="shared" si="4"/>
        <v>35333.048000000003</v>
      </c>
      <c r="CS24" s="4"/>
      <c r="CT24" s="4"/>
      <c r="CU24" s="4"/>
      <c r="CV24" s="4"/>
      <c r="CW24" s="4"/>
      <c r="CX24" s="4"/>
      <c r="CY24" s="4"/>
    </row>
    <row r="25" spans="1:103" ht="45" customHeight="1">
      <c r="B25" s="481"/>
      <c r="C25" s="118" t="s">
        <v>173</v>
      </c>
      <c r="D25" s="126" t="str">
        <f>+IFERROR(INDEX('DESEMPATE Y DISCAPACIDAD'!$D$3:$D$450,MATCH(C25,'DESEMPATE Y DISCAPACIDAD'!$C$3:$C$450,0)),"")</f>
        <v>AIM ENGINEERING S.A.S</v>
      </c>
      <c r="E25" s="127" t="str">
        <f>IFERROR(IF(D25="","",IF(VLOOKUP(D25,'DESEMPATE Y DISCAPACIDAD'!D$3:$E$450,2,FALSE)=1,"N/A",IF(VLOOKUP(D25,'DESEMPATE Y DISCAPACIDAD'!D$3:$F$450,3,FALSE)="X","SI","NO"))),"")</f>
        <v>NO</v>
      </c>
      <c r="F25" s="574" t="s">
        <v>741</v>
      </c>
      <c r="G25" s="576" t="s">
        <v>660</v>
      </c>
      <c r="H25" s="578" t="s">
        <v>817</v>
      </c>
      <c r="I25" s="580" t="s">
        <v>818</v>
      </c>
      <c r="J25" s="249" t="s">
        <v>74</v>
      </c>
      <c r="K25" s="582" t="s">
        <v>74</v>
      </c>
      <c r="L25" s="582" t="s">
        <v>75</v>
      </c>
      <c r="M25" s="582" t="s">
        <v>74</v>
      </c>
      <c r="N25" s="125" t="str">
        <f t="shared" si="25"/>
        <v>SI</v>
      </c>
      <c r="O25" s="125" t="str">
        <f t="shared" si="26"/>
        <v>NO</v>
      </c>
      <c r="P25" s="125" t="str">
        <f t="shared" si="27"/>
        <v>SI</v>
      </c>
      <c r="Q25" s="125" t="str">
        <f t="shared" si="8"/>
        <v>SI</v>
      </c>
      <c r="R25" s="68">
        <v>0.5</v>
      </c>
      <c r="S25" s="129">
        <v>41116</v>
      </c>
      <c r="T25" s="129">
        <v>42972</v>
      </c>
      <c r="U25" s="125">
        <f t="shared" ref="U25:U42" si="32">IFERROR(IF(T25="","",YEAR(T25)),"")</f>
        <v>2017</v>
      </c>
      <c r="V25" s="117">
        <f>IF(U25=2023,1160000,IFERROR(INDEX(SMMLV!$B$2:$B$101,MATCH(U25,SMMLV!$A$2:$A$101,0)),""))</f>
        <v>737717</v>
      </c>
      <c r="W25" s="117" t="s">
        <v>670</v>
      </c>
      <c r="X25" s="125" t="s">
        <v>671</v>
      </c>
      <c r="Y25" s="125">
        <v>163</v>
      </c>
      <c r="Z25" s="474" t="s">
        <v>74</v>
      </c>
      <c r="AA25" s="475"/>
      <c r="AB25" s="476"/>
      <c r="AC25" s="125" t="str">
        <f t="shared" si="28"/>
        <v>SI</v>
      </c>
      <c r="AD25" s="117" t="str">
        <f t="shared" si="10"/>
        <v>N/A</v>
      </c>
      <c r="AE25" s="117">
        <v>15113.79</v>
      </c>
      <c r="AF25" s="117">
        <f t="shared" si="11"/>
        <v>7556.8950000000004</v>
      </c>
      <c r="AG25" s="470"/>
      <c r="AH25" s="470"/>
      <c r="AI25" s="125" t="str">
        <f t="shared" si="12"/>
        <v>CUMPLE</v>
      </c>
      <c r="AJ25" s="470"/>
      <c r="AK25" s="470"/>
      <c r="AL25" s="527"/>
      <c r="AM25" s="505"/>
      <c r="AN25" s="574" t="s">
        <v>75</v>
      </c>
      <c r="AO25" s="498"/>
      <c r="AP25" s="574" t="s">
        <v>74</v>
      </c>
      <c r="AQ25" s="498"/>
      <c r="AR25" s="600"/>
      <c r="AS25" s="587"/>
      <c r="AT25" s="204"/>
      <c r="AU25" s="611"/>
      <c r="AV25" s="543"/>
      <c r="AW25" s="561"/>
      <c r="AX25" s="561"/>
      <c r="AY25" s="19"/>
      <c r="BZ25" s="4"/>
      <c r="CA25" s="4"/>
      <c r="CB25" s="29" t="str">
        <f>IFERROR(IF(COUNTIF(AF23:AF32,"")=10,"",IF(COUNTIF(E23:E32,"N/A")&gt;0,IF(AF25&gt;=CMEMM1,AF25,0),"N/A")),"")</f>
        <v>N/A</v>
      </c>
      <c r="CC25" s="4"/>
      <c r="CD25" s="4">
        <f>IFERROR(IF(COUNTIF(AF23:AF32,"")=10,"",IF(AF25="","",IF(AF25&gt;=CMEMM1,1,0))),"")</f>
        <v>1</v>
      </c>
      <c r="CE25" s="4" t="str">
        <f>B23&amp;"-0"&amp;3</f>
        <v>P03-03</v>
      </c>
      <c r="CF25" s="4">
        <f>IFERROR(INDEX('DESEMPATE Y DISCAPACIDAD'!$D$3:$D$450,MATCH(CE25,'DESEMPATE Y DISCAPACIDAD'!$C$3:$C$450,0)),"")</f>
        <v>0</v>
      </c>
      <c r="CG25" s="4">
        <f>IF(OR(CE25="",CF25=""),"",SUMIF(D23:D32,CF25,CD23:CD32))</f>
        <v>0</v>
      </c>
      <c r="CH25" s="4" t="str">
        <f t="shared" si="29"/>
        <v>NO CUMPLE</v>
      </c>
      <c r="CI25" s="4">
        <f t="shared" si="30"/>
        <v>0</v>
      </c>
      <c r="CJ25" s="4"/>
      <c r="CK25" s="4"/>
      <c r="CL25" s="4">
        <f t="shared" si="1"/>
        <v>1</v>
      </c>
      <c r="CM25" s="4">
        <f t="shared" si="2"/>
        <v>0</v>
      </c>
      <c r="CN25" s="4" t="str">
        <f t="shared" si="31"/>
        <v>COND. A</v>
      </c>
      <c r="CO25" s="4"/>
      <c r="CP25" s="4"/>
      <c r="CQ25" s="29" t="str">
        <f t="shared" si="3"/>
        <v>N/A</v>
      </c>
      <c r="CR25" s="29">
        <f t="shared" si="4"/>
        <v>7556.8950000000004</v>
      </c>
      <c r="CS25" s="4"/>
      <c r="CT25" s="4"/>
      <c r="CU25" s="4"/>
      <c r="CV25" s="4"/>
      <c r="CW25" s="4"/>
      <c r="CX25" s="4"/>
      <c r="CY25" s="4"/>
    </row>
    <row r="26" spans="1:103" ht="45" customHeight="1">
      <c r="B26" s="481"/>
      <c r="C26" s="247" t="s">
        <v>174</v>
      </c>
      <c r="D26" s="238" t="str">
        <f>+IFERROR(INDEX('DESEMPATE Y DISCAPACIDAD'!$D$3:$D$450,MATCH(C26,'DESEMPATE Y DISCAPACIDAD'!$C$3:$C$450,0)),"")</f>
        <v>COMPAÑÍA COLOMBIANA DE CONSULTORES S.A.S.</v>
      </c>
      <c r="E26" s="243" t="str">
        <f>IFERROR(IF(D26="","",IF(VLOOKUP(D26,'DESEMPATE Y DISCAPACIDAD'!D$3:$E$450,2,FALSE)=1,"N/A",IF(VLOOKUP(D26,'DESEMPATE Y DISCAPACIDAD'!D$3:$F$450,3,FALSE)="X","SI","NO"))),"")</f>
        <v>NO</v>
      </c>
      <c r="F26" s="575"/>
      <c r="G26" s="577"/>
      <c r="H26" s="579"/>
      <c r="I26" s="581"/>
      <c r="J26" s="249" t="s">
        <v>74</v>
      </c>
      <c r="K26" s="583"/>
      <c r="L26" s="583"/>
      <c r="M26" s="583"/>
      <c r="N26" s="125" t="str">
        <f t="shared" si="25"/>
        <v/>
      </c>
      <c r="O26" s="125" t="str">
        <f t="shared" si="26"/>
        <v/>
      </c>
      <c r="P26" s="125" t="str">
        <f t="shared" si="27"/>
        <v/>
      </c>
      <c r="Q26" s="125" t="str">
        <f t="shared" si="8"/>
        <v>SI</v>
      </c>
      <c r="R26" s="7">
        <v>0.5</v>
      </c>
      <c r="S26" s="248">
        <v>41116</v>
      </c>
      <c r="T26" s="248">
        <v>42972</v>
      </c>
      <c r="U26" s="3">
        <f t="shared" si="32"/>
        <v>2017</v>
      </c>
      <c r="V26" s="21">
        <f>IF(U26=2023,1160000,IFERROR(INDEX(SMMLV!$B$2:$B$101,MATCH(U26,SMMLV!$A$2:$A$101,0)),""))</f>
        <v>737717</v>
      </c>
      <c r="W26" s="21" t="s">
        <v>670</v>
      </c>
      <c r="X26" s="3" t="s">
        <v>671</v>
      </c>
      <c r="Y26" s="3">
        <v>198</v>
      </c>
      <c r="Z26" s="477" t="s">
        <v>74</v>
      </c>
      <c r="AA26" s="478"/>
      <c r="AB26" s="479"/>
      <c r="AC26" s="3" t="str">
        <f t="shared" si="28"/>
        <v>SI</v>
      </c>
      <c r="AD26" s="21" t="str">
        <f t="shared" si="10"/>
        <v>N/A</v>
      </c>
      <c r="AE26" s="21">
        <v>15113.79</v>
      </c>
      <c r="AF26" s="21">
        <f t="shared" si="11"/>
        <v>7556.8950000000004</v>
      </c>
      <c r="AG26" s="470"/>
      <c r="AH26" s="470"/>
      <c r="AI26" s="125" t="str">
        <f t="shared" si="12"/>
        <v>CUMPLE</v>
      </c>
      <c r="AJ26" s="470"/>
      <c r="AK26" s="470"/>
      <c r="AL26" s="527"/>
      <c r="AM26" s="505"/>
      <c r="AN26" s="575"/>
      <c r="AO26" s="498"/>
      <c r="AP26" s="575"/>
      <c r="AQ26" s="498"/>
      <c r="AR26" s="600"/>
      <c r="AS26" s="587"/>
      <c r="AT26" s="204"/>
      <c r="AU26" s="611"/>
      <c r="AV26" s="543"/>
      <c r="AW26" s="561"/>
      <c r="AX26" s="561"/>
      <c r="AY26" s="19"/>
      <c r="BZ26" s="4"/>
      <c r="CA26" s="4"/>
      <c r="CB26" s="29" t="str">
        <f>IFERROR(IF(COUNTIF(AF23:AF32,"")=10,"",IF(COUNTIF(E23:E32,"N/A")&gt;0,IF(AF26&gt;=CMEMM1,AF26,0),"N/A")),"")</f>
        <v>N/A</v>
      </c>
      <c r="CC26" s="4"/>
      <c r="CD26" s="4">
        <f>IFERROR(IF(COUNTIF(AF23:AF32,"")=10,"",IF(AF26="","",IF(AF26&gt;=CMEMM1,1,0))),"")</f>
        <v>1</v>
      </c>
      <c r="CE26" s="4" t="str">
        <f>B23&amp;"-0"&amp;4</f>
        <v>P03-04</v>
      </c>
      <c r="CF26" s="4">
        <f>IFERROR(INDEX('DESEMPATE Y DISCAPACIDAD'!$D$3:$D$450,MATCH(CE26,'DESEMPATE Y DISCAPACIDAD'!$C$3:$C$450,0)),"")</f>
        <v>0</v>
      </c>
      <c r="CG26" s="4">
        <f>IF(OR(CE26="",CF26=""),"",SUMIF(D23:D32,CF26,CD23:CD32))</f>
        <v>0</v>
      </c>
      <c r="CH26" s="4" t="str">
        <f t="shared" si="29"/>
        <v>NO CUMPLE</v>
      </c>
      <c r="CI26" s="4">
        <f t="shared" si="30"/>
        <v>0</v>
      </c>
      <c r="CJ26" s="4"/>
      <c r="CK26" s="4"/>
      <c r="CL26" s="4" t="str">
        <f t="shared" si="1"/>
        <v/>
      </c>
      <c r="CM26" s="4" t="str">
        <f t="shared" si="2"/>
        <v/>
      </c>
      <c r="CN26" s="4" t="str">
        <f t="shared" si="31"/>
        <v/>
      </c>
      <c r="CO26" s="4"/>
      <c r="CP26" s="4"/>
      <c r="CQ26" s="29" t="str">
        <f t="shared" si="3"/>
        <v/>
      </c>
      <c r="CR26" s="29">
        <f>IF(OR(AN25="",AF26=""),"",IF(AN25="NO",AF26,0))</f>
        <v>7556.8950000000004</v>
      </c>
      <c r="CS26" s="4"/>
    </row>
    <row r="27" spans="1:103" ht="45" customHeight="1">
      <c r="B27" s="481"/>
      <c r="C27" s="118" t="s">
        <v>174</v>
      </c>
      <c r="D27" s="126" t="str">
        <f>+IFERROR(INDEX('DESEMPATE Y DISCAPACIDAD'!$D$3:$D$450,MATCH(C27,'DESEMPATE Y DISCAPACIDAD'!$C$3:$C$450,0)),"")</f>
        <v>COMPAÑÍA COLOMBIANA DE CONSULTORES S.A.S.</v>
      </c>
      <c r="E27" s="127" t="str">
        <f>IFERROR(IF(D27="","",IF(VLOOKUP(D27,'DESEMPATE Y DISCAPACIDAD'!D$3:$E$450,2,FALSE)=1,"N/A",IF(VLOOKUP(D27,'DESEMPATE Y DISCAPACIDAD'!D$3:$F$450,3,FALSE)="X","SI","NO"))),"")</f>
        <v>NO</v>
      </c>
      <c r="F27" s="125" t="s">
        <v>819</v>
      </c>
      <c r="G27" s="244" t="s">
        <v>660</v>
      </c>
      <c r="H27" s="246" t="s">
        <v>820</v>
      </c>
      <c r="I27" s="245" t="s">
        <v>821</v>
      </c>
      <c r="J27" s="125" t="s">
        <v>74</v>
      </c>
      <c r="K27" s="125" t="s">
        <v>74</v>
      </c>
      <c r="L27" s="125" t="s">
        <v>75</v>
      </c>
      <c r="M27" s="125" t="s">
        <v>75</v>
      </c>
      <c r="N27" s="125" t="str">
        <f t="shared" si="25"/>
        <v>SI</v>
      </c>
      <c r="O27" s="125" t="str">
        <f t="shared" si="26"/>
        <v>NO</v>
      </c>
      <c r="P27" s="125" t="str">
        <f t="shared" si="27"/>
        <v>NO</v>
      </c>
      <c r="Q27" s="125" t="str">
        <f t="shared" si="8"/>
        <v>SI</v>
      </c>
      <c r="R27" s="68">
        <v>1</v>
      </c>
      <c r="S27" s="129">
        <v>34991</v>
      </c>
      <c r="T27" s="129">
        <v>35919</v>
      </c>
      <c r="U27" s="125">
        <f t="shared" si="32"/>
        <v>1998</v>
      </c>
      <c r="V27" s="117">
        <f>IF(U27=2023,1160000,IFERROR(INDEX(SMMLV!$B$2:$B$101,MATCH(U27,SMMLV!$A$2:$A$101,0)),""))</f>
        <v>203826</v>
      </c>
      <c r="W27" s="117" t="s">
        <v>670</v>
      </c>
      <c r="X27" s="125" t="s">
        <v>671</v>
      </c>
      <c r="Y27" s="125">
        <v>2</v>
      </c>
      <c r="Z27" s="474" t="s">
        <v>74</v>
      </c>
      <c r="AA27" s="475"/>
      <c r="AB27" s="476"/>
      <c r="AC27" s="125" t="str">
        <f t="shared" si="28"/>
        <v>SI</v>
      </c>
      <c r="AD27" s="117" t="str">
        <f t="shared" si="10"/>
        <v>N/A</v>
      </c>
      <c r="AE27" s="117">
        <v>13669.29</v>
      </c>
      <c r="AF27" s="117">
        <f t="shared" si="11"/>
        <v>13669.29</v>
      </c>
      <c r="AG27" s="470"/>
      <c r="AH27" s="470"/>
      <c r="AI27" s="125" t="str">
        <f t="shared" si="12"/>
        <v>CUMPLE</v>
      </c>
      <c r="AJ27" s="470"/>
      <c r="AK27" s="470"/>
      <c r="AL27" s="527"/>
      <c r="AM27" s="505"/>
      <c r="AN27" s="3" t="s">
        <v>75</v>
      </c>
      <c r="AO27" s="498"/>
      <c r="AP27" s="3" t="s">
        <v>74</v>
      </c>
      <c r="AQ27" s="498"/>
      <c r="AR27" s="600"/>
      <c r="AS27" s="587"/>
      <c r="AT27" s="204"/>
      <c r="AU27" s="611"/>
      <c r="AV27" s="543"/>
      <c r="AW27" s="561"/>
      <c r="AX27" s="561"/>
      <c r="AY27" s="19"/>
      <c r="BZ27" s="4"/>
      <c r="CA27" s="4"/>
      <c r="CB27" s="29" t="str">
        <f>IFERROR(IF(COUNTIF(AF23:AF32,"")=10,"",IF(COUNTIF(E23:E32,"N/A")&gt;0,IF(AF27&gt;=CMEMM1,AF27,0),"N/A")),"")</f>
        <v>N/A</v>
      </c>
      <c r="CC27" s="4"/>
      <c r="CD27" s="4">
        <f>IFERROR(IF(COUNTIF(AF23:AF32,"")=10,"",IF(AF27="","",IF(AF27&gt;=CMEMM1,1,0))),"")</f>
        <v>1</v>
      </c>
      <c r="CE27" s="4" t="str">
        <f>B23&amp;"-0"&amp;5</f>
        <v>P03-05</v>
      </c>
      <c r="CF27" s="4">
        <f>IFERROR(INDEX('DESEMPATE Y DISCAPACIDAD'!$D$3:$D$450,MATCH(CE27,'DESEMPATE Y DISCAPACIDAD'!$C$3:$C$450,0)),"")</f>
        <v>0</v>
      </c>
      <c r="CG27" s="4">
        <f>IF(OR(CE27="",CF27=""),"",SUMIF(D23:D32,CF27,CD23:CD32))</f>
        <v>0</v>
      </c>
      <c r="CH27" s="4" t="str">
        <f t="shared" si="29"/>
        <v>NO CUMPLE</v>
      </c>
      <c r="CI27" s="4">
        <f t="shared" si="30"/>
        <v>0</v>
      </c>
      <c r="CJ27" s="4"/>
      <c r="CK27" s="4"/>
      <c r="CL27" s="4">
        <f t="shared" si="1"/>
        <v>1</v>
      </c>
      <c r="CM27" s="4">
        <f t="shared" si="2"/>
        <v>0</v>
      </c>
      <c r="CN27" s="4" t="str">
        <f t="shared" si="31"/>
        <v>COND. A</v>
      </c>
      <c r="CO27" s="4"/>
      <c r="CP27" s="4"/>
      <c r="CQ27" s="29" t="str">
        <f t="shared" si="3"/>
        <v>N/A</v>
      </c>
      <c r="CR27" s="29">
        <f t="shared" si="4"/>
        <v>13669.29</v>
      </c>
      <c r="CS27" s="4"/>
    </row>
    <row r="28" spans="1:103" ht="45" customHeight="1">
      <c r="B28" s="481"/>
      <c r="C28" s="118" t="s">
        <v>174</v>
      </c>
      <c r="D28" s="126" t="str">
        <f>+IFERROR(INDEX('DESEMPATE Y DISCAPACIDAD'!$D$3:$D$450,MATCH(C28,'DESEMPATE Y DISCAPACIDAD'!$C$3:$C$450,0)),"")</f>
        <v>COMPAÑÍA COLOMBIANA DE CONSULTORES S.A.S.</v>
      </c>
      <c r="E28" s="127" t="str">
        <f>IFERROR(IF(D28="","",IF(VLOOKUP(D28,'DESEMPATE Y DISCAPACIDAD'!D$3:$E$450,2,FALSE)=1,"N/A",IF(VLOOKUP(D28,'DESEMPATE Y DISCAPACIDAD'!D$3:$F$450,3,FALSE)="X","SI","NO"))),"")</f>
        <v>NO</v>
      </c>
      <c r="F28" s="3" t="s">
        <v>663</v>
      </c>
      <c r="G28" s="389" t="s">
        <v>660</v>
      </c>
      <c r="H28" s="390" t="s">
        <v>666</v>
      </c>
      <c r="I28" s="391" t="s">
        <v>822</v>
      </c>
      <c r="J28" s="3" t="s">
        <v>74</v>
      </c>
      <c r="K28" s="125" t="s">
        <v>74</v>
      </c>
      <c r="L28" s="125" t="s">
        <v>74</v>
      </c>
      <c r="M28" s="125" t="s">
        <v>75</v>
      </c>
      <c r="N28" s="125" t="str">
        <f t="shared" si="25"/>
        <v>SI</v>
      </c>
      <c r="O28" s="125" t="str">
        <f t="shared" si="26"/>
        <v>SI</v>
      </c>
      <c r="P28" s="125" t="str">
        <f t="shared" si="27"/>
        <v>NO</v>
      </c>
      <c r="Q28" s="125" t="str">
        <f t="shared" si="8"/>
        <v>SI</v>
      </c>
      <c r="R28" s="68">
        <v>0.51</v>
      </c>
      <c r="S28" s="129">
        <v>41944</v>
      </c>
      <c r="T28" s="129">
        <v>44865</v>
      </c>
      <c r="U28" s="125">
        <f t="shared" si="32"/>
        <v>2022</v>
      </c>
      <c r="V28" s="117">
        <f>IF(U28=2023,1160000,IFERROR(INDEX(SMMLV!$B$2:$B$101,MATCH(U28,SMMLV!$A$2:$A$101,0)),""))</f>
        <v>1000000</v>
      </c>
      <c r="W28" s="117" t="s">
        <v>670</v>
      </c>
      <c r="X28" s="125" t="s">
        <v>671</v>
      </c>
      <c r="Y28" s="125">
        <v>227</v>
      </c>
      <c r="Z28" s="474" t="s">
        <v>74</v>
      </c>
      <c r="AA28" s="475"/>
      <c r="AB28" s="476"/>
      <c r="AC28" s="125" t="str">
        <f t="shared" si="28"/>
        <v>SI</v>
      </c>
      <c r="AD28" s="117" t="str">
        <f t="shared" si="10"/>
        <v>N/A</v>
      </c>
      <c r="AE28" s="117">
        <v>51150.99</v>
      </c>
      <c r="AF28" s="117">
        <f t="shared" si="11"/>
        <v>26087.0049</v>
      </c>
      <c r="AG28" s="470"/>
      <c r="AH28" s="470"/>
      <c r="AI28" s="125" t="str">
        <f t="shared" si="12"/>
        <v>CUMPLE</v>
      </c>
      <c r="AJ28" s="470"/>
      <c r="AK28" s="470"/>
      <c r="AL28" s="527"/>
      <c r="AM28" s="505"/>
      <c r="AN28" s="3" t="s">
        <v>75</v>
      </c>
      <c r="AO28" s="498"/>
      <c r="AP28" s="3" t="s">
        <v>74</v>
      </c>
      <c r="AQ28" s="498"/>
      <c r="AR28" s="600"/>
      <c r="AS28" s="587"/>
      <c r="AT28" s="204"/>
      <c r="AU28" s="611"/>
      <c r="AV28" s="543"/>
      <c r="AW28" s="561"/>
      <c r="AX28" s="561"/>
      <c r="AY28" s="19"/>
      <c r="BZ28" s="4"/>
      <c r="CA28" s="4"/>
      <c r="CB28" s="29" t="str">
        <f>IFERROR(IF(COUNTIF(AF23:AF32,"")=10,"",IF(COUNTIF(E23:E32,"N/A")&gt;0,IF(AF28&gt;=CMEMM1,AF28,0),"N/A")),"")</f>
        <v>N/A</v>
      </c>
      <c r="CC28" s="4"/>
      <c r="CD28" s="4">
        <f>IFERROR(IF(COUNTIF(AF23:AF32,"")=10,"",IF(AF28="","",IF(AF28&gt;=CMEMM1,1,0))),"")</f>
        <v>1</v>
      </c>
      <c r="CE28" s="4" t="str">
        <f>B23&amp;"-0"&amp;6</f>
        <v>P03-06</v>
      </c>
      <c r="CF28" s="4">
        <f>IFERROR(INDEX('DESEMPATE Y DISCAPACIDAD'!$D$3:$D$450,MATCH(CE28,'DESEMPATE Y DISCAPACIDAD'!$C$3:$C$450,0)),"")</f>
        <v>0</v>
      </c>
      <c r="CG28" s="4">
        <f>IF(OR(CE28="",CF28=""),"",SUMIF(D23:D32,CF28,CD23:CD32))</f>
        <v>0</v>
      </c>
      <c r="CH28" s="4" t="str">
        <f t="shared" si="29"/>
        <v>NO CUMPLE</v>
      </c>
      <c r="CI28" s="4">
        <f t="shared" si="30"/>
        <v>0</v>
      </c>
      <c r="CJ28" s="4"/>
      <c r="CK28" s="4"/>
      <c r="CL28" s="4">
        <f t="shared" si="1"/>
        <v>1</v>
      </c>
      <c r="CM28" s="4">
        <f t="shared" si="2"/>
        <v>1</v>
      </c>
      <c r="CN28" s="4" t="str">
        <f t="shared" si="31"/>
        <v>COND. A Y B</v>
      </c>
      <c r="CO28" s="4"/>
      <c r="CP28" s="4"/>
      <c r="CQ28" s="29" t="str">
        <f t="shared" si="3"/>
        <v>N/A</v>
      </c>
      <c r="CR28" s="29">
        <f t="shared" si="4"/>
        <v>26087.0049</v>
      </c>
      <c r="CS28" s="4"/>
    </row>
    <row r="29" spans="1:103" ht="2" customHeight="1">
      <c r="B29" s="481"/>
      <c r="C29" s="118"/>
      <c r="D29" s="126" t="str">
        <f>+IFERROR(INDEX('DESEMPATE Y DISCAPACIDAD'!$D$3:$D$450,MATCH(C29,'DESEMPATE Y DISCAPACIDAD'!$C$3:$C$450,0)),"")</f>
        <v/>
      </c>
      <c r="E29" s="127" t="str">
        <f>IFERROR(IF(D29="","",IF(VLOOKUP(D29,'DESEMPATE Y DISCAPACIDAD'!D$3:$E$450,2,FALSE)=1,"N/A",IF(VLOOKUP(D29,'DESEMPATE Y DISCAPACIDAD'!D$3:$F$450,3,FALSE)="X","SI","NO"))),"")</f>
        <v/>
      </c>
      <c r="F29" s="3"/>
      <c r="G29" s="3"/>
      <c r="H29" s="3"/>
      <c r="I29" s="364"/>
      <c r="J29" s="3"/>
      <c r="K29" s="125"/>
      <c r="L29" s="125"/>
      <c r="M29" s="125"/>
      <c r="N29" s="125" t="str">
        <f t="shared" si="25"/>
        <v/>
      </c>
      <c r="O29" s="125" t="str">
        <f t="shared" si="26"/>
        <v/>
      </c>
      <c r="P29" s="125" t="str">
        <f t="shared" si="27"/>
        <v/>
      </c>
      <c r="Q29" s="125" t="str">
        <f t="shared" si="8"/>
        <v/>
      </c>
      <c r="R29" s="68"/>
      <c r="S29" s="129"/>
      <c r="T29" s="129"/>
      <c r="U29" s="125" t="str">
        <f t="shared" si="32"/>
        <v/>
      </c>
      <c r="V29" s="117" t="str">
        <f>IF(U29=2023,1160000,IFERROR(INDEX(SMMLV!$B$2:$B$101,MATCH(U29,SMMLV!$A$2:$A$101,0)),""))</f>
        <v/>
      </c>
      <c r="W29" s="117"/>
      <c r="X29" s="125"/>
      <c r="Y29" s="125"/>
      <c r="Z29" s="474"/>
      <c r="AA29" s="475"/>
      <c r="AB29" s="476"/>
      <c r="AC29" s="125" t="str">
        <f t="shared" si="28"/>
        <v/>
      </c>
      <c r="AD29" s="117" t="str">
        <f t="shared" si="10"/>
        <v/>
      </c>
      <c r="AE29" s="117" t="s">
        <v>894</v>
      </c>
      <c r="AF29" s="117" t="str">
        <f t="shared" si="11"/>
        <v/>
      </c>
      <c r="AG29" s="470"/>
      <c r="AH29" s="470"/>
      <c r="AI29" s="125" t="str">
        <f t="shared" si="12"/>
        <v/>
      </c>
      <c r="AJ29" s="470"/>
      <c r="AK29" s="470"/>
      <c r="AL29" s="527"/>
      <c r="AM29" s="505"/>
      <c r="AN29" s="3"/>
      <c r="AO29" s="498"/>
      <c r="AP29" s="3"/>
      <c r="AQ29" s="498"/>
      <c r="AR29" s="600"/>
      <c r="AS29" s="587"/>
      <c r="AT29" s="204"/>
      <c r="AU29" s="611"/>
      <c r="AV29" s="543"/>
      <c r="AW29" s="561"/>
      <c r="AX29" s="561"/>
      <c r="AY29" s="19"/>
      <c r="BZ29" s="4"/>
      <c r="CA29" s="4"/>
      <c r="CB29" s="29" t="str">
        <f>IFERROR(IF(COUNTIF(AF23:AF32,"")=10,"",IF(COUNTIF(E23:E32,"N/A")&gt;0,IF(AF29&gt;=CMEMM1,AF29,0),"N/A")),"")</f>
        <v>N/A</v>
      </c>
      <c r="CC29" s="4"/>
      <c r="CD29" s="4" t="str">
        <f>IFERROR(IF(COUNTIF(AF23:AF32,"")=10,"",IF(AF29="","",IF(AF29&gt;=CMEMM1,1,0))),"")</f>
        <v/>
      </c>
      <c r="CE29" s="4" t="str">
        <f>B23&amp;"-0"&amp;7</f>
        <v>P03-07</v>
      </c>
      <c r="CF29" s="4" t="str">
        <f>IFERROR(INDEX('DESEMPATE Y DISCAPACIDAD'!$D$3:$D$450,MATCH(CE29,'DESEMPATE Y DISCAPACIDAD'!$C$3:$C$450,0)),"")</f>
        <v/>
      </c>
      <c r="CG29" s="4" t="str">
        <f>IF(OR(CE29="",CF29=""),"",SUMIF(D23:D32,CF29,CD23:CD32))</f>
        <v/>
      </c>
      <c r="CH29" s="4" t="str">
        <f t="shared" si="29"/>
        <v/>
      </c>
      <c r="CI29" s="4" t="str">
        <f t="shared" si="30"/>
        <v/>
      </c>
      <c r="CJ29" s="4"/>
      <c r="CK29" s="4"/>
      <c r="CL29" s="4" t="str">
        <f t="shared" si="1"/>
        <v/>
      </c>
      <c r="CM29" s="4" t="str">
        <f t="shared" si="2"/>
        <v/>
      </c>
      <c r="CN29" s="4" t="str">
        <f t="shared" si="31"/>
        <v/>
      </c>
      <c r="CO29" s="4"/>
      <c r="CP29" s="4"/>
      <c r="CQ29" s="29" t="str">
        <f t="shared" si="3"/>
        <v/>
      </c>
      <c r="CR29" s="29" t="str">
        <f t="shared" si="4"/>
        <v/>
      </c>
      <c r="CS29" s="4"/>
    </row>
    <row r="30" spans="1:103" ht="2" customHeight="1">
      <c r="B30" s="481"/>
      <c r="C30" s="118"/>
      <c r="D30" s="126" t="str">
        <f>+IFERROR(INDEX('DESEMPATE Y DISCAPACIDAD'!$D$3:$D$450,MATCH(C30,'DESEMPATE Y DISCAPACIDAD'!$C$3:$C$450,0)),"")</f>
        <v/>
      </c>
      <c r="E30" s="127" t="str">
        <f>IFERROR(IF(D30="","",IF(VLOOKUP(D30,'DESEMPATE Y DISCAPACIDAD'!D$3:$E$450,2,FALSE)=1,"N/A",IF(VLOOKUP(D30,'DESEMPATE Y DISCAPACIDAD'!D$3:$F$450,3,FALSE)="X","SI","NO"))),"")</f>
        <v/>
      </c>
      <c r="F30" s="3"/>
      <c r="G30" s="3"/>
      <c r="H30" s="3"/>
      <c r="I30" s="364"/>
      <c r="J30" s="3"/>
      <c r="K30" s="125"/>
      <c r="L30" s="125"/>
      <c r="M30" s="125"/>
      <c r="N30" s="125" t="str">
        <f t="shared" si="25"/>
        <v/>
      </c>
      <c r="O30" s="125" t="str">
        <f t="shared" si="26"/>
        <v/>
      </c>
      <c r="P30" s="125" t="str">
        <f t="shared" si="27"/>
        <v/>
      </c>
      <c r="Q30" s="125" t="str">
        <f t="shared" si="8"/>
        <v/>
      </c>
      <c r="R30" s="68"/>
      <c r="S30" s="129"/>
      <c r="T30" s="129"/>
      <c r="U30" s="125" t="str">
        <f t="shared" si="32"/>
        <v/>
      </c>
      <c r="V30" s="117" t="str">
        <f>IF(U30=2023,1160000,IFERROR(INDEX(SMMLV!$B$2:$B$101,MATCH(U30,SMMLV!$A$2:$A$101,0)),""))</f>
        <v/>
      </c>
      <c r="W30" s="117"/>
      <c r="X30" s="125"/>
      <c r="Y30" s="125"/>
      <c r="Z30" s="474"/>
      <c r="AA30" s="475"/>
      <c r="AB30" s="476"/>
      <c r="AC30" s="125" t="str">
        <f t="shared" si="28"/>
        <v/>
      </c>
      <c r="AD30" s="117" t="str">
        <f t="shared" si="10"/>
        <v/>
      </c>
      <c r="AE30" s="117" t="s">
        <v>894</v>
      </c>
      <c r="AF30" s="117" t="str">
        <f t="shared" si="11"/>
        <v/>
      </c>
      <c r="AG30" s="470"/>
      <c r="AH30" s="470"/>
      <c r="AI30" s="125" t="str">
        <f t="shared" si="12"/>
        <v/>
      </c>
      <c r="AJ30" s="470"/>
      <c r="AK30" s="470"/>
      <c r="AL30" s="527"/>
      <c r="AM30" s="505"/>
      <c r="AN30" s="3"/>
      <c r="AO30" s="498"/>
      <c r="AP30" s="3"/>
      <c r="AQ30" s="498"/>
      <c r="AR30" s="600"/>
      <c r="AS30" s="587"/>
      <c r="AT30" s="204"/>
      <c r="AU30" s="611"/>
      <c r="AV30" s="543"/>
      <c r="AW30" s="561"/>
      <c r="AX30" s="561"/>
      <c r="AY30" s="19"/>
      <c r="BZ30" s="4"/>
      <c r="CA30" s="4"/>
      <c r="CB30" s="29" t="str">
        <f>IFERROR(IF(COUNTIF(AF23:AF32,"")=10,"",IF(COUNTIF(E23:E32,"N/A")&gt;0,IF(AF30&gt;=CMEMM1,AF30,0),"N/A")),"")</f>
        <v>N/A</v>
      </c>
      <c r="CC30" s="4"/>
      <c r="CD30" s="4" t="str">
        <f>IFERROR(IF(COUNTIF(AF23:AF32,"")=10,"",IF(AF30="","",IF(AF30&gt;=CMEMM1,1,0))),"")</f>
        <v/>
      </c>
      <c r="CE30" s="4" t="str">
        <f>B23&amp;"-0"&amp;8</f>
        <v>P03-08</v>
      </c>
      <c r="CF30" s="4" t="str">
        <f>IFERROR(INDEX('DESEMPATE Y DISCAPACIDAD'!$D$3:$D$450,MATCH(CE30,'DESEMPATE Y DISCAPACIDAD'!$C$3:$C$450,0)),"")</f>
        <v/>
      </c>
      <c r="CG30" s="4" t="str">
        <f>IF(OR(CE30="",CF30=""),"",SUMIF(D23:D32,CF30,CD23:CD32))</f>
        <v/>
      </c>
      <c r="CH30" s="4" t="str">
        <f t="shared" si="29"/>
        <v/>
      </c>
      <c r="CI30" s="4" t="str">
        <f t="shared" si="30"/>
        <v/>
      </c>
      <c r="CJ30" s="4"/>
      <c r="CK30" s="4"/>
      <c r="CL30" s="4" t="str">
        <f t="shared" si="1"/>
        <v/>
      </c>
      <c r="CM30" s="4" t="str">
        <f t="shared" si="2"/>
        <v/>
      </c>
      <c r="CN30" s="4" t="str">
        <f t="shared" si="31"/>
        <v/>
      </c>
      <c r="CO30" s="4"/>
      <c r="CP30" s="4"/>
      <c r="CQ30" s="29" t="str">
        <f t="shared" si="3"/>
        <v/>
      </c>
      <c r="CR30" s="29" t="str">
        <f t="shared" si="4"/>
        <v/>
      </c>
      <c r="CS30" s="4"/>
    </row>
    <row r="31" spans="1:103" ht="2" customHeight="1">
      <c r="B31" s="481"/>
      <c r="C31" s="118"/>
      <c r="D31" s="126" t="str">
        <f>+IFERROR(INDEX('DESEMPATE Y DISCAPACIDAD'!$D$3:$D$450,MATCH(C31,'DESEMPATE Y DISCAPACIDAD'!$C$3:$C$450,0)),"")</f>
        <v/>
      </c>
      <c r="E31" s="127" t="str">
        <f>IFERROR(IF(D31="","",IF(VLOOKUP(D31,'DESEMPATE Y DISCAPACIDAD'!D$3:$E$450,2,FALSE)=1,"N/A",IF(VLOOKUP(D31,'DESEMPATE Y DISCAPACIDAD'!D$3:$F$450,3,FALSE)="X","SI","NO"))),"")</f>
        <v/>
      </c>
      <c r="F31" s="3"/>
      <c r="G31" s="3"/>
      <c r="H31" s="3"/>
      <c r="I31" s="364"/>
      <c r="J31" s="3"/>
      <c r="K31" s="125"/>
      <c r="L31" s="125"/>
      <c r="M31" s="125"/>
      <c r="N31" s="125" t="str">
        <f t="shared" si="25"/>
        <v/>
      </c>
      <c r="O31" s="125" t="str">
        <f t="shared" si="26"/>
        <v/>
      </c>
      <c r="P31" s="125" t="str">
        <f t="shared" si="27"/>
        <v/>
      </c>
      <c r="Q31" s="125" t="str">
        <f t="shared" si="8"/>
        <v/>
      </c>
      <c r="R31" s="68"/>
      <c r="S31" s="129"/>
      <c r="T31" s="129"/>
      <c r="U31" s="125" t="str">
        <f t="shared" si="32"/>
        <v/>
      </c>
      <c r="V31" s="117" t="str">
        <f>IF(U31=2023,1160000,IFERROR(INDEX(SMMLV!$B$2:$B$101,MATCH(U31,SMMLV!$A$2:$A$101,0)),""))</f>
        <v/>
      </c>
      <c r="W31" s="117"/>
      <c r="X31" s="125"/>
      <c r="Y31" s="125"/>
      <c r="Z31" s="474"/>
      <c r="AA31" s="475"/>
      <c r="AB31" s="476"/>
      <c r="AC31" s="125" t="str">
        <f t="shared" si="28"/>
        <v/>
      </c>
      <c r="AD31" s="117" t="str">
        <f t="shared" si="10"/>
        <v/>
      </c>
      <c r="AE31" s="117" t="s">
        <v>894</v>
      </c>
      <c r="AF31" s="117" t="str">
        <f t="shared" si="11"/>
        <v/>
      </c>
      <c r="AG31" s="470"/>
      <c r="AH31" s="470"/>
      <c r="AI31" s="125" t="str">
        <f t="shared" si="12"/>
        <v/>
      </c>
      <c r="AJ31" s="470"/>
      <c r="AK31" s="470"/>
      <c r="AL31" s="527"/>
      <c r="AM31" s="505"/>
      <c r="AN31" s="3"/>
      <c r="AO31" s="498"/>
      <c r="AP31" s="3"/>
      <c r="AQ31" s="498"/>
      <c r="AR31" s="600"/>
      <c r="AS31" s="587"/>
      <c r="AT31" s="204"/>
      <c r="AU31" s="611"/>
      <c r="AV31" s="543"/>
      <c r="AW31" s="561"/>
      <c r="AX31" s="561"/>
      <c r="AY31" s="19"/>
      <c r="BZ31" s="4"/>
      <c r="CA31" s="4"/>
      <c r="CB31" s="29" t="str">
        <f>IFERROR(IF(COUNTIF(AF23:AF32,"")=10,"",IF(COUNTIF(E23:E32,"N/A")&gt;0,IF(AF31&gt;=CMEMM1,AF31,0),"N/A")),"")</f>
        <v>N/A</v>
      </c>
      <c r="CC31" s="4"/>
      <c r="CD31" s="4" t="str">
        <f>IFERROR(IF(COUNTIF(AF23:AF32,"")=10,"",IF(AF31="","",IF(AF31&gt;=CMEMM1,1,0))),"")</f>
        <v/>
      </c>
      <c r="CE31" s="4" t="str">
        <f>B23&amp;"-0"&amp;9</f>
        <v>P03-09</v>
      </c>
      <c r="CF31" s="4" t="str">
        <f>IFERROR(INDEX('DESEMPATE Y DISCAPACIDAD'!$D$3:$D$450,MATCH(CE31,'DESEMPATE Y DISCAPACIDAD'!$C$3:$C$450,0)),"")</f>
        <v/>
      </c>
      <c r="CG31" s="4" t="str">
        <f>IF(OR(CE31="",CF31=""),"",SUMIF(D23:D32,CF31,CD23:CD32))</f>
        <v/>
      </c>
      <c r="CH31" s="4" t="str">
        <f t="shared" si="29"/>
        <v/>
      </c>
      <c r="CI31" s="4" t="str">
        <f t="shared" si="30"/>
        <v/>
      </c>
      <c r="CJ31" s="4"/>
      <c r="CK31" s="4"/>
      <c r="CL31" s="4" t="str">
        <f t="shared" si="1"/>
        <v/>
      </c>
      <c r="CM31" s="4" t="str">
        <f t="shared" si="2"/>
        <v/>
      </c>
      <c r="CN31" s="4" t="str">
        <f t="shared" si="31"/>
        <v/>
      </c>
      <c r="CO31" s="4"/>
      <c r="CP31" s="4"/>
      <c r="CQ31" s="29" t="str">
        <f t="shared" si="3"/>
        <v/>
      </c>
      <c r="CR31" s="29" t="str">
        <f t="shared" si="4"/>
        <v/>
      </c>
      <c r="CS31" s="4"/>
    </row>
    <row r="32" spans="1:103" ht="2" customHeight="1" thickBot="1">
      <c r="B32" s="482"/>
      <c r="C32" s="130"/>
      <c r="D32" s="131" t="str">
        <f>+IFERROR(INDEX('DESEMPATE Y DISCAPACIDAD'!$D$3:$D$450,MATCH(C32,'DESEMPATE Y DISCAPACIDAD'!$C$3:$C$450,0)),"")</f>
        <v/>
      </c>
      <c r="E32" s="132" t="str">
        <f>IFERROR(IF(D32="","",IF(VLOOKUP(D32,'DESEMPATE Y DISCAPACIDAD'!D$3:$E$450,2,FALSE)=1,"N/A",IF(VLOOKUP(D32,'DESEMPATE Y DISCAPACIDAD'!D$3:$F$450,3,FALSE)="X","SI","NO"))),"")</f>
        <v/>
      </c>
      <c r="F32" s="5"/>
      <c r="G32" s="5"/>
      <c r="H32" s="5"/>
      <c r="I32" s="368"/>
      <c r="J32" s="5"/>
      <c r="K32" s="133"/>
      <c r="L32" s="133"/>
      <c r="M32" s="133"/>
      <c r="N32" s="133" t="str">
        <f t="shared" si="25"/>
        <v/>
      </c>
      <c r="O32" s="133" t="str">
        <f t="shared" si="26"/>
        <v/>
      </c>
      <c r="P32" s="133" t="str">
        <f t="shared" si="27"/>
        <v/>
      </c>
      <c r="Q32" s="133" t="str">
        <f t="shared" si="8"/>
        <v/>
      </c>
      <c r="R32" s="104"/>
      <c r="S32" s="135"/>
      <c r="T32" s="135"/>
      <c r="U32" s="133" t="str">
        <f t="shared" si="32"/>
        <v/>
      </c>
      <c r="V32" s="136" t="str">
        <f>IF(U32=2023,1160000,IFERROR(INDEX(SMMLV!$B$2:$B$101,MATCH(U32,SMMLV!$A$2:$A$101,0)),""))</f>
        <v/>
      </c>
      <c r="W32" s="136"/>
      <c r="X32" s="133"/>
      <c r="Y32" s="133"/>
      <c r="Z32" s="487"/>
      <c r="AA32" s="488"/>
      <c r="AB32" s="489"/>
      <c r="AC32" s="133" t="str">
        <f t="shared" si="28"/>
        <v/>
      </c>
      <c r="AD32" s="136" t="str">
        <f t="shared" si="10"/>
        <v/>
      </c>
      <c r="AE32" s="117" t="s">
        <v>894</v>
      </c>
      <c r="AF32" s="136" t="str">
        <f t="shared" si="11"/>
        <v/>
      </c>
      <c r="AG32" s="471"/>
      <c r="AH32" s="471"/>
      <c r="AI32" s="133" t="str">
        <f t="shared" si="12"/>
        <v/>
      </c>
      <c r="AJ32" s="471"/>
      <c r="AK32" s="471"/>
      <c r="AL32" s="528"/>
      <c r="AM32" s="506"/>
      <c r="AN32" s="5"/>
      <c r="AO32" s="499"/>
      <c r="AP32" s="5"/>
      <c r="AQ32" s="499"/>
      <c r="AR32" s="601"/>
      <c r="AS32" s="588"/>
      <c r="AT32" s="206"/>
      <c r="AU32" s="612"/>
      <c r="AV32" s="544"/>
      <c r="AW32" s="562"/>
      <c r="AX32" s="562"/>
      <c r="AY32" s="19"/>
      <c r="BZ32" s="4"/>
      <c r="CA32" s="4"/>
      <c r="CB32" s="29" t="str">
        <f>IFERROR(IF(COUNTIF(AF23:AF32,"")=10,"",IF(COUNTIF(E23:E32,"N/A")&gt;0,IF(AF32&gt;=CMEMM1,AF32,0),"N/A")),"")</f>
        <v>N/A</v>
      </c>
      <c r="CC32" s="4"/>
      <c r="CD32" s="4" t="str">
        <f>IFERROR(IF(COUNTIF(AF23:AF32,"")=10,"",IF(AF32="","",IF(AF32&gt;=CMEMM1,1,0))),"")</f>
        <v/>
      </c>
      <c r="CE32" s="4" t="str">
        <f>B23&amp;"-"&amp;10</f>
        <v>P03-10</v>
      </c>
      <c r="CF32" s="4" t="str">
        <f>IFERROR(INDEX('DESEMPATE Y DISCAPACIDAD'!$D$3:$D$450,MATCH(CE32,'DESEMPATE Y DISCAPACIDAD'!$C$3:$C$450,0)),"")</f>
        <v/>
      </c>
      <c r="CG32" s="4" t="str">
        <f>IF(OR(CE32="",CF32=""),"",SUMIF(D23:D32,CF32,CD23:CD32))</f>
        <v/>
      </c>
      <c r="CH32" s="4" t="str">
        <f t="shared" si="29"/>
        <v/>
      </c>
      <c r="CI32" s="4" t="str">
        <f t="shared" si="30"/>
        <v/>
      </c>
      <c r="CJ32" s="4"/>
      <c r="CK32" s="4"/>
      <c r="CL32" s="4" t="str">
        <f t="shared" si="1"/>
        <v/>
      </c>
      <c r="CM32" s="4" t="str">
        <f t="shared" si="2"/>
        <v/>
      </c>
      <c r="CN32" s="4" t="str">
        <f t="shared" si="31"/>
        <v/>
      </c>
      <c r="CO32" s="4"/>
      <c r="CP32" s="4"/>
      <c r="CQ32" s="29" t="str">
        <f t="shared" si="3"/>
        <v/>
      </c>
      <c r="CR32" s="29" t="str">
        <f t="shared" si="4"/>
        <v/>
      </c>
      <c r="CS32" s="4"/>
    </row>
    <row r="33" spans="1:97" ht="45" customHeight="1">
      <c r="A33" s="4" t="str">
        <f>"A"&amp;B33</f>
        <v>AP04</v>
      </c>
      <c r="B33" s="480" t="s">
        <v>125</v>
      </c>
      <c r="C33" s="108" t="s">
        <v>175</v>
      </c>
      <c r="D33" s="119" t="str">
        <f>+IFERROR(INDEX('DESEMPATE Y DISCAPACIDAD'!$D$3:$D$450,MATCH(C33,'DESEMPATE Y DISCAPACIDAD'!$C$3:$C$450,0)),"")</f>
        <v>REDTIC INGENIERIA S.A.S. – BIC.</v>
      </c>
      <c r="E33" s="120" t="str">
        <f>IFERROR(IF(D33="","",IF(VLOOKUP(D33,'DESEMPATE Y DISCAPACIDAD'!D$3:$E$450,2,FALSE)=1,"N/A",IF(VLOOKUP(D33,'DESEMPATE Y DISCAPACIDAD'!D$3:$F$450,3,FALSE)="X","SI","NO"))),"")</f>
        <v>NO</v>
      </c>
      <c r="F33" s="179" t="s">
        <v>663</v>
      </c>
      <c r="G33" s="179" t="s">
        <v>660</v>
      </c>
      <c r="H33" s="392" t="s">
        <v>823</v>
      </c>
      <c r="I33" s="393" t="s">
        <v>824</v>
      </c>
      <c r="J33" s="179" t="s">
        <v>74</v>
      </c>
      <c r="K33" s="125" t="s">
        <v>74</v>
      </c>
      <c r="L33" s="125" t="s">
        <v>74</v>
      </c>
      <c r="M33" s="125" t="s">
        <v>74</v>
      </c>
      <c r="N33" s="121" t="str">
        <f>IFERROR(IF(OR(J33="",K33=""),"",IF(J33="NO","NO",K33)),"")</f>
        <v>SI</v>
      </c>
      <c r="O33" s="121" t="str">
        <f>IFERROR(IF(OR(J33="",L33=""),"",IF(J33="NO","NO",L33)),"")</f>
        <v>SI</v>
      </c>
      <c r="P33" s="121" t="str">
        <f>IFERROR(IF(OR(J33="",M33=""),"",IF(J33="NO","NO",M33)),"")</f>
        <v>SI</v>
      </c>
      <c r="Q33" s="121" t="str">
        <f t="shared" si="8"/>
        <v>SI</v>
      </c>
      <c r="R33" s="66">
        <v>0.25</v>
      </c>
      <c r="S33" s="129">
        <v>40954</v>
      </c>
      <c r="T33" s="129">
        <v>44149</v>
      </c>
      <c r="U33" s="121">
        <f t="shared" si="32"/>
        <v>2020</v>
      </c>
      <c r="V33" s="124">
        <f>IF(U33=2023,1160000,IFERROR(INDEX(SMMLV!$B$2:$B$101,MATCH(U33,SMMLV!$A$2:$A$101,0)),""))</f>
        <v>877803</v>
      </c>
      <c r="W33" s="117" t="s">
        <v>670</v>
      </c>
      <c r="X33" s="125" t="s">
        <v>671</v>
      </c>
      <c r="Y33" s="121">
        <v>52</v>
      </c>
      <c r="Z33" s="483" t="s">
        <v>74</v>
      </c>
      <c r="AA33" s="484"/>
      <c r="AB33" s="485"/>
      <c r="AC33" s="121" t="str">
        <f>IFERROR(IF(Y33="","",IF(ISNUMBER(Y33),IF(COUNTIF(Z33,"SI")&gt;0,"SI","NO"),Y33)),"")</f>
        <v>SI</v>
      </c>
      <c r="AD33" s="124" t="str">
        <f t="shared" si="10"/>
        <v>N/A</v>
      </c>
      <c r="AE33" s="117">
        <v>17592.98</v>
      </c>
      <c r="AF33" s="124">
        <f t="shared" si="11"/>
        <v>4398.2449999999999</v>
      </c>
      <c r="AG33" s="486" t="str">
        <f>IFERROR(IF(COUNTIF(AF33:AF42,"")=10,"",IF(COUNTIF(E33:E42,"N/A")&gt;0,IF(SUM(CB33:CB42)&gt;=CMEM1,"CUMPLE","NO CUMPLE"),IF(SUM(AF33:AF42)&gt;=CMEM1,"CUMPLE","NO CUMPLE"))),"")</f>
        <v>CUMPLE</v>
      </c>
      <c r="AH33" s="486" t="str">
        <f>IF(COUNTIF(AF33:AF42,"")=10,"",IF(SUMIF(C33:C42,C33,AF33:AF42)&gt;=CMLM1,"CUMPLE",IF(SUMIF(C33:C42,C34,AF33:AF42)&gt;=CMLM1,"CUMPLE",IF(SUMIF(C33:C42,C35,AF33:AF42)&gt;=CMLM1,"CUMPLE",IF(SUMIF(C33:C42,C36,AF33:AF42)&gt;=CMLM1,"CUMPLE",IF(SUMIF(C33:C42,C37,AF33:AF42)&gt;=CMLM1,"CUMPLE",IF(SUMIF(C33:C42,C38,AF33:AF42)&gt;=CMLM1,"CUMPLE",IF(SUMIF(C33:C42,C39,AF33:AF42)&gt;=CMLM1,"CUMPLE",IF(SUMIF(C33:C42,C40,AF33:AF42)&gt;=CMLM1,"CUMPLE",IF(SUMIF(C33:C42,C41,AF33:AF42)&gt;=CMLM1,"CUMPLE",IF(SUMIF(C33:C42,C42,AF33:AF42)&gt;=CMLM1,"CUMPLE","NO CUMPLE")))))))))))</f>
        <v>CUMPLE</v>
      </c>
      <c r="AI33" s="121" t="str">
        <f t="shared" si="12"/>
        <v>CUMPLE</v>
      </c>
      <c r="AJ33" s="469" t="str">
        <f>IFERROR(IF(COUNTIF(AF33:AF42,"")=10,"",IF(COUNTIF(E33:E42,"N/A")&gt;0,"N/A",CJ33)),"")</f>
        <v>CUMPLE</v>
      </c>
      <c r="AK33" s="469" t="str">
        <f>IFERROR(IF(AND(COUNTIF(N33:N42,"SI")&gt;=1,COUNTIF(O33:O42,"SI")&gt;=1,COUNTIF(P33:P42,"SI")&gt;=1,COUNTIF(J33:J42,"SI")&lt;=10,CO33="CUMPLE"),"CUMPLE","NO CUMPLE"),"")</f>
        <v>CUMPLE</v>
      </c>
      <c r="AL33" s="472" t="s">
        <v>77</v>
      </c>
      <c r="AM33" s="495">
        <f>IFERROR(IF(B33&lt;&gt;"",IF(VLOOKUP(B33,'DESEMPATE Y DISCAPACIDAD'!$A$3:$Q$450,10,FALSE)="","",VLOOKUP(B33,'DESEMPATE Y DISCAPACIDAD'!$A$3:$Q$450,10,FALSE)+6),""),"")</f>
        <v>8</v>
      </c>
      <c r="AN33" s="121" t="s">
        <v>75</v>
      </c>
      <c r="AO33" s="490" t="s">
        <v>74</v>
      </c>
      <c r="AP33" s="121" t="s">
        <v>74</v>
      </c>
      <c r="AQ33" s="490">
        <f>IFERROR(IF(COUNTIF(AP33:AP42,"")=10,"",IF(AO33="NO",0,COUNTIF(AP33:AP42,"SI"))),"")</f>
        <v>7</v>
      </c>
      <c r="AR33" s="521">
        <f>IFERROR(IF(COUNTIF(AF33:AF42,"")=10,"",IF(AO33="NO",0,IF(COUNTIF(E33:E42,"N/A")&gt;0,SUM(CQ33:CQ42),SUM(CR33:CR42)))),"")</f>
        <v>83306.1875</v>
      </c>
      <c r="AS33" s="518">
        <f>IFERROR(IF(OR(COUNTIF(AF33:AF42,"")=10,AQ33="",AR33=""),"",IF(AO33="NO",0,AR33/AQ33)),"")</f>
        <v>11900.883928571429</v>
      </c>
      <c r="AT33" s="207"/>
      <c r="AU33" s="610" t="s">
        <v>895</v>
      </c>
      <c r="AV33" s="542" t="s">
        <v>747</v>
      </c>
      <c r="AW33" s="560" t="s">
        <v>747</v>
      </c>
      <c r="AX33" s="560" t="s">
        <v>747</v>
      </c>
      <c r="AY33" s="19"/>
      <c r="BZ33" s="4"/>
      <c r="CA33" s="4"/>
      <c r="CB33" s="29" t="str">
        <f>IFERROR(IF(COUNTIF(AF33:AF42,"")=10,"",IF(COUNTIF(E33:E42,"N/A")&gt;0,IF(AF33&gt;=CMEMM1,AF33,0),"N/A")),"")</f>
        <v>N/A</v>
      </c>
      <c r="CC33" s="4"/>
      <c r="CD33" s="4">
        <f>IFERROR(IF(COUNTIF(AF33:AF42,"")=10,"",IF(AF33="","",IF(AF33&gt;=CMEMM1,1,0))),"")</f>
        <v>1</v>
      </c>
      <c r="CE33" s="4" t="str">
        <f>B33&amp;"-0"&amp;1</f>
        <v>P04-01</v>
      </c>
      <c r="CF33" s="4" t="str">
        <f>IFERROR(INDEX('DESEMPATE Y DISCAPACIDAD'!$D$3:$D$450,MATCH(CE33,'DESEMPATE Y DISCAPACIDAD'!$C$3:$C$450,0)),"")</f>
        <v>REDTIC INGENIERIA S.A.S. – BIC.</v>
      </c>
      <c r="CG33" s="4">
        <f>IF(OR(CE33="",CF33=""),"",SUMIF(D33:D42,CF33,CD33:CD42))</f>
        <v>1</v>
      </c>
      <c r="CH33" s="4" t="str">
        <f>IF(OR(CE33="",CF33="",CG33=""),"",IF(CG33&gt;0,"CUMPLE","NO CUMPLE"))</f>
        <v>CUMPLE</v>
      </c>
      <c r="CI33" s="4">
        <f>IF(CF33="","",IF(ISTEXT(CF33),1,0))</f>
        <v>1</v>
      </c>
      <c r="CJ33" s="4" t="str">
        <f>IF(OR(CD33="",CE33="",CF33="",CG33="",CH33="",CI33=""),"",IF(COUNTIF(CH33:CH42,"CUMPLE")=COUNTIF(CI33:CI42,1),"CUMPLE","NO CUMPLE"))</f>
        <v>CUMPLE</v>
      </c>
      <c r="CK33" s="4"/>
      <c r="CL33" s="4">
        <f t="shared" si="1"/>
        <v>1</v>
      </c>
      <c r="CM33" s="4">
        <f t="shared" si="2"/>
        <v>1</v>
      </c>
      <c r="CN33" s="4" t="str">
        <f>IF(OR(CL33="",CM33=""),"",IF(AND(CL33=0,CM33=0),"N/A",IF(AND(CL33=1,CM33=0),"COND. A",IF(AND(CL33=0,CM33=1),"COND. B",IF(AND(CL33=1,CM33=1),"COND. A Y B","")))))</f>
        <v>COND. A Y B</v>
      </c>
      <c r="CO33" s="4" t="str">
        <f>IF(COUNTIF(CN33:CN42,"N/A")=10,"NO CUMPLE",IF(COUNTIF(CN33:CN42,"COND. A Y B")&gt;1,"CUMPLE",IF(AND(COUNTIF(CN33:CN42,"COND. A")&gt;0,COUNTIF(CN33:CN42,"COND. B")&gt;0),"CUMPLE",IF(AND(COUNTIF(CN33:CN42,"COND. A Y B")&gt;0,COUNTIF(CN33:CN42,"COND. A")&gt;0),"CUMPLE",IF(AND(COUNTIF(CN33:CN42,"COND. A Y B")&gt;0,COUNTIF(CN33:CN42,"COND. B")&gt;0),"CUMPLE","NO CUMPLE")))))</f>
        <v>CUMPLE</v>
      </c>
      <c r="CP33" s="4"/>
      <c r="CQ33" s="29" t="str">
        <f t="shared" si="3"/>
        <v>N/A</v>
      </c>
      <c r="CR33" s="29">
        <f t="shared" si="4"/>
        <v>4398.2449999999999</v>
      </c>
      <c r="CS33" s="4"/>
    </row>
    <row r="34" spans="1:97" ht="34.25" customHeight="1">
      <c r="B34" s="481"/>
      <c r="C34" s="118" t="s">
        <v>175</v>
      </c>
      <c r="D34" s="119" t="str">
        <f>+IFERROR(INDEX('DESEMPATE Y DISCAPACIDAD'!$D$3:$D$450,MATCH(C34,'DESEMPATE Y DISCAPACIDAD'!$C$3:$C$450,0)),"")</f>
        <v>REDTIC INGENIERIA S.A.S. – BIC.</v>
      </c>
      <c r="E34" s="120" t="str">
        <f>IFERROR(IF(D34="","",IF(VLOOKUP(D34,'DESEMPATE Y DISCAPACIDAD'!D$3:$E$450,2,FALSE)=1,"N/A",IF(VLOOKUP(D34,'DESEMPATE Y DISCAPACIDAD'!D$3:$F$450,3,FALSE)="X","SI","NO"))),"")</f>
        <v>NO</v>
      </c>
      <c r="F34" s="200" t="s">
        <v>663</v>
      </c>
      <c r="G34" s="121" t="s">
        <v>660</v>
      </c>
      <c r="H34" s="65" t="s">
        <v>825</v>
      </c>
      <c r="I34" s="199" t="s">
        <v>826</v>
      </c>
      <c r="J34" s="121" t="s">
        <v>74</v>
      </c>
      <c r="K34" s="125" t="s">
        <v>74</v>
      </c>
      <c r="L34" s="125" t="s">
        <v>75</v>
      </c>
      <c r="M34" s="140" t="s">
        <v>74</v>
      </c>
      <c r="N34" s="121" t="str">
        <f t="shared" ref="N34:N42" si="33">IFERROR(IF(OR(J34="",K34=""),"",IF(J34="NO","NO",K34)),"")</f>
        <v>SI</v>
      </c>
      <c r="O34" s="121" t="str">
        <f t="shared" ref="O34:O42" si="34">IFERROR(IF(OR(J34="",L34=""),"",IF(J34="NO","NO",L34)),"")</f>
        <v>NO</v>
      </c>
      <c r="P34" s="121" t="str">
        <f t="shared" ref="P34:P42" si="35">IFERROR(IF(OR(J34="",M34=""),"",IF(J34="NO","NO",M34)),"")</f>
        <v>SI</v>
      </c>
      <c r="Q34" s="121" t="str">
        <f t="shared" si="8"/>
        <v>SI</v>
      </c>
      <c r="R34" s="66">
        <v>0.25</v>
      </c>
      <c r="S34" s="129">
        <v>42901</v>
      </c>
      <c r="T34" s="129">
        <v>43707</v>
      </c>
      <c r="U34" s="121">
        <f t="shared" si="32"/>
        <v>2019</v>
      </c>
      <c r="V34" s="124">
        <f>IF(U34=2023,1160000,IFERROR(INDEX(SMMLV!$B$2:$B$101,MATCH(U34,SMMLV!$A$2:$A$101,0)),""))</f>
        <v>828116</v>
      </c>
      <c r="W34" s="117" t="s">
        <v>670</v>
      </c>
      <c r="X34" s="125" t="s">
        <v>671</v>
      </c>
      <c r="Y34" s="125">
        <v>72</v>
      </c>
      <c r="Z34" s="474" t="s">
        <v>74</v>
      </c>
      <c r="AA34" s="475"/>
      <c r="AB34" s="476"/>
      <c r="AC34" s="125" t="str">
        <f t="shared" ref="AC34:AC42" si="36">IFERROR(IF(Y34="","",IF(ISNUMBER(Y34),IF(COUNTIF(Z34,"SI")&gt;0,"SI","NO"),Y34)),"")</f>
        <v>SI</v>
      </c>
      <c r="AD34" s="117" t="str">
        <f t="shared" si="10"/>
        <v>N/A</v>
      </c>
      <c r="AE34" s="117">
        <v>13394.04</v>
      </c>
      <c r="AF34" s="117">
        <f t="shared" si="11"/>
        <v>3348.51</v>
      </c>
      <c r="AG34" s="470"/>
      <c r="AH34" s="470"/>
      <c r="AI34" s="125" t="str">
        <f t="shared" si="12"/>
        <v>NO CUMPLE</v>
      </c>
      <c r="AJ34" s="470"/>
      <c r="AK34" s="470"/>
      <c r="AL34" s="472"/>
      <c r="AM34" s="496"/>
      <c r="AN34" s="125" t="s">
        <v>75</v>
      </c>
      <c r="AO34" s="490"/>
      <c r="AP34" s="125" t="s">
        <v>74</v>
      </c>
      <c r="AQ34" s="490"/>
      <c r="AR34" s="522"/>
      <c r="AS34" s="519"/>
      <c r="AT34" s="208"/>
      <c r="AU34" s="611"/>
      <c r="AV34" s="543"/>
      <c r="AW34" s="561"/>
      <c r="AX34" s="561"/>
      <c r="AY34" s="19"/>
      <c r="BZ34" s="4"/>
      <c r="CA34" s="4"/>
      <c r="CB34" s="29" t="str">
        <f>IFERROR(IF(COUNTIF(AF33:AF42,"")=10,"",IF(COUNTIF(E33:E42,"N/A")&gt;0,IF(AF34&gt;=CMEMM1,AF34,0),"N/A")),"")</f>
        <v>N/A</v>
      </c>
      <c r="CC34" s="4"/>
      <c r="CD34" s="4">
        <f>IFERROR(IF(COUNTIF(AF33:AF42,"")=10,"",IF(AF34="","",IF(AF34&gt;=CMEMM1,1,0))),"")</f>
        <v>0</v>
      </c>
      <c r="CE34" s="4" t="str">
        <f>B33&amp;"-0"&amp;2</f>
        <v>P04-02</v>
      </c>
      <c r="CF34" s="4" t="str">
        <f>IFERROR(INDEX('DESEMPATE Y DISCAPACIDAD'!$D$3:$D$450,MATCH(CE34,'DESEMPATE Y DISCAPACIDAD'!$C$3:$C$450,0)),"")</f>
        <v>GINPROCOL S.A.S.</v>
      </c>
      <c r="CG34" s="4">
        <f>IF(OR(CE34="",CF34=""),"",SUMIF(D33:D42,CF34,CD33:CD42))</f>
        <v>1</v>
      </c>
      <c r="CH34" s="4" t="str">
        <f t="shared" ref="CH34:CH97" si="37">IF(OR(CE34="",CF34="",CG34=""),"",IF(CG34&gt;0,"CUMPLE","NO CUMPLE"))</f>
        <v>CUMPLE</v>
      </c>
      <c r="CI34" s="4">
        <f t="shared" ref="CI34:CI42" si="38">IF(CF34="","",IF(ISTEXT(CF34),1,0))</f>
        <v>1</v>
      </c>
      <c r="CJ34" s="4"/>
      <c r="CK34" s="4"/>
      <c r="CL34" s="4">
        <f t="shared" si="1"/>
        <v>1</v>
      </c>
      <c r="CM34" s="4">
        <f t="shared" si="2"/>
        <v>0</v>
      </c>
      <c r="CN34" s="4" t="str">
        <f t="shared" ref="CN34:CN42" si="39">IF(OR(CL34="",CM34=""),"",IF(AND(CL34=0,CM34=0),"N/A",IF(AND(CL34=1,CM34=0),"COND. A",IF(AND(CL34=0,CM34=1),"COND. B",IF(AND(CL34=1,CM34=1),"COND. A Y B","")))))</f>
        <v>COND. A</v>
      </c>
      <c r="CO34" s="4"/>
      <c r="CP34" s="4"/>
      <c r="CQ34" s="29" t="str">
        <f t="shared" si="3"/>
        <v>N/A</v>
      </c>
      <c r="CR34" s="29">
        <f t="shared" si="4"/>
        <v>3348.51</v>
      </c>
      <c r="CS34" s="4"/>
    </row>
    <row r="35" spans="1:97" ht="34.25" customHeight="1">
      <c r="B35" s="481"/>
      <c r="C35" s="118" t="s">
        <v>227</v>
      </c>
      <c r="D35" s="126" t="str">
        <f>+IFERROR(INDEX('DESEMPATE Y DISCAPACIDAD'!$D$3:$D$450,MATCH(C35,'DESEMPATE Y DISCAPACIDAD'!$C$3:$C$450,0)),"")</f>
        <v>GINPROCOL S.A.S.</v>
      </c>
      <c r="E35" s="127" t="str">
        <f>IFERROR(IF(D35="","",IF(VLOOKUP(D35,'DESEMPATE Y DISCAPACIDAD'!D$3:$E$450,2,FALSE)=1,"N/A",IF(VLOOKUP(D35,'DESEMPATE Y DISCAPACIDAD'!D$3:$F$450,3,FALSE)="X","SI","NO"))),"")</f>
        <v>NO</v>
      </c>
      <c r="F35" s="200" t="s">
        <v>799</v>
      </c>
      <c r="G35" s="121" t="s">
        <v>736</v>
      </c>
      <c r="H35" s="65" t="s">
        <v>827</v>
      </c>
      <c r="I35" s="199" t="s">
        <v>828</v>
      </c>
      <c r="J35" s="121" t="s">
        <v>74</v>
      </c>
      <c r="K35" s="125" t="s">
        <v>74</v>
      </c>
      <c r="L35" s="125" t="s">
        <v>75</v>
      </c>
      <c r="M35" s="140" t="s">
        <v>75</v>
      </c>
      <c r="N35" s="125" t="str">
        <f t="shared" si="33"/>
        <v>SI</v>
      </c>
      <c r="O35" s="125" t="str">
        <f t="shared" si="34"/>
        <v>NO</v>
      </c>
      <c r="P35" s="125" t="str">
        <f t="shared" si="35"/>
        <v>NO</v>
      </c>
      <c r="Q35" s="125" t="str">
        <f t="shared" si="8"/>
        <v>SI</v>
      </c>
      <c r="R35" s="66">
        <v>1</v>
      </c>
      <c r="S35" s="129">
        <v>39322</v>
      </c>
      <c r="T35" s="129">
        <v>42521</v>
      </c>
      <c r="U35" s="125">
        <f t="shared" si="32"/>
        <v>2016</v>
      </c>
      <c r="V35" s="117">
        <f>IF(U35=2023,1160000,IFERROR(INDEX(SMMLV!$B$2:$B$101,MATCH(U35,SMMLV!$A$2:$A$101,0)),""))</f>
        <v>689455</v>
      </c>
      <c r="W35" s="117" t="s">
        <v>670</v>
      </c>
      <c r="X35" s="125" t="s">
        <v>671</v>
      </c>
      <c r="Y35" s="125">
        <v>40</v>
      </c>
      <c r="Z35" s="474" t="s">
        <v>74</v>
      </c>
      <c r="AA35" s="475"/>
      <c r="AB35" s="476"/>
      <c r="AC35" s="125" t="str">
        <f t="shared" si="36"/>
        <v>SI</v>
      </c>
      <c r="AD35" s="117" t="str">
        <f t="shared" si="10"/>
        <v>N/A</v>
      </c>
      <c r="AE35" s="117">
        <v>69156.97</v>
      </c>
      <c r="AF35" s="117">
        <f t="shared" si="11"/>
        <v>69156.97</v>
      </c>
      <c r="AG35" s="470"/>
      <c r="AH35" s="470"/>
      <c r="AI35" s="125" t="str">
        <f t="shared" si="12"/>
        <v>CUMPLE</v>
      </c>
      <c r="AJ35" s="470"/>
      <c r="AK35" s="470"/>
      <c r="AL35" s="472"/>
      <c r="AM35" s="496"/>
      <c r="AN35" s="125" t="s">
        <v>75</v>
      </c>
      <c r="AO35" s="490"/>
      <c r="AP35" s="125" t="s">
        <v>74</v>
      </c>
      <c r="AQ35" s="490"/>
      <c r="AR35" s="522"/>
      <c r="AS35" s="519"/>
      <c r="AT35" s="208"/>
      <c r="AU35" s="611"/>
      <c r="AV35" s="543"/>
      <c r="AW35" s="561"/>
      <c r="AX35" s="561"/>
      <c r="AY35" s="19"/>
      <c r="BZ35" s="4"/>
      <c r="CA35" s="4"/>
      <c r="CB35" s="29" t="str">
        <f>IFERROR(IF(COUNTIF(AF33:AF42,"")=10,"",IF(COUNTIF(E33:E42,"N/A")&gt;0,IF(AF35&gt;=CMEMM1,AF35,0),"N/A")),"")</f>
        <v>N/A</v>
      </c>
      <c r="CC35" s="4"/>
      <c r="CD35" s="4">
        <f>IFERROR(IF(COUNTIF(AF33:AF42,"")=10,"",IF(AF35="","",IF(AF35&gt;=CMEMM1,1,0))),"")</f>
        <v>1</v>
      </c>
      <c r="CE35" s="4" t="str">
        <f>B33&amp;"-0"&amp;3</f>
        <v>P04-03</v>
      </c>
      <c r="CF35" s="4" t="str">
        <f>IFERROR(INDEX('DESEMPATE Y DISCAPACIDAD'!$D$3:$D$450,MATCH(CE35,'DESEMPATE Y DISCAPACIDAD'!$C$3:$C$450,0)),"")</f>
        <v>INGEPLAN.CO S.A.S. BIC</v>
      </c>
      <c r="CG35" s="4">
        <f>IF(OR(CE35="",CF35=""),"",SUMIF(D33:D42,CF35,CD33:CD42))</f>
        <v>1</v>
      </c>
      <c r="CH35" s="4" t="str">
        <f t="shared" si="37"/>
        <v>CUMPLE</v>
      </c>
      <c r="CI35" s="4">
        <f t="shared" si="38"/>
        <v>1</v>
      </c>
      <c r="CJ35" s="4"/>
      <c r="CK35" s="4"/>
      <c r="CL35" s="4">
        <f t="shared" si="1"/>
        <v>1</v>
      </c>
      <c r="CM35" s="4">
        <f t="shared" si="2"/>
        <v>0</v>
      </c>
      <c r="CN35" s="4" t="str">
        <f t="shared" si="39"/>
        <v>COND. A</v>
      </c>
      <c r="CO35" s="4"/>
      <c r="CP35" s="4"/>
      <c r="CQ35" s="29" t="str">
        <f>IF(OR(AN34="",CB35=""),"",IF(AN34="NO",CB35,0))</f>
        <v>N/A</v>
      </c>
      <c r="CR35" s="29">
        <f>IF(OR(AN34="",AF35=""),"",IF(AN34="NO",AF35,0))</f>
        <v>69156.97</v>
      </c>
      <c r="CS35" s="4"/>
    </row>
    <row r="36" spans="1:97" ht="34.25" customHeight="1">
      <c r="B36" s="481"/>
      <c r="C36" s="118" t="s">
        <v>227</v>
      </c>
      <c r="D36" s="126" t="str">
        <f>+IFERROR(INDEX('DESEMPATE Y DISCAPACIDAD'!$D$3:$D$450,MATCH(C36,'DESEMPATE Y DISCAPACIDAD'!$C$3:$C$450,0)),"")</f>
        <v>GINPROCOL S.A.S.</v>
      </c>
      <c r="E36" s="127" t="str">
        <f>IFERROR(IF(D36="","",IF(VLOOKUP(D36,'DESEMPATE Y DISCAPACIDAD'!D$3:$E$450,2,FALSE)=1,"N/A",IF(VLOOKUP(D36,'DESEMPATE Y DISCAPACIDAD'!D$3:$F$450,3,FALSE)="X","SI","NO"))),"")</f>
        <v>NO</v>
      </c>
      <c r="F36" s="200" t="s">
        <v>799</v>
      </c>
      <c r="G36" s="121" t="s">
        <v>736</v>
      </c>
      <c r="H36" s="86" t="s">
        <v>829</v>
      </c>
      <c r="I36" s="199" t="s">
        <v>830</v>
      </c>
      <c r="J36" s="125" t="s">
        <v>74</v>
      </c>
      <c r="K36" s="125" t="s">
        <v>74</v>
      </c>
      <c r="L36" s="125" t="s">
        <v>75</v>
      </c>
      <c r="M36" s="140" t="s">
        <v>74</v>
      </c>
      <c r="N36" s="125" t="str">
        <f t="shared" si="33"/>
        <v>SI</v>
      </c>
      <c r="O36" s="125" t="str">
        <f t="shared" si="34"/>
        <v>NO</v>
      </c>
      <c r="P36" s="125" t="str">
        <f t="shared" si="35"/>
        <v>SI</v>
      </c>
      <c r="Q36" s="125" t="str">
        <f t="shared" si="8"/>
        <v>SI</v>
      </c>
      <c r="R36" s="66">
        <v>0.5</v>
      </c>
      <c r="S36" s="129">
        <v>40020</v>
      </c>
      <c r="T36" s="129">
        <v>40748</v>
      </c>
      <c r="U36" s="125">
        <f t="shared" si="32"/>
        <v>2011</v>
      </c>
      <c r="V36" s="117">
        <f>IF(U36=2023,1160000,IFERROR(INDEX(SMMLV!$B$2:$B$101,MATCH(U36,SMMLV!$A$2:$A$101,0)),""))</f>
        <v>535600</v>
      </c>
      <c r="W36" s="117" t="s">
        <v>670</v>
      </c>
      <c r="X36" s="125" t="s">
        <v>671</v>
      </c>
      <c r="Y36" s="125">
        <v>38</v>
      </c>
      <c r="Z36" s="474" t="s">
        <v>74</v>
      </c>
      <c r="AA36" s="475"/>
      <c r="AB36" s="476"/>
      <c r="AC36" s="125" t="str">
        <f t="shared" si="36"/>
        <v>SI</v>
      </c>
      <c r="AD36" s="117" t="str">
        <f t="shared" si="10"/>
        <v>N/A</v>
      </c>
      <c r="AE36" s="117">
        <v>3697.23</v>
      </c>
      <c r="AF36" s="117">
        <f t="shared" si="11"/>
        <v>1848.615</v>
      </c>
      <c r="AG36" s="470"/>
      <c r="AH36" s="470"/>
      <c r="AI36" s="125" t="str">
        <f t="shared" si="12"/>
        <v>NO CUMPLE</v>
      </c>
      <c r="AJ36" s="470"/>
      <c r="AK36" s="470"/>
      <c r="AL36" s="472"/>
      <c r="AM36" s="496"/>
      <c r="AN36" s="125" t="s">
        <v>75</v>
      </c>
      <c r="AO36" s="490"/>
      <c r="AP36" s="125" t="s">
        <v>74</v>
      </c>
      <c r="AQ36" s="490"/>
      <c r="AR36" s="522"/>
      <c r="AS36" s="519"/>
      <c r="AT36" s="208"/>
      <c r="AU36" s="611"/>
      <c r="AV36" s="543"/>
      <c r="AW36" s="561"/>
      <c r="AX36" s="561"/>
      <c r="AY36" s="19"/>
      <c r="BZ36" s="4"/>
      <c r="CA36" s="4"/>
      <c r="CB36" s="29" t="str">
        <f>IFERROR(IF(COUNTIF(AF33:AF42,"")=10,"",IF(COUNTIF(E33:E42,"N/A")&gt;0,IF(AF36&gt;=CMEMM1,AF36,0),"N/A")),"")</f>
        <v>N/A</v>
      </c>
      <c r="CC36" s="4"/>
      <c r="CD36" s="4">
        <f>IFERROR(IF(COUNTIF(AF33:AF42,"")=10,"",IF(AF36="","",IF(AF36&gt;=CMEMM1,1,0))),"")</f>
        <v>0</v>
      </c>
      <c r="CE36" s="4" t="str">
        <f>B33&amp;"-0"&amp;4</f>
        <v>P04-04</v>
      </c>
      <c r="CF36" s="4">
        <f>IFERROR(INDEX('DESEMPATE Y DISCAPACIDAD'!$D$3:$D$450,MATCH(CE36,'DESEMPATE Y DISCAPACIDAD'!$C$3:$C$450,0)),"")</f>
        <v>0</v>
      </c>
      <c r="CG36" s="4">
        <f>IF(OR(CE36="",CF36=""),"",SUMIF(D33:D42,CF36,CD33:CD42))</f>
        <v>0</v>
      </c>
      <c r="CH36" s="4" t="str">
        <f t="shared" si="37"/>
        <v>NO CUMPLE</v>
      </c>
      <c r="CI36" s="4">
        <f t="shared" si="38"/>
        <v>0</v>
      </c>
      <c r="CJ36" s="4"/>
      <c r="CK36" s="4"/>
      <c r="CL36" s="4">
        <f t="shared" si="1"/>
        <v>1</v>
      </c>
      <c r="CM36" s="4">
        <f t="shared" si="2"/>
        <v>0</v>
      </c>
      <c r="CN36" s="4" t="str">
        <f t="shared" si="39"/>
        <v>COND. A</v>
      </c>
      <c r="CO36" s="4"/>
      <c r="CP36" s="4"/>
      <c r="CQ36" s="29" t="str">
        <f t="shared" ref="CQ36:CQ45" si="40">IF(OR(AN36="",CB36=""),"",IF(AN36="NO",CB36,0))</f>
        <v>N/A</v>
      </c>
      <c r="CR36" s="29">
        <f t="shared" ref="CR36:CR45" si="41">IF(OR(AN36="",AF36=""),"",IF(AN36="NO",AF36,0))</f>
        <v>1848.615</v>
      </c>
      <c r="CS36" s="4"/>
    </row>
    <row r="37" spans="1:97" ht="45" customHeight="1">
      <c r="B37" s="481"/>
      <c r="C37" s="118" t="s">
        <v>227</v>
      </c>
      <c r="D37" s="126" t="str">
        <f>+IFERROR(INDEX('DESEMPATE Y DISCAPACIDAD'!$D$3:$D$450,MATCH(C37,'DESEMPATE Y DISCAPACIDAD'!$C$3:$C$450,0)),"")</f>
        <v>GINPROCOL S.A.S.</v>
      </c>
      <c r="E37" s="127" t="str">
        <f>IFERROR(IF(D37="","",IF(VLOOKUP(D37,'DESEMPATE Y DISCAPACIDAD'!D$3:$E$450,2,FALSE)=1,"N/A",IF(VLOOKUP(D37,'DESEMPATE Y DISCAPACIDAD'!D$3:$F$450,3,FALSE)="X","SI","NO"))),"")</f>
        <v>NO</v>
      </c>
      <c r="F37" s="200" t="s">
        <v>831</v>
      </c>
      <c r="G37" s="121" t="s">
        <v>660</v>
      </c>
      <c r="H37" s="77" t="s">
        <v>832</v>
      </c>
      <c r="I37" s="199" t="s">
        <v>833</v>
      </c>
      <c r="J37" s="125" t="s">
        <v>74</v>
      </c>
      <c r="K37" s="125" t="s">
        <v>74</v>
      </c>
      <c r="L37" s="125" t="s">
        <v>75</v>
      </c>
      <c r="M37" s="140" t="s">
        <v>75</v>
      </c>
      <c r="N37" s="125" t="str">
        <f t="shared" si="33"/>
        <v>SI</v>
      </c>
      <c r="O37" s="125" t="str">
        <f>IFERROR(IF(OR(J37="",L37=""),"",IF(J37="NO","NO",L37)),"")</f>
        <v>NO</v>
      </c>
      <c r="P37" s="125" t="str">
        <f>IFERROR(IF(OR(J37="",M37=""),"",IF(J37="NO","NO",M37)),"")</f>
        <v>NO</v>
      </c>
      <c r="Q37" s="125" t="str">
        <f t="shared" si="8"/>
        <v>SI</v>
      </c>
      <c r="R37" s="66">
        <v>0.25</v>
      </c>
      <c r="S37" s="129">
        <v>43516</v>
      </c>
      <c r="T37" s="129">
        <v>43790</v>
      </c>
      <c r="U37" s="125">
        <f t="shared" si="32"/>
        <v>2019</v>
      </c>
      <c r="V37" s="117">
        <f>IF(U37=2023,1160000,IFERROR(INDEX(SMMLV!$B$2:$B$101,MATCH(U37,SMMLV!$A$2:$A$101,0)),""))</f>
        <v>828116</v>
      </c>
      <c r="W37" s="117" t="s">
        <v>670</v>
      </c>
      <c r="X37" s="125" t="s">
        <v>671</v>
      </c>
      <c r="Y37" s="125">
        <v>63</v>
      </c>
      <c r="Z37" s="474" t="s">
        <v>74</v>
      </c>
      <c r="AA37" s="475"/>
      <c r="AB37" s="476"/>
      <c r="AC37" s="125" t="str">
        <f t="shared" si="36"/>
        <v>SI</v>
      </c>
      <c r="AD37" s="117" t="str">
        <f t="shared" si="10"/>
        <v>N/A</v>
      </c>
      <c r="AE37" s="117">
        <v>963.3</v>
      </c>
      <c r="AF37" s="117">
        <f t="shared" si="11"/>
        <v>240.82499999999999</v>
      </c>
      <c r="AG37" s="470"/>
      <c r="AH37" s="470"/>
      <c r="AI37" s="125" t="str">
        <f t="shared" si="12"/>
        <v>NO CUMPLE</v>
      </c>
      <c r="AJ37" s="470"/>
      <c r="AK37" s="470"/>
      <c r="AL37" s="472"/>
      <c r="AM37" s="496"/>
      <c r="AN37" s="125" t="s">
        <v>75</v>
      </c>
      <c r="AO37" s="490"/>
      <c r="AP37" s="125" t="s">
        <v>74</v>
      </c>
      <c r="AQ37" s="490"/>
      <c r="AR37" s="522"/>
      <c r="AS37" s="519"/>
      <c r="AT37" s="208"/>
      <c r="AU37" s="611"/>
      <c r="AV37" s="543"/>
      <c r="AW37" s="561"/>
      <c r="AX37" s="561"/>
      <c r="AY37" s="19"/>
      <c r="BZ37" s="4"/>
      <c r="CA37" s="4"/>
      <c r="CB37" s="29" t="str">
        <f>IFERROR(IF(COUNTIF(AF33:AF42,"")=10,"",IF(COUNTIF(E33:E42,"N/A")&gt;0,IF(AF37&gt;=CMEMM1,AF37,0),"N/A")),"")</f>
        <v>N/A</v>
      </c>
      <c r="CC37" s="4"/>
      <c r="CD37" s="4">
        <f>IFERROR(IF(COUNTIF(AF33:AF42,"")=10,"",IF(AF37="","",IF(AF37&gt;=CMEMM1,1,0))),"")</f>
        <v>0</v>
      </c>
      <c r="CE37" s="4" t="str">
        <f>B33&amp;"-0"&amp;5</f>
        <v>P04-05</v>
      </c>
      <c r="CF37" s="4">
        <f>IFERROR(INDEX('DESEMPATE Y DISCAPACIDAD'!$D$3:$D$450,MATCH(CE37,'DESEMPATE Y DISCAPACIDAD'!$C$3:$C$450,0)),"")</f>
        <v>0</v>
      </c>
      <c r="CG37" s="4">
        <f>IF(OR(CE37="",CF37=""),"",SUMIF(D33:D42,CF37,CD33:CD42))</f>
        <v>0</v>
      </c>
      <c r="CH37" s="4" t="str">
        <f t="shared" si="37"/>
        <v>NO CUMPLE</v>
      </c>
      <c r="CI37" s="4">
        <f t="shared" si="38"/>
        <v>0</v>
      </c>
      <c r="CJ37" s="4"/>
      <c r="CK37" s="4"/>
      <c r="CL37" s="4">
        <f t="shared" si="1"/>
        <v>1</v>
      </c>
      <c r="CM37" s="4">
        <f t="shared" si="2"/>
        <v>0</v>
      </c>
      <c r="CN37" s="4" t="str">
        <f t="shared" si="39"/>
        <v>COND. A</v>
      </c>
      <c r="CO37" s="4"/>
      <c r="CP37" s="4"/>
      <c r="CQ37" s="29" t="str">
        <f>IF(OR(AN36="",CB37=""),"",IF(AN36="NO",CB37,0))</f>
        <v>N/A</v>
      </c>
      <c r="CR37" s="29">
        <f>IF(OR(AN36="",AF37=""),"",IF(AN36="NO",AF37,0))</f>
        <v>240.82499999999999</v>
      </c>
      <c r="CS37" s="4"/>
    </row>
    <row r="38" spans="1:97" ht="45" customHeight="1">
      <c r="B38" s="481"/>
      <c r="C38" s="118" t="s">
        <v>227</v>
      </c>
      <c r="D38" s="126" t="str">
        <f>+IFERROR(INDEX('DESEMPATE Y DISCAPACIDAD'!$D$3:$D$450,MATCH(C38,'DESEMPATE Y DISCAPACIDAD'!$C$3:$C$450,0)),"")</f>
        <v>GINPROCOL S.A.S.</v>
      </c>
      <c r="E38" s="127" t="str">
        <f>IFERROR(IF(D38="","",IF(VLOOKUP(D38,'DESEMPATE Y DISCAPACIDAD'!D$3:$E$450,2,FALSE)=1,"N/A",IF(VLOOKUP(D38,'DESEMPATE Y DISCAPACIDAD'!D$3:$F$450,3,FALSE)="X","SI","NO"))),"")</f>
        <v>NO</v>
      </c>
      <c r="F38" s="200" t="s">
        <v>831</v>
      </c>
      <c r="G38" s="121" t="s">
        <v>660</v>
      </c>
      <c r="H38" s="125" t="s">
        <v>834</v>
      </c>
      <c r="I38" s="199" t="s">
        <v>835</v>
      </c>
      <c r="J38" s="125" t="s">
        <v>74</v>
      </c>
      <c r="K38" s="125" t="s">
        <v>74</v>
      </c>
      <c r="L38" s="125" t="s">
        <v>75</v>
      </c>
      <c r="M38" s="140" t="s">
        <v>75</v>
      </c>
      <c r="N38" s="125" t="str">
        <f t="shared" si="33"/>
        <v>SI</v>
      </c>
      <c r="O38" s="125" t="str">
        <f t="shared" si="34"/>
        <v>NO</v>
      </c>
      <c r="P38" s="125" t="str">
        <f t="shared" si="35"/>
        <v>NO</v>
      </c>
      <c r="Q38" s="125" t="str">
        <f t="shared" si="8"/>
        <v>SI</v>
      </c>
      <c r="R38" s="68">
        <v>0.25</v>
      </c>
      <c r="S38" s="129">
        <v>43672</v>
      </c>
      <c r="T38" s="129">
        <v>43875</v>
      </c>
      <c r="U38" s="125">
        <f t="shared" si="32"/>
        <v>2020</v>
      </c>
      <c r="V38" s="117">
        <f>IF(U38=2023,1160000,IFERROR(INDEX(SMMLV!$B$2:$B$101,MATCH(U38,SMMLV!$A$2:$A$101,0)),""))</f>
        <v>877803</v>
      </c>
      <c r="W38" s="117" t="s">
        <v>670</v>
      </c>
      <c r="X38" s="125" t="s">
        <v>671</v>
      </c>
      <c r="Y38" s="125">
        <v>65</v>
      </c>
      <c r="Z38" s="474" t="s">
        <v>74</v>
      </c>
      <c r="AA38" s="475"/>
      <c r="AB38" s="476"/>
      <c r="AC38" s="125" t="str">
        <f t="shared" si="36"/>
        <v>SI</v>
      </c>
      <c r="AD38" s="117" t="str">
        <f t="shared" si="10"/>
        <v>N/A</v>
      </c>
      <c r="AE38" s="117">
        <v>632.61</v>
      </c>
      <c r="AF38" s="117">
        <f t="shared" si="11"/>
        <v>158.1525</v>
      </c>
      <c r="AG38" s="470"/>
      <c r="AH38" s="470"/>
      <c r="AI38" s="125" t="str">
        <f t="shared" si="12"/>
        <v>NO CUMPLE</v>
      </c>
      <c r="AJ38" s="470"/>
      <c r="AK38" s="470"/>
      <c r="AL38" s="472"/>
      <c r="AM38" s="496"/>
      <c r="AN38" s="125" t="s">
        <v>75</v>
      </c>
      <c r="AO38" s="490"/>
      <c r="AP38" s="125" t="s">
        <v>74</v>
      </c>
      <c r="AQ38" s="490"/>
      <c r="AR38" s="522"/>
      <c r="AS38" s="519"/>
      <c r="AT38" s="208"/>
      <c r="AU38" s="611"/>
      <c r="AV38" s="543"/>
      <c r="AW38" s="561"/>
      <c r="AX38" s="561"/>
      <c r="AY38" s="19"/>
      <c r="BZ38" s="4"/>
      <c r="CA38" s="4"/>
      <c r="CB38" s="29" t="str">
        <f>IFERROR(IF(COUNTIF(AF33:AF42,"")=10,"",IF(COUNTIF(E33:E42,"N/A")&gt;0,IF(AF38&gt;=CMEMM1,AF38,0),"N/A")),"")</f>
        <v>N/A</v>
      </c>
      <c r="CC38" s="4"/>
      <c r="CD38" s="4">
        <f>IFERROR(IF(COUNTIF(AF33:AF42,"")=10,"",IF(AF38="","",IF(AF38&gt;=CMEMM1,1,0))),"")</f>
        <v>0</v>
      </c>
      <c r="CE38" s="4" t="str">
        <f>B33&amp;"-0"&amp;6</f>
        <v>P04-06</v>
      </c>
      <c r="CF38" s="4">
        <f>IFERROR(INDEX('DESEMPATE Y DISCAPACIDAD'!$D$3:$D$450,MATCH(CE38,'DESEMPATE Y DISCAPACIDAD'!$C$3:$C$450,0)),"")</f>
        <v>0</v>
      </c>
      <c r="CG38" s="4">
        <f>IF(OR(CE38="",CF38=""),"",SUMIF(D33:D42,CF38,CD33:CD42))</f>
        <v>0</v>
      </c>
      <c r="CH38" s="4" t="str">
        <f t="shared" si="37"/>
        <v>NO CUMPLE</v>
      </c>
      <c r="CI38" s="4">
        <f t="shared" si="38"/>
        <v>0</v>
      </c>
      <c r="CJ38" s="4"/>
      <c r="CK38" s="4"/>
      <c r="CL38" s="4">
        <f t="shared" si="1"/>
        <v>1</v>
      </c>
      <c r="CM38" s="4">
        <f t="shared" si="2"/>
        <v>0</v>
      </c>
      <c r="CN38" s="4" t="str">
        <f t="shared" si="39"/>
        <v>COND. A</v>
      </c>
      <c r="CO38" s="4"/>
      <c r="CP38" s="4"/>
      <c r="CQ38" s="29" t="str">
        <f t="shared" si="40"/>
        <v>N/A</v>
      </c>
      <c r="CR38" s="29">
        <f t="shared" si="41"/>
        <v>158.1525</v>
      </c>
      <c r="CS38" s="4"/>
    </row>
    <row r="39" spans="1:97" ht="45" customHeight="1">
      <c r="B39" s="481"/>
      <c r="C39" s="118" t="s">
        <v>228</v>
      </c>
      <c r="D39" s="126" t="str">
        <f>+IFERROR(INDEX('DESEMPATE Y DISCAPACIDAD'!$D$3:$D$450,MATCH(C39,'DESEMPATE Y DISCAPACIDAD'!$C$3:$C$450,0)),"")</f>
        <v>INGEPLAN.CO S.A.S. BIC</v>
      </c>
      <c r="E39" s="127" t="str">
        <f>IFERROR(IF(D39="","",IF(VLOOKUP(D39,'DESEMPATE Y DISCAPACIDAD'!D$3:$E$450,2,FALSE)=1,"N/A",IF(VLOOKUP(D39,'DESEMPATE Y DISCAPACIDAD'!D$3:$F$450,3,FALSE)="X","SI","NO"))),"")</f>
        <v>NO</v>
      </c>
      <c r="F39" s="200" t="s">
        <v>836</v>
      </c>
      <c r="G39" s="121" t="s">
        <v>660</v>
      </c>
      <c r="H39" s="125" t="s">
        <v>837</v>
      </c>
      <c r="I39" s="199" t="s">
        <v>838</v>
      </c>
      <c r="J39" s="125" t="s">
        <v>74</v>
      </c>
      <c r="K39" s="125" t="s">
        <v>74</v>
      </c>
      <c r="L39" s="125" t="s">
        <v>75</v>
      </c>
      <c r="M39" s="140" t="s">
        <v>75</v>
      </c>
      <c r="N39" s="125" t="str">
        <f t="shared" si="33"/>
        <v>SI</v>
      </c>
      <c r="O39" s="125" t="str">
        <f t="shared" si="34"/>
        <v>NO</v>
      </c>
      <c r="P39" s="125" t="str">
        <f t="shared" si="35"/>
        <v>NO</v>
      </c>
      <c r="Q39" s="125" t="str">
        <f t="shared" si="8"/>
        <v>SI</v>
      </c>
      <c r="R39" s="68">
        <v>1</v>
      </c>
      <c r="S39" s="129">
        <v>34304</v>
      </c>
      <c r="T39" s="129">
        <v>35064</v>
      </c>
      <c r="U39" s="125">
        <f t="shared" si="32"/>
        <v>1995</v>
      </c>
      <c r="V39" s="117">
        <f>IF(U39=2023,1160000,IFERROR(INDEX(SMMLV!$B$2:$B$101,MATCH(U39,SMMLV!$A$2:$A$101,0)),""))</f>
        <v>118933.5</v>
      </c>
      <c r="W39" s="117" t="s">
        <v>670</v>
      </c>
      <c r="X39" s="125" t="s">
        <v>671</v>
      </c>
      <c r="Y39" s="125">
        <v>5</v>
      </c>
      <c r="Z39" s="474" t="s">
        <v>74</v>
      </c>
      <c r="AA39" s="475"/>
      <c r="AB39" s="476"/>
      <c r="AC39" s="125" t="str">
        <f t="shared" si="36"/>
        <v>SI</v>
      </c>
      <c r="AD39" s="117" t="str">
        <f t="shared" si="10"/>
        <v>N/A</v>
      </c>
      <c r="AE39" s="117">
        <v>4154.87</v>
      </c>
      <c r="AF39" s="117">
        <f t="shared" si="11"/>
        <v>4154.87</v>
      </c>
      <c r="AG39" s="470"/>
      <c r="AH39" s="470"/>
      <c r="AI39" s="125" t="str">
        <f t="shared" si="12"/>
        <v>CUMPLE</v>
      </c>
      <c r="AJ39" s="470"/>
      <c r="AK39" s="470"/>
      <c r="AL39" s="472"/>
      <c r="AM39" s="496"/>
      <c r="AN39" s="125" t="s">
        <v>75</v>
      </c>
      <c r="AO39" s="490"/>
      <c r="AP39" s="125" t="s">
        <v>74</v>
      </c>
      <c r="AQ39" s="490"/>
      <c r="AR39" s="522"/>
      <c r="AS39" s="519"/>
      <c r="AT39" s="208"/>
      <c r="AU39" s="611"/>
      <c r="AV39" s="543"/>
      <c r="AW39" s="561"/>
      <c r="AX39" s="561"/>
      <c r="AY39" s="19"/>
      <c r="BZ39" s="4"/>
      <c r="CA39" s="4"/>
      <c r="CB39" s="29" t="str">
        <f>IFERROR(IF(COUNTIF(AF33:AF42,"")=10,"",IF(COUNTIF(E33:E42,"N/A")&gt;0,IF(AF39&gt;=CMEMM1,AF39,0),"N/A")),"")</f>
        <v>N/A</v>
      </c>
      <c r="CC39" s="4"/>
      <c r="CD39" s="4">
        <f>IFERROR(IF(COUNTIF(AF33:AF42,"")=10,"",IF(AF39="","",IF(AF39&gt;=CMEMM1,1,0))),"")</f>
        <v>1</v>
      </c>
      <c r="CE39" s="4" t="str">
        <f>B33&amp;"-0"&amp;7</f>
        <v>P04-07</v>
      </c>
      <c r="CF39" s="4" t="str">
        <f>IFERROR(INDEX('DESEMPATE Y DISCAPACIDAD'!$D$3:$D$450,MATCH(CE39,'DESEMPATE Y DISCAPACIDAD'!$C$3:$C$450,0)),"")</f>
        <v/>
      </c>
      <c r="CG39" s="4" t="str">
        <f>IF(OR(CE39="",CF39=""),"",SUMIF(D33:D42,CF39,CD33:CD42))</f>
        <v/>
      </c>
      <c r="CH39" s="4" t="str">
        <f t="shared" si="37"/>
        <v/>
      </c>
      <c r="CI39" s="4" t="str">
        <f t="shared" si="38"/>
        <v/>
      </c>
      <c r="CJ39" s="4"/>
      <c r="CK39" s="4"/>
      <c r="CL39" s="4">
        <f t="shared" si="1"/>
        <v>1</v>
      </c>
      <c r="CM39" s="4">
        <f t="shared" si="2"/>
        <v>0</v>
      </c>
      <c r="CN39" s="4" t="str">
        <f t="shared" si="39"/>
        <v>COND. A</v>
      </c>
      <c r="CO39" s="4"/>
      <c r="CP39" s="4"/>
      <c r="CQ39" s="29" t="str">
        <f>IF(OR(AN38="",CB39=""),"",IF(AN38="NO",CB39,0))</f>
        <v>N/A</v>
      </c>
      <c r="CR39" s="29">
        <f>IF(OR(AN38="",AF39=""),"",IF(AN38="NO",AF39,0))</f>
        <v>4154.87</v>
      </c>
      <c r="CS39" s="4"/>
    </row>
    <row r="40" spans="1:97" ht="2" customHeight="1">
      <c r="B40" s="481"/>
      <c r="C40" s="118"/>
      <c r="D40" s="126" t="str">
        <f>+IFERROR(INDEX('DESEMPATE Y DISCAPACIDAD'!$D$3:$D$450,MATCH(C40,'DESEMPATE Y DISCAPACIDAD'!$C$3:$C$450,0)),"")</f>
        <v/>
      </c>
      <c r="E40" s="127" t="str">
        <f>IFERROR(IF(D40="","",IF(VLOOKUP(D40,'DESEMPATE Y DISCAPACIDAD'!D$3:$E$450,2,FALSE)=1,"N/A",IF(VLOOKUP(D40,'DESEMPATE Y DISCAPACIDAD'!D$3:$F$450,3,FALSE)="X","SI","NO"))),"")</f>
        <v/>
      </c>
      <c r="F40" s="200"/>
      <c r="G40" s="125"/>
      <c r="H40" s="125"/>
      <c r="I40" s="199"/>
      <c r="J40" s="125"/>
      <c r="K40" s="125"/>
      <c r="L40" s="125"/>
      <c r="M40" s="140"/>
      <c r="N40" s="125" t="str">
        <f t="shared" si="33"/>
        <v/>
      </c>
      <c r="O40" s="125" t="str">
        <f t="shared" si="34"/>
        <v/>
      </c>
      <c r="P40" s="125" t="str">
        <f t="shared" si="35"/>
        <v/>
      </c>
      <c r="Q40" s="125" t="str">
        <f t="shared" si="8"/>
        <v/>
      </c>
      <c r="R40" s="68"/>
      <c r="S40" s="129"/>
      <c r="T40" s="129"/>
      <c r="U40" s="125" t="str">
        <f t="shared" si="32"/>
        <v/>
      </c>
      <c r="V40" s="117" t="str">
        <f>IF(U40=2023,1160000,IFERROR(INDEX(SMMLV!$B$2:$B$101,MATCH(U40,SMMLV!$A$2:$A$101,0)),""))</f>
        <v/>
      </c>
      <c r="W40" s="117"/>
      <c r="X40" s="125"/>
      <c r="Y40" s="125"/>
      <c r="Z40" s="474"/>
      <c r="AA40" s="475"/>
      <c r="AB40" s="476"/>
      <c r="AC40" s="125" t="str">
        <f t="shared" si="36"/>
        <v/>
      </c>
      <c r="AD40" s="117" t="str">
        <f t="shared" si="10"/>
        <v/>
      </c>
      <c r="AE40" s="117" t="s">
        <v>894</v>
      </c>
      <c r="AF40" s="117" t="str">
        <f t="shared" si="11"/>
        <v/>
      </c>
      <c r="AG40" s="470"/>
      <c r="AH40" s="470"/>
      <c r="AI40" s="125" t="str">
        <f t="shared" si="12"/>
        <v/>
      </c>
      <c r="AJ40" s="470"/>
      <c r="AK40" s="470"/>
      <c r="AL40" s="472"/>
      <c r="AM40" s="496"/>
      <c r="AN40" s="125"/>
      <c r="AO40" s="490"/>
      <c r="AP40" s="125"/>
      <c r="AQ40" s="490"/>
      <c r="AR40" s="522"/>
      <c r="AS40" s="519"/>
      <c r="AT40" s="204"/>
      <c r="AU40" s="611"/>
      <c r="AV40" s="543"/>
      <c r="AW40" s="561"/>
      <c r="AX40" s="561"/>
      <c r="AY40" s="19"/>
      <c r="BZ40" s="4"/>
      <c r="CA40" s="4"/>
      <c r="CB40" s="29" t="str">
        <f>IFERROR(IF(COUNTIF(AF33:AF42,"")=10,"",IF(COUNTIF(E33:E42,"N/A")&gt;0,IF(AF40&gt;=CMEMM1,AF40,0),"N/A")),"")</f>
        <v>N/A</v>
      </c>
      <c r="CC40" s="4"/>
      <c r="CD40" s="4" t="str">
        <f>IFERROR(IF(COUNTIF(AF33:AF42,"")=10,"",IF(AF40="","",IF(AF40&gt;=CMEMM1,1,0))),"")</f>
        <v/>
      </c>
      <c r="CE40" s="4" t="str">
        <f>B33&amp;"-0"&amp;8</f>
        <v>P04-08</v>
      </c>
      <c r="CF40" s="4" t="str">
        <f>IFERROR(INDEX('DESEMPATE Y DISCAPACIDAD'!$D$3:$D$450,MATCH(CE40,'DESEMPATE Y DISCAPACIDAD'!$C$3:$C$450,0)),"")</f>
        <v/>
      </c>
      <c r="CG40" s="4" t="str">
        <f>IF(OR(CE40="",CF40=""),"",SUMIF(D33:D42,CF40,CD33:CD42))</f>
        <v/>
      </c>
      <c r="CH40" s="4" t="str">
        <f t="shared" si="37"/>
        <v/>
      </c>
      <c r="CI40" s="4" t="str">
        <f t="shared" si="38"/>
        <v/>
      </c>
      <c r="CJ40" s="4"/>
      <c r="CK40" s="4"/>
      <c r="CL40" s="4" t="str">
        <f t="shared" si="1"/>
        <v/>
      </c>
      <c r="CM40" s="4" t="str">
        <f t="shared" si="2"/>
        <v/>
      </c>
      <c r="CN40" s="4" t="str">
        <f t="shared" si="39"/>
        <v/>
      </c>
      <c r="CO40" s="4"/>
      <c r="CP40" s="4"/>
      <c r="CQ40" s="29" t="str">
        <f t="shared" si="40"/>
        <v/>
      </c>
      <c r="CR40" s="29" t="str">
        <f t="shared" si="41"/>
        <v/>
      </c>
      <c r="CS40" s="4"/>
    </row>
    <row r="41" spans="1:97" ht="2" customHeight="1">
      <c r="B41" s="481"/>
      <c r="C41" s="118"/>
      <c r="D41" s="126" t="str">
        <f>+IFERROR(INDEX('DESEMPATE Y DISCAPACIDAD'!$D$3:$D$450,MATCH(C41,'DESEMPATE Y DISCAPACIDAD'!$C$3:$C$450,0)),"")</f>
        <v/>
      </c>
      <c r="E41" s="127" t="str">
        <f>IFERROR(IF(D41="","",IF(VLOOKUP(D41,'DESEMPATE Y DISCAPACIDAD'!D$3:$E$450,2,FALSE)=1,"N/A",IF(VLOOKUP(D41,'DESEMPATE Y DISCAPACIDAD'!D$3:$F$450,3,FALSE)="X","SI","NO"))),"")</f>
        <v/>
      </c>
      <c r="F41" s="200"/>
      <c r="G41" s="125"/>
      <c r="H41" s="125"/>
      <c r="I41" s="128"/>
      <c r="J41" s="125"/>
      <c r="K41" s="125"/>
      <c r="L41" s="125"/>
      <c r="M41" s="125"/>
      <c r="N41" s="125" t="str">
        <f t="shared" si="33"/>
        <v/>
      </c>
      <c r="O41" s="125" t="str">
        <f t="shared" si="34"/>
        <v/>
      </c>
      <c r="P41" s="125" t="str">
        <f t="shared" si="35"/>
        <v/>
      </c>
      <c r="Q41" s="125" t="str">
        <f t="shared" si="8"/>
        <v/>
      </c>
      <c r="R41" s="68"/>
      <c r="S41" s="129"/>
      <c r="T41" s="129"/>
      <c r="U41" s="125" t="str">
        <f t="shared" si="32"/>
        <v/>
      </c>
      <c r="V41" s="117" t="str">
        <f>IF(U41=2023,1160000,IFERROR(INDEX(SMMLV!$B$2:$B$101,MATCH(U41,SMMLV!$A$2:$A$101,0)),""))</f>
        <v/>
      </c>
      <c r="W41" s="117"/>
      <c r="X41" s="125"/>
      <c r="Y41" s="125"/>
      <c r="Z41" s="474"/>
      <c r="AA41" s="475"/>
      <c r="AB41" s="476"/>
      <c r="AC41" s="125" t="str">
        <f t="shared" si="36"/>
        <v/>
      </c>
      <c r="AD41" s="117" t="str">
        <f t="shared" si="10"/>
        <v/>
      </c>
      <c r="AE41" s="117" t="s">
        <v>894</v>
      </c>
      <c r="AF41" s="117" t="str">
        <f t="shared" si="11"/>
        <v/>
      </c>
      <c r="AG41" s="470"/>
      <c r="AH41" s="470"/>
      <c r="AI41" s="125" t="str">
        <f t="shared" si="12"/>
        <v/>
      </c>
      <c r="AJ41" s="470"/>
      <c r="AK41" s="470"/>
      <c r="AL41" s="472"/>
      <c r="AM41" s="496"/>
      <c r="AN41" s="125"/>
      <c r="AO41" s="490"/>
      <c r="AP41" s="125"/>
      <c r="AQ41" s="490"/>
      <c r="AR41" s="522"/>
      <c r="AS41" s="519"/>
      <c r="AT41" s="204"/>
      <c r="AU41" s="611"/>
      <c r="AV41" s="543"/>
      <c r="AW41" s="561"/>
      <c r="AX41" s="561"/>
      <c r="AY41" s="19"/>
      <c r="BZ41" s="4"/>
      <c r="CA41" s="4"/>
      <c r="CB41" s="29" t="str">
        <f>IFERROR(IF(COUNTIF(AF33:AF42,"")=10,"",IF(COUNTIF(E33:E42,"N/A")&gt;0,IF(AF41&gt;=CMEMM1,AF41,0),"N/A")),"")</f>
        <v>N/A</v>
      </c>
      <c r="CC41" s="4"/>
      <c r="CD41" s="4" t="str">
        <f>IFERROR(IF(COUNTIF(AF33:AF42,"")=10,"",IF(AF41="","",IF(AF41&gt;=CMEMM1,1,0))),"")</f>
        <v/>
      </c>
      <c r="CE41" s="4" t="str">
        <f>B33&amp;"-0"&amp;9</f>
        <v>P04-09</v>
      </c>
      <c r="CF41" s="4" t="str">
        <f>IFERROR(INDEX('DESEMPATE Y DISCAPACIDAD'!$D$3:$D$450,MATCH(CE41,'DESEMPATE Y DISCAPACIDAD'!$C$3:$C$450,0)),"")</f>
        <v/>
      </c>
      <c r="CG41" s="4" t="str">
        <f>IF(OR(CE41="",CF41=""),"",SUMIF(D33:D42,CF41,CD33:CD42))</f>
        <v/>
      </c>
      <c r="CH41" s="4" t="str">
        <f t="shared" si="37"/>
        <v/>
      </c>
      <c r="CI41" s="4" t="str">
        <f t="shared" si="38"/>
        <v/>
      </c>
      <c r="CJ41" s="4"/>
      <c r="CK41" s="4"/>
      <c r="CL41" s="4" t="str">
        <f t="shared" si="1"/>
        <v/>
      </c>
      <c r="CM41" s="4" t="str">
        <f t="shared" si="2"/>
        <v/>
      </c>
      <c r="CN41" s="4" t="str">
        <f t="shared" si="39"/>
        <v/>
      </c>
      <c r="CO41" s="4"/>
      <c r="CP41" s="4"/>
      <c r="CQ41" s="29" t="str">
        <f t="shared" si="40"/>
        <v/>
      </c>
      <c r="CR41" s="29" t="str">
        <f t="shared" si="41"/>
        <v/>
      </c>
      <c r="CS41" s="4"/>
    </row>
    <row r="42" spans="1:97" ht="2" customHeight="1" thickBot="1">
      <c r="B42" s="482"/>
      <c r="C42" s="130"/>
      <c r="D42" s="131" t="str">
        <f>+IFERROR(INDEX('DESEMPATE Y DISCAPACIDAD'!$D$3:$D$450,MATCH(C42,'DESEMPATE Y DISCAPACIDAD'!$C$3:$C$450,0)),"")</f>
        <v/>
      </c>
      <c r="E42" s="132" t="str">
        <f>IFERROR(IF(D42="","",IF(VLOOKUP(D42,'DESEMPATE Y DISCAPACIDAD'!D$3:$E$450,2,FALSE)=1,"N/A",IF(VLOOKUP(D42,'DESEMPATE Y DISCAPACIDAD'!D$3:$F$450,3,FALSE)="X","SI","NO"))),"")</f>
        <v/>
      </c>
      <c r="F42" s="133"/>
      <c r="G42" s="133"/>
      <c r="H42" s="133"/>
      <c r="I42" s="134"/>
      <c r="J42" s="133"/>
      <c r="K42" s="133"/>
      <c r="L42" s="133"/>
      <c r="M42" s="133"/>
      <c r="N42" s="133" t="str">
        <f t="shared" si="33"/>
        <v/>
      </c>
      <c r="O42" s="133" t="str">
        <f t="shared" si="34"/>
        <v/>
      </c>
      <c r="P42" s="133" t="str">
        <f t="shared" si="35"/>
        <v/>
      </c>
      <c r="Q42" s="133" t="str">
        <f t="shared" si="8"/>
        <v/>
      </c>
      <c r="R42" s="104"/>
      <c r="S42" s="135"/>
      <c r="T42" s="135"/>
      <c r="U42" s="133" t="str">
        <f t="shared" si="32"/>
        <v/>
      </c>
      <c r="V42" s="136" t="str">
        <f>IF(U42=2023,1160000,IFERROR(INDEX(SMMLV!$B$2:$B$101,MATCH(U42,SMMLV!$A$2:$A$101,0)),""))</f>
        <v/>
      </c>
      <c r="W42" s="136"/>
      <c r="X42" s="133"/>
      <c r="Y42" s="133"/>
      <c r="Z42" s="487"/>
      <c r="AA42" s="488"/>
      <c r="AB42" s="489"/>
      <c r="AC42" s="133" t="str">
        <f t="shared" si="36"/>
        <v/>
      </c>
      <c r="AD42" s="136" t="str">
        <f t="shared" si="10"/>
        <v/>
      </c>
      <c r="AE42" s="117" t="s">
        <v>894</v>
      </c>
      <c r="AF42" s="136" t="str">
        <f t="shared" si="11"/>
        <v/>
      </c>
      <c r="AG42" s="471"/>
      <c r="AH42" s="471"/>
      <c r="AI42" s="133" t="str">
        <f t="shared" si="12"/>
        <v/>
      </c>
      <c r="AJ42" s="471"/>
      <c r="AK42" s="471"/>
      <c r="AL42" s="473"/>
      <c r="AM42" s="497"/>
      <c r="AN42" s="133"/>
      <c r="AO42" s="491"/>
      <c r="AP42" s="133"/>
      <c r="AQ42" s="491"/>
      <c r="AR42" s="523"/>
      <c r="AS42" s="520"/>
      <c r="AT42" s="206"/>
      <c r="AU42" s="612"/>
      <c r="AV42" s="544"/>
      <c r="AW42" s="562"/>
      <c r="AX42" s="562"/>
      <c r="AY42" s="19"/>
      <c r="BZ42" s="4"/>
      <c r="CA42" s="4"/>
      <c r="CB42" s="29" t="str">
        <f>IFERROR(IF(COUNTIF(AF33:AF42,"")=10,"",IF(COUNTIF(E33:E42,"N/A")&gt;0,IF(AF42&gt;=CMEMM1,AF42,0),"N/A")),"")</f>
        <v>N/A</v>
      </c>
      <c r="CC42" s="4"/>
      <c r="CD42" s="4" t="str">
        <f>IFERROR(IF(COUNTIF(AF33:AF42,"")=10,"",IF(AF42="","",IF(AF42&gt;=CMEMM1,1,0))),"")</f>
        <v/>
      </c>
      <c r="CE42" s="4" t="str">
        <f>B33&amp;"-"&amp;10</f>
        <v>P04-10</v>
      </c>
      <c r="CF42" s="4" t="str">
        <f>IFERROR(INDEX('DESEMPATE Y DISCAPACIDAD'!$D$3:$D$450,MATCH(CE42,'DESEMPATE Y DISCAPACIDAD'!$C$3:$C$450,0)),"")</f>
        <v/>
      </c>
      <c r="CG42" s="4" t="str">
        <f>IF(OR(CE42="",CF42=""),"",SUMIF(D33:D42,CF42,CD33:CD42))</f>
        <v/>
      </c>
      <c r="CH42" s="4" t="str">
        <f t="shared" si="37"/>
        <v/>
      </c>
      <c r="CI42" s="4" t="str">
        <f t="shared" si="38"/>
        <v/>
      </c>
      <c r="CJ42" s="4"/>
      <c r="CK42" s="4"/>
      <c r="CL42" s="4" t="str">
        <f t="shared" si="1"/>
        <v/>
      </c>
      <c r="CM42" s="4" t="str">
        <f t="shared" si="2"/>
        <v/>
      </c>
      <c r="CN42" s="4" t="str">
        <f t="shared" si="39"/>
        <v/>
      </c>
      <c r="CO42" s="4"/>
      <c r="CP42" s="4"/>
      <c r="CQ42" s="29" t="str">
        <f t="shared" si="40"/>
        <v/>
      </c>
      <c r="CR42" s="29" t="str">
        <f t="shared" si="41"/>
        <v/>
      </c>
      <c r="CS42" s="4"/>
    </row>
    <row r="43" spans="1:97" ht="45" customHeight="1">
      <c r="A43" s="4" t="str">
        <f>"A"&amp;B43</f>
        <v>AP05</v>
      </c>
      <c r="B43" s="480" t="s">
        <v>126</v>
      </c>
      <c r="C43" s="108" t="s">
        <v>176</v>
      </c>
      <c r="D43" s="119" t="str">
        <f>+IFERROR(INDEX('DESEMPATE Y DISCAPACIDAD'!$D$3:$D$450,MATCH(C43,'DESEMPATE Y DISCAPACIDAD'!$C$3:$C$450,0)),"")</f>
        <v>CONSULTORES TÉCNICOS Y ECONÓMICOS S.A.S. – CONSULTECNICOS</v>
      </c>
      <c r="E43" s="120" t="str">
        <f>IFERROR(IF(D43="","",IF(VLOOKUP(D43,'DESEMPATE Y DISCAPACIDAD'!D$3:$E$450,2,FALSE)=1,"N/A",IF(VLOOKUP(D43,'DESEMPATE Y DISCAPACIDAD'!D$3:$F$450,3,FALSE)="X","SI","NO"))),"")</f>
        <v>NO</v>
      </c>
      <c r="F43" s="121" t="s">
        <v>663</v>
      </c>
      <c r="G43" s="121" t="s">
        <v>660</v>
      </c>
      <c r="H43" s="121" t="s">
        <v>839</v>
      </c>
      <c r="I43" s="122" t="s">
        <v>840</v>
      </c>
      <c r="J43" s="121" t="s">
        <v>74</v>
      </c>
      <c r="K43" s="121" t="s">
        <v>74</v>
      </c>
      <c r="L43" s="121" t="s">
        <v>74</v>
      </c>
      <c r="M43" s="121" t="s">
        <v>74</v>
      </c>
      <c r="N43" s="121" t="str">
        <f>IFERROR(IF(OR(J43="",K43=""),"",IF(J43="NO","NO",K43)),"")</f>
        <v>SI</v>
      </c>
      <c r="O43" s="121" t="str">
        <f>IFERROR(IF(OR(J43="",L43=""),"",IF(J43="NO","NO",L43)),"")</f>
        <v>SI</v>
      </c>
      <c r="P43" s="121" t="str">
        <f>IFERROR(IF(OR(J43="",M43=""),"",IF(J43="NO","NO",M43)),"")</f>
        <v>SI</v>
      </c>
      <c r="Q43" s="121" t="str">
        <f t="shared" si="8"/>
        <v>SI</v>
      </c>
      <c r="R43" s="103">
        <v>1</v>
      </c>
      <c r="S43" s="123">
        <v>42109</v>
      </c>
      <c r="T43" s="123">
        <v>46613</v>
      </c>
      <c r="U43" s="121">
        <f>IFERROR(IF(T43="","",YEAR(T43)),"")</f>
        <v>2027</v>
      </c>
      <c r="V43" s="124" t="str">
        <f>IF(U43=2023,1160000,IFERROR(INDEX(SMMLV!$B$2:$B$101,MATCH(U43,SMMLV!$A$2:$A$101,0)),""))</f>
        <v/>
      </c>
      <c r="W43" s="117">
        <v>66277582007.480003</v>
      </c>
      <c r="X43" s="125" t="s">
        <v>671</v>
      </c>
      <c r="Y43" s="121">
        <v>185</v>
      </c>
      <c r="Z43" s="483" t="s">
        <v>74</v>
      </c>
      <c r="AA43" s="484"/>
      <c r="AB43" s="485"/>
      <c r="AC43" s="121" t="str">
        <f>IFERROR(IF(Y43="","",IF(ISNUMBER(Y43),IF(COUNTIF(Z43,"SI")&gt;0,"SI","NO"),Y43)),"")</f>
        <v>SI</v>
      </c>
      <c r="AD43" s="124">
        <f t="shared" si="10"/>
        <v>66277582007.480003</v>
      </c>
      <c r="AE43" s="117">
        <v>37853.328425799999</v>
      </c>
      <c r="AF43" s="124">
        <f t="shared" si="11"/>
        <v>37853.328425799999</v>
      </c>
      <c r="AG43" s="486" t="str">
        <f>IFERROR(IF(COUNTIF(AF43:AF52,"")=10,"",IF(COUNTIF(E43:E52,"N/A")&gt;0,IF(SUM(CB43:CB52)&gt;=CMEM1,"CUMPLE","NO CUMPLE"),IF(SUM(AF43:AF52)&gt;=CMEM1,"CUMPLE","NO CUMPLE"))),"")</f>
        <v>CUMPLE</v>
      </c>
      <c r="AH43" s="486" t="str">
        <f>IF(COUNTIF(AF43:AF52,"")=10,"",IF(SUMIF(C43:C52,C43,AF43:AF52)&gt;=CMLM1,"CUMPLE",IF(SUMIF(C43:C52,C44,AF43:AF52)&gt;=CMLM1,"CUMPLE",IF(SUMIF(C43:C52,C45,AF43:AF52)&gt;=CMLM1,"CUMPLE",IF(SUMIF(C43:C52,C46,AF43:AF52)&gt;=CMLM1,"CUMPLE",IF(SUMIF(C43:C52,C47,AF43:AF52)&gt;=CMLM1,"CUMPLE",IF(SUMIF(C43:C52,C48,AF43:AF52)&gt;=CMLM1,"CUMPLE",IF(SUMIF(C43:C52,C49,AF43:AF52)&gt;=CMLM1,"CUMPLE",IF(SUMIF(C43:C52,C50,AF43:AF52)&gt;=CMLM1,"CUMPLE",IF(SUMIF(C43:C52,C51,AF43:AF52)&gt;=CMLM1,"CUMPLE",IF(SUMIF(C43:C52,C52,AF43:AF52)&gt;=CMLM1,"CUMPLE","NO CUMPLE")))))))))))</f>
        <v>CUMPLE</v>
      </c>
      <c r="AI43" s="121" t="str">
        <f t="shared" si="12"/>
        <v>CUMPLE</v>
      </c>
      <c r="AJ43" s="469" t="str">
        <f>IFERROR(IF(COUNTIF(AF43:AF52,"")=10,"",IF(COUNTIF(E43:E52,"N/A")&gt;0,"N/A",CJ43)),"")</f>
        <v>CUMPLE</v>
      </c>
      <c r="AK43" s="469" t="str">
        <f>IFERROR(IF(AND(COUNTIF(N43:N52,"SI")&gt;=1,COUNTIF(O43:O52,"SI")&gt;=1,COUNTIF(P43:P52,"SI")&gt;=1,COUNTIF(J43:J52,"SI")&lt;=10,CO43="CUMPLE"),"CUMPLE","NO CUMPLE"),"")</f>
        <v>CUMPLE</v>
      </c>
      <c r="AL43" s="472" t="s">
        <v>77</v>
      </c>
      <c r="AM43" s="495">
        <f>IFERROR(IF(B43&lt;&gt;"",IF(VLOOKUP(B43,'DESEMPATE Y DISCAPACIDAD'!$A$3:$Q$450,10,FALSE)="","",VLOOKUP(B43,'DESEMPATE Y DISCAPACIDAD'!$A$3:$Q$450,10,FALSE)+6),""),"")</f>
        <v>8</v>
      </c>
      <c r="AN43" s="121" t="s">
        <v>75</v>
      </c>
      <c r="AO43" s="490" t="s">
        <v>74</v>
      </c>
      <c r="AP43" s="121" t="s">
        <v>74</v>
      </c>
      <c r="AQ43" s="490">
        <f>IFERROR(IF(COUNTIF(AP43:AP52,"")=10,"",IF(AO43="NO",0,COUNTIF(AP43:AP52,"SI"))),"")</f>
        <v>4</v>
      </c>
      <c r="AR43" s="521">
        <f>IFERROR(IF(COUNTIF(AF43:AF52,"")=10,"",IF(AO43="NO",0,IF(COUNTIF(E43:E52,"N/A")&gt;0,SUM(CQ43:CQ52),SUM(CR43:CR52)))),"")</f>
        <v>70893.293925799997</v>
      </c>
      <c r="AS43" s="518">
        <f>IFERROR(IF(OR(COUNTIF(AF43:AF52,"")=10,AQ43="",AR43=""),"",IF(AO43="NO",0,AR43/AQ43)),"")</f>
        <v>17723.323481449999</v>
      </c>
      <c r="AT43" s="207"/>
      <c r="AU43" s="610" t="s">
        <v>896</v>
      </c>
      <c r="AV43" s="542" t="s">
        <v>747</v>
      </c>
      <c r="AW43" s="560" t="s">
        <v>747</v>
      </c>
      <c r="AX43" s="560" t="s">
        <v>747</v>
      </c>
      <c r="AY43" s="19"/>
      <c r="BZ43" s="4"/>
      <c r="CA43" s="4"/>
      <c r="CB43" s="29" t="str">
        <f>IFERROR(IF(COUNTIF(AF43:AF52,"")=10,"",IF(COUNTIF(E43:E52,"N/A")&gt;0,IF(AF43&gt;=CMEMM1,AF43,0),"N/A")),"")</f>
        <v>N/A</v>
      </c>
      <c r="CC43" s="4"/>
      <c r="CD43" s="4">
        <f>IFERROR(IF(COUNTIF(AF43:AF52,"")=10,"",IF(AF43="","",IF(AF43&gt;=CMEMM1,1,0))),"")</f>
        <v>1</v>
      </c>
      <c r="CE43" s="4" t="str">
        <f>B43&amp;"-0"&amp;1</f>
        <v>P05-01</v>
      </c>
      <c r="CF43" s="4" t="str">
        <f>IFERROR(INDEX('DESEMPATE Y DISCAPACIDAD'!$D$3:$D$450,MATCH(CE43,'DESEMPATE Y DISCAPACIDAD'!$C$3:$C$450,0)),"")</f>
        <v>CONSULTORES TÉCNICOS Y ECONÓMICOS S.A.S. – CONSULTECNICOS</v>
      </c>
      <c r="CG43" s="4">
        <f>IF(OR(CE43="",CF43=""),"",SUMIF(D43:D52,CF43,CD43:CD52))</f>
        <v>3</v>
      </c>
      <c r="CH43" s="4" t="str">
        <f t="shared" si="37"/>
        <v>CUMPLE</v>
      </c>
      <c r="CI43" s="4">
        <f>IF(CF43="","",IF(ISTEXT(CF43),1,0))</f>
        <v>1</v>
      </c>
      <c r="CJ43" s="4" t="str">
        <f>IF(OR(CD43="",CE43="",CF43="",CG43="",CH43="",CI43=""),"",IF(COUNTIF(CH43:CH52,"CUMPLE")=COUNTIF(CI43:CI52,1),"CUMPLE","NO CUMPLE"))</f>
        <v>CUMPLE</v>
      </c>
      <c r="CK43" s="4"/>
      <c r="CL43" s="4">
        <f t="shared" si="1"/>
        <v>1</v>
      </c>
      <c r="CM43" s="4">
        <f t="shared" si="2"/>
        <v>1</v>
      </c>
      <c r="CN43" s="4" t="str">
        <f>IF(OR(CL43="",CM43=""),"",IF(AND(CL43=0,CM43=0),"N/A",IF(AND(CL43=1,CM43=0),"COND. A",IF(AND(CL43=0,CM43=1),"COND. B",IF(AND(CL43=1,CM43=1),"COND. A Y B","")))))</f>
        <v>COND. A Y B</v>
      </c>
      <c r="CO43" s="4" t="str">
        <f>IF(COUNTIF(CN43:CN52,"N/A")=10,"NO CUMPLE",IF(COUNTIF(CN43:CN52,"COND. A Y B")&gt;1,"CUMPLE",IF(AND(COUNTIF(CN43:CN52,"COND. A")&gt;0,COUNTIF(CN43:CN52,"COND. B")&gt;0),"CUMPLE",IF(AND(COUNTIF(CN43:CN52,"COND. A Y B")&gt;0,COUNTIF(CN43:CN52,"COND. A")&gt;0),"CUMPLE",IF(AND(COUNTIF(CN43:CN52,"COND. A Y B")&gt;0,COUNTIF(CN43:CN52,"COND. B")&gt;0),"CUMPLE","NO CUMPLE")))))</f>
        <v>CUMPLE</v>
      </c>
      <c r="CP43" s="4"/>
      <c r="CQ43" s="29" t="str">
        <f t="shared" si="40"/>
        <v>N/A</v>
      </c>
      <c r="CR43" s="29">
        <f t="shared" si="41"/>
        <v>37853.328425799999</v>
      </c>
      <c r="CS43" s="4"/>
    </row>
    <row r="44" spans="1:97" ht="34.25" customHeight="1">
      <c r="B44" s="481"/>
      <c r="C44" s="118" t="s">
        <v>176</v>
      </c>
      <c r="D44" s="119" t="str">
        <f>+IFERROR(INDEX('DESEMPATE Y DISCAPACIDAD'!$D$3:$D$450,MATCH(C44,'DESEMPATE Y DISCAPACIDAD'!$C$3:$C$450,0)),"")</f>
        <v>CONSULTORES TÉCNICOS Y ECONÓMICOS S.A.S. – CONSULTECNICOS</v>
      </c>
      <c r="E44" s="120" t="str">
        <f>IFERROR(IF(D44="","",IF(VLOOKUP(D44,'DESEMPATE Y DISCAPACIDAD'!D$3:$E$450,2,FALSE)=1,"N/A",IF(VLOOKUP(D44,'DESEMPATE Y DISCAPACIDAD'!D$3:$F$450,3,FALSE)="X","SI","NO"))),"")</f>
        <v>NO</v>
      </c>
      <c r="F44" s="121" t="s">
        <v>741</v>
      </c>
      <c r="G44" s="121" t="s">
        <v>660</v>
      </c>
      <c r="H44" s="121" t="s">
        <v>841</v>
      </c>
      <c r="I44" s="122" t="s">
        <v>842</v>
      </c>
      <c r="J44" s="125" t="s">
        <v>74</v>
      </c>
      <c r="K44" s="125" t="s">
        <v>74</v>
      </c>
      <c r="L44" s="125" t="s">
        <v>75</v>
      </c>
      <c r="M44" s="125" t="s">
        <v>74</v>
      </c>
      <c r="N44" s="121" t="str">
        <f t="shared" ref="N44:N52" si="42">IFERROR(IF(OR(J44="",K44=""),"",IF(J44="NO","NO",K44)),"")</f>
        <v>SI</v>
      </c>
      <c r="O44" s="121" t="str">
        <f t="shared" ref="O44:O52" si="43">IFERROR(IF(OR(J44="",L44=""),"",IF(J44="NO","NO",L44)),"")</f>
        <v>NO</v>
      </c>
      <c r="P44" s="121" t="str">
        <f t="shared" ref="P44:P52" si="44">IFERROR(IF(OR(J44="",M44=""),"",IF(J44="NO","NO",M44)),"")</f>
        <v>SI</v>
      </c>
      <c r="Q44" s="121" t="str">
        <f t="shared" si="8"/>
        <v>SI</v>
      </c>
      <c r="R44" s="103">
        <v>0.5</v>
      </c>
      <c r="S44" s="123">
        <v>31943</v>
      </c>
      <c r="T44" s="123">
        <v>36068</v>
      </c>
      <c r="U44" s="121">
        <f t="shared" ref="U44:U52" si="45">IFERROR(IF(T44="","",YEAR(T44)),"")</f>
        <v>1998</v>
      </c>
      <c r="V44" s="124">
        <f>IF(U44=2023,1160000,IFERROR(INDEX(SMMLV!$B$2:$B$101,MATCH(U44,SMMLV!$A$2:$A$101,0)),""))</f>
        <v>203826</v>
      </c>
      <c r="W44" s="117" t="s">
        <v>670</v>
      </c>
      <c r="X44" s="125" t="s">
        <v>671</v>
      </c>
      <c r="Y44" s="125">
        <v>2</v>
      </c>
      <c r="Z44" s="474" t="s">
        <v>74</v>
      </c>
      <c r="AA44" s="475"/>
      <c r="AB44" s="476"/>
      <c r="AC44" s="125" t="str">
        <f t="shared" ref="AC44:AC52" si="46">IFERROR(IF(Y44="","",IF(ISNUMBER(Y44),IF(COUNTIF(Z44,"SI")&gt;0,"SI","NO"),Y44)),"")</f>
        <v>SI</v>
      </c>
      <c r="AD44" s="117" t="str">
        <f t="shared" si="10"/>
        <v>N/A</v>
      </c>
      <c r="AE44" s="117">
        <v>40744.85</v>
      </c>
      <c r="AF44" s="117">
        <f t="shared" si="11"/>
        <v>20372.424999999999</v>
      </c>
      <c r="AG44" s="470"/>
      <c r="AH44" s="470"/>
      <c r="AI44" s="125" t="str">
        <f t="shared" si="12"/>
        <v>CUMPLE</v>
      </c>
      <c r="AJ44" s="470"/>
      <c r="AK44" s="470"/>
      <c r="AL44" s="472"/>
      <c r="AM44" s="496"/>
      <c r="AN44" s="125" t="s">
        <v>75</v>
      </c>
      <c r="AO44" s="490"/>
      <c r="AP44" s="121" t="s">
        <v>74</v>
      </c>
      <c r="AQ44" s="490"/>
      <c r="AR44" s="522"/>
      <c r="AS44" s="519"/>
      <c r="AT44" s="204"/>
      <c r="AU44" s="611"/>
      <c r="AV44" s="543"/>
      <c r="AW44" s="561"/>
      <c r="AX44" s="561"/>
      <c r="AY44" s="19"/>
      <c r="BZ44" s="4"/>
      <c r="CA44" s="4"/>
      <c r="CB44" s="29" t="str">
        <f>IFERROR(IF(COUNTIF(AF43:AF52,"")=10,"",IF(COUNTIF(E43:E52,"N/A")&gt;0,IF(AF44&gt;=CMEMM1,AF44,0),"N/A")),"")</f>
        <v>N/A</v>
      </c>
      <c r="CC44" s="4"/>
      <c r="CD44" s="4">
        <f>IFERROR(IF(COUNTIF(AF43:AF52,"")=10,"",IF(AF44="","",IF(AF44&gt;=CMEMM1,1,0))),"")</f>
        <v>1</v>
      </c>
      <c r="CE44" s="4" t="str">
        <f>B43&amp;"-0"&amp;2</f>
        <v>P05-02</v>
      </c>
      <c r="CF44" s="4" t="str">
        <f>IFERROR(INDEX('DESEMPATE Y DISCAPACIDAD'!$D$3:$D$450,MATCH(CE44,'DESEMPATE Y DISCAPACIDAD'!$C$3:$C$450,0)),"")</f>
        <v>GEOTECNIA Y CIMIENTOS INGEOCIM POR ACCIONES SIMPLIFICADA – INGEOCIM S.A.S</v>
      </c>
      <c r="CG44" s="4">
        <f>IF(OR(CE44="",CF44=""),"",SUMIF(D43:D52,CF44,CD43:CD52))</f>
        <v>1</v>
      </c>
      <c r="CH44" s="4" t="str">
        <f t="shared" si="37"/>
        <v>CUMPLE</v>
      </c>
      <c r="CI44" s="4">
        <f t="shared" ref="CI44:CI52" si="47">IF(CF44="","",IF(ISTEXT(CF44),1,0))</f>
        <v>1</v>
      </c>
      <c r="CJ44" s="4"/>
      <c r="CK44" s="4"/>
      <c r="CL44" s="4">
        <f t="shared" si="1"/>
        <v>1</v>
      </c>
      <c r="CM44" s="4">
        <f t="shared" si="2"/>
        <v>0</v>
      </c>
      <c r="CN44" s="4" t="str">
        <f t="shared" ref="CN44:CN52" si="48">IF(OR(CL44="",CM44=""),"",IF(AND(CL44=0,CM44=0),"N/A",IF(AND(CL44=1,CM44=0),"COND. A",IF(AND(CL44=0,CM44=1),"COND. B",IF(AND(CL44=1,CM44=1),"COND. A Y B","")))))</f>
        <v>COND. A</v>
      </c>
      <c r="CO44" s="4"/>
      <c r="CP44" s="4"/>
      <c r="CQ44" s="29" t="str">
        <f t="shared" si="40"/>
        <v>N/A</v>
      </c>
      <c r="CR44" s="29">
        <f t="shared" si="41"/>
        <v>20372.424999999999</v>
      </c>
      <c r="CS44" s="4"/>
    </row>
    <row r="45" spans="1:97" ht="45" customHeight="1">
      <c r="B45" s="481"/>
      <c r="C45" s="118" t="s">
        <v>176</v>
      </c>
      <c r="D45" s="126" t="str">
        <f>+IFERROR(INDEX('DESEMPATE Y DISCAPACIDAD'!$D$3:$D$450,MATCH(C45,'DESEMPATE Y DISCAPACIDAD'!$C$3:$C$450,0)),"")</f>
        <v>CONSULTORES TÉCNICOS Y ECONÓMICOS S.A.S. – CONSULTECNICOS</v>
      </c>
      <c r="E45" s="127" t="str">
        <f>IFERROR(IF(D45="","",IF(VLOOKUP(D45,'DESEMPATE Y DISCAPACIDAD'!D$3:$E$450,2,FALSE)=1,"N/A",IF(VLOOKUP(D45,'DESEMPATE Y DISCAPACIDAD'!D$3:$F$450,3,FALSE)="X","SI","NO"))),"")</f>
        <v>NO</v>
      </c>
      <c r="F45" s="141" t="s">
        <v>663</v>
      </c>
      <c r="G45" s="121" t="s">
        <v>660</v>
      </c>
      <c r="H45" s="125" t="s">
        <v>843</v>
      </c>
      <c r="I45" s="128" t="s">
        <v>844</v>
      </c>
      <c r="J45" s="125" t="s">
        <v>74</v>
      </c>
      <c r="K45" s="125" t="s">
        <v>74</v>
      </c>
      <c r="L45" s="125" t="s">
        <v>74</v>
      </c>
      <c r="M45" s="125" t="s">
        <v>74</v>
      </c>
      <c r="N45" s="125" t="str">
        <f t="shared" si="42"/>
        <v>SI</v>
      </c>
      <c r="O45" s="125" t="str">
        <f t="shared" si="43"/>
        <v>SI</v>
      </c>
      <c r="P45" s="125" t="str">
        <f t="shared" si="44"/>
        <v>SI</v>
      </c>
      <c r="Q45" s="125" t="str">
        <f t="shared" si="8"/>
        <v>SI</v>
      </c>
      <c r="R45" s="68">
        <v>0.75</v>
      </c>
      <c r="S45" s="129">
        <v>38343</v>
      </c>
      <c r="T45" s="129">
        <v>39512</v>
      </c>
      <c r="U45" s="125">
        <f t="shared" si="45"/>
        <v>2008</v>
      </c>
      <c r="V45" s="117">
        <f>IF(U45=2023,1160000,IFERROR(INDEX(SMMLV!$B$2:$B$101,MATCH(U45,SMMLV!$A$2:$A$101,0)),""))</f>
        <v>461500</v>
      </c>
      <c r="W45" s="117" t="s">
        <v>670</v>
      </c>
      <c r="X45" s="125" t="s">
        <v>671</v>
      </c>
      <c r="Y45" s="125">
        <v>26</v>
      </c>
      <c r="Z45" s="474" t="s">
        <v>74</v>
      </c>
      <c r="AA45" s="475"/>
      <c r="AB45" s="476"/>
      <c r="AC45" s="125" t="str">
        <f t="shared" si="46"/>
        <v>SI</v>
      </c>
      <c r="AD45" s="117" t="str">
        <f t="shared" si="10"/>
        <v>N/A</v>
      </c>
      <c r="AE45" s="117">
        <v>9763.67</v>
      </c>
      <c r="AF45" s="117">
        <f t="shared" si="11"/>
        <v>7322.7525000000005</v>
      </c>
      <c r="AG45" s="470"/>
      <c r="AH45" s="470"/>
      <c r="AI45" s="125" t="str">
        <f t="shared" si="12"/>
        <v>CUMPLE</v>
      </c>
      <c r="AJ45" s="470"/>
      <c r="AK45" s="470"/>
      <c r="AL45" s="472"/>
      <c r="AM45" s="496"/>
      <c r="AN45" s="125" t="s">
        <v>75</v>
      </c>
      <c r="AO45" s="490"/>
      <c r="AP45" s="121" t="s">
        <v>74</v>
      </c>
      <c r="AQ45" s="490"/>
      <c r="AR45" s="522"/>
      <c r="AS45" s="519"/>
      <c r="AT45" s="204"/>
      <c r="AU45" s="611"/>
      <c r="AV45" s="543"/>
      <c r="AW45" s="561"/>
      <c r="AX45" s="561"/>
      <c r="AY45" s="19"/>
      <c r="BZ45" s="4"/>
      <c r="CA45" s="4"/>
      <c r="CB45" s="29" t="str">
        <f>IFERROR(IF(COUNTIF(AF43:AF52,"")=10,"",IF(COUNTIF(E43:E52,"N/A")&gt;0,IF(AF45&gt;=CMEMM1,AF45,0),"N/A")),"")</f>
        <v>N/A</v>
      </c>
      <c r="CC45" s="4"/>
      <c r="CD45" s="4">
        <f>IFERROR(IF(COUNTIF(AF43:AF52,"")=10,"",IF(AF45="","",IF(AF45&gt;=CMEMM1,1,0))),"")</f>
        <v>1</v>
      </c>
      <c r="CE45" s="4" t="str">
        <f>B43&amp;"-0"&amp;3</f>
        <v>P05-03</v>
      </c>
      <c r="CF45" s="4">
        <f>IFERROR(INDEX('DESEMPATE Y DISCAPACIDAD'!$D$3:$D$450,MATCH(CE45,'DESEMPATE Y DISCAPACIDAD'!$C$3:$C$450,0)),"")</f>
        <v>0</v>
      </c>
      <c r="CG45" s="4">
        <f>IF(OR(CE45="",CF45=""),"",SUMIF(D43:D52,CF45,CD43:CD52))</f>
        <v>0</v>
      </c>
      <c r="CH45" s="4" t="str">
        <f t="shared" si="37"/>
        <v>NO CUMPLE</v>
      </c>
      <c r="CI45" s="4">
        <f t="shared" si="47"/>
        <v>0</v>
      </c>
      <c r="CJ45" s="4"/>
      <c r="CK45" s="4"/>
      <c r="CL45" s="4">
        <f t="shared" si="1"/>
        <v>1</v>
      </c>
      <c r="CM45" s="4">
        <f t="shared" si="2"/>
        <v>1</v>
      </c>
      <c r="CN45" s="4" t="str">
        <f t="shared" si="48"/>
        <v>COND. A Y B</v>
      </c>
      <c r="CO45" s="4"/>
      <c r="CP45" s="4"/>
      <c r="CQ45" s="29" t="str">
        <f t="shared" si="40"/>
        <v>N/A</v>
      </c>
      <c r="CR45" s="29">
        <f t="shared" si="41"/>
        <v>7322.7525000000005</v>
      </c>
      <c r="CS45" s="4"/>
    </row>
    <row r="46" spans="1:97" ht="45" customHeight="1">
      <c r="B46" s="481"/>
      <c r="C46" s="118" t="s">
        <v>209</v>
      </c>
      <c r="D46" s="126" t="str">
        <f>+IFERROR(INDEX('DESEMPATE Y DISCAPACIDAD'!$D$3:$D$450,MATCH(C46,'DESEMPATE Y DISCAPACIDAD'!$C$3:$C$450,0)),"")</f>
        <v>GEOTECNIA Y CIMIENTOS INGEOCIM POR ACCIONES SIMPLIFICADA – INGEOCIM S.A.S</v>
      </c>
      <c r="E46" s="127" t="str">
        <f>IFERROR(IF(D46="","",IF(VLOOKUP(D46,'DESEMPATE Y DISCAPACIDAD'!D$3:$E$450,2,FALSE)=1,"N/A",IF(VLOOKUP(D46,'DESEMPATE Y DISCAPACIDAD'!D$3:$F$450,3,FALSE)="X","SI","NO"))),"")</f>
        <v>NO</v>
      </c>
      <c r="F46" s="125" t="s">
        <v>741</v>
      </c>
      <c r="G46" s="125" t="s">
        <v>660</v>
      </c>
      <c r="H46" s="125" t="s">
        <v>845</v>
      </c>
      <c r="I46" s="128" t="s">
        <v>846</v>
      </c>
      <c r="J46" s="125" t="s">
        <v>74</v>
      </c>
      <c r="K46" s="125" t="s">
        <v>74</v>
      </c>
      <c r="L46" s="125" t="s">
        <v>75</v>
      </c>
      <c r="M46" s="125" t="s">
        <v>75</v>
      </c>
      <c r="N46" s="125" t="str">
        <f t="shared" si="42"/>
        <v>SI</v>
      </c>
      <c r="O46" s="125" t="str">
        <f t="shared" si="43"/>
        <v>NO</v>
      </c>
      <c r="P46" s="125" t="str">
        <f t="shared" si="44"/>
        <v>NO</v>
      </c>
      <c r="Q46" s="125" t="str">
        <f t="shared" si="8"/>
        <v>SI</v>
      </c>
      <c r="R46" s="68">
        <v>0.3</v>
      </c>
      <c r="S46" s="129">
        <v>41638</v>
      </c>
      <c r="T46" s="129">
        <v>43809</v>
      </c>
      <c r="U46" s="125">
        <f t="shared" si="45"/>
        <v>2019</v>
      </c>
      <c r="V46" s="117">
        <f>IF(U46=2023,1160000,IFERROR(INDEX(SMMLV!$B$2:$B$101,MATCH(U46,SMMLV!$A$2:$A$101,0)),""))</f>
        <v>828116</v>
      </c>
      <c r="W46" s="117" t="s">
        <v>670</v>
      </c>
      <c r="X46" s="125" t="s">
        <v>671</v>
      </c>
      <c r="Y46" s="125">
        <v>100</v>
      </c>
      <c r="Z46" s="474" t="s">
        <v>74</v>
      </c>
      <c r="AA46" s="475"/>
      <c r="AB46" s="476"/>
      <c r="AC46" s="125" t="str">
        <f t="shared" si="46"/>
        <v>SI</v>
      </c>
      <c r="AD46" s="117" t="str">
        <f t="shared" si="10"/>
        <v>N/A</v>
      </c>
      <c r="AE46" s="117">
        <v>17815.96</v>
      </c>
      <c r="AF46" s="117">
        <f t="shared" si="11"/>
        <v>5344.7879999999996</v>
      </c>
      <c r="AG46" s="470"/>
      <c r="AH46" s="470"/>
      <c r="AI46" s="125" t="str">
        <f t="shared" si="12"/>
        <v>CUMPLE</v>
      </c>
      <c r="AJ46" s="470"/>
      <c r="AK46" s="470"/>
      <c r="AL46" s="472"/>
      <c r="AM46" s="496"/>
      <c r="AN46" s="125" t="s">
        <v>75</v>
      </c>
      <c r="AO46" s="490"/>
      <c r="AP46" s="121" t="s">
        <v>74</v>
      </c>
      <c r="AQ46" s="490"/>
      <c r="AR46" s="522"/>
      <c r="AS46" s="519"/>
      <c r="AT46" s="204"/>
      <c r="AU46" s="611"/>
      <c r="AV46" s="543"/>
      <c r="AW46" s="561"/>
      <c r="AX46" s="561"/>
      <c r="AY46" s="19"/>
      <c r="BZ46" s="4"/>
      <c r="CA46" s="4"/>
      <c r="CB46" s="29" t="str">
        <f>IFERROR(IF(COUNTIF(AF43:AF52,"")=10,"",IF(COUNTIF(E43:E52,"N/A")&gt;0,IF(AF46&gt;=CMEMM1,AF46,0),"N/A")),"")</f>
        <v>N/A</v>
      </c>
      <c r="CC46" s="4"/>
      <c r="CD46" s="4">
        <f>IFERROR(IF(COUNTIF(AF43:AF52,"")=10,"",IF(AF46="","",IF(AF46&gt;=CMEMM1,1,0))),"")</f>
        <v>1</v>
      </c>
      <c r="CE46" s="4" t="str">
        <f>B43&amp;"-0"&amp;4</f>
        <v>P05-04</v>
      </c>
      <c r="CF46" s="4">
        <f>IFERROR(INDEX('DESEMPATE Y DISCAPACIDAD'!$D$3:$D$450,MATCH(CE46,'DESEMPATE Y DISCAPACIDAD'!$C$3:$C$450,0)),"")</f>
        <v>0</v>
      </c>
      <c r="CG46" s="4">
        <f>IF(OR(CE46="",CF46=""),"",SUMIF(D43:D52,CF46,CD43:CD52))</f>
        <v>0</v>
      </c>
      <c r="CH46" s="4" t="str">
        <f t="shared" si="37"/>
        <v>NO CUMPLE</v>
      </c>
      <c r="CI46" s="4">
        <f t="shared" si="47"/>
        <v>0</v>
      </c>
      <c r="CJ46" s="4"/>
      <c r="CK46" s="4"/>
      <c r="CL46" s="4">
        <f t="shared" si="1"/>
        <v>1</v>
      </c>
      <c r="CM46" s="4">
        <f t="shared" si="2"/>
        <v>0</v>
      </c>
      <c r="CN46" s="4" t="str">
        <f t="shared" si="48"/>
        <v>COND. A</v>
      </c>
      <c r="CO46" s="4"/>
      <c r="CP46" s="4"/>
      <c r="CQ46" s="29" t="str">
        <f>IF(OR(AN45="",CB46=""),"",IF(AN45="NO",CB46,0))</f>
        <v>N/A</v>
      </c>
      <c r="CR46" s="29">
        <f>IF(OR(AN45="",AF46=""),"",IF(AN45="NO",AF46,0))</f>
        <v>5344.7879999999996</v>
      </c>
      <c r="CS46" s="4"/>
    </row>
    <row r="47" spans="1:97" ht="2" customHeight="1">
      <c r="B47" s="481"/>
      <c r="C47" s="118"/>
      <c r="D47" s="126" t="str">
        <f>+IFERROR(INDEX('DESEMPATE Y DISCAPACIDAD'!$D$3:$D$450,MATCH(C47,'DESEMPATE Y DISCAPACIDAD'!$C$3:$C$450,0)),"")</f>
        <v/>
      </c>
      <c r="E47" s="127" t="str">
        <f>IFERROR(IF(D47="","",IF(VLOOKUP(D47,'DESEMPATE Y DISCAPACIDAD'!D$3:$E$450,2,FALSE)=1,"N/A",IF(VLOOKUP(D47,'DESEMPATE Y DISCAPACIDAD'!D$3:$F$450,3,FALSE)="X","SI","NO"))),"")</f>
        <v/>
      </c>
      <c r="F47" s="125"/>
      <c r="G47" s="125"/>
      <c r="H47" s="125"/>
      <c r="I47" s="128"/>
      <c r="J47" s="125"/>
      <c r="K47" s="125"/>
      <c r="L47" s="125"/>
      <c r="M47" s="125"/>
      <c r="N47" s="125" t="str">
        <f t="shared" si="42"/>
        <v/>
      </c>
      <c r="O47" s="125" t="str">
        <f t="shared" si="43"/>
        <v/>
      </c>
      <c r="P47" s="125" t="str">
        <f t="shared" si="44"/>
        <v/>
      </c>
      <c r="Q47" s="125" t="str">
        <f t="shared" si="8"/>
        <v/>
      </c>
      <c r="R47" s="68"/>
      <c r="S47" s="129"/>
      <c r="T47" s="129"/>
      <c r="U47" s="125" t="str">
        <f t="shared" si="45"/>
        <v/>
      </c>
      <c r="V47" s="117" t="str">
        <f>IF(U47=2023,1160000,IFERROR(INDEX(SMMLV!$B$2:$B$101,MATCH(U47,SMMLV!$A$2:$A$101,0)),""))</f>
        <v/>
      </c>
      <c r="W47" s="117"/>
      <c r="X47" s="125"/>
      <c r="Y47" s="125"/>
      <c r="Z47" s="474"/>
      <c r="AA47" s="475"/>
      <c r="AB47" s="476"/>
      <c r="AC47" s="125" t="str">
        <f t="shared" si="46"/>
        <v/>
      </c>
      <c r="AD47" s="117" t="str">
        <f t="shared" si="10"/>
        <v/>
      </c>
      <c r="AE47" s="117" t="s">
        <v>894</v>
      </c>
      <c r="AF47" s="117" t="str">
        <f t="shared" si="11"/>
        <v/>
      </c>
      <c r="AG47" s="470"/>
      <c r="AH47" s="470"/>
      <c r="AI47" s="125" t="str">
        <f t="shared" si="12"/>
        <v/>
      </c>
      <c r="AJ47" s="470"/>
      <c r="AK47" s="470"/>
      <c r="AL47" s="472"/>
      <c r="AM47" s="496"/>
      <c r="AN47" s="125"/>
      <c r="AO47" s="490"/>
      <c r="AP47" s="125"/>
      <c r="AQ47" s="490"/>
      <c r="AR47" s="522"/>
      <c r="AS47" s="519"/>
      <c r="AT47" s="207"/>
      <c r="AU47" s="611"/>
      <c r="AV47" s="543"/>
      <c r="AW47" s="561"/>
      <c r="AX47" s="561"/>
      <c r="AY47" s="19"/>
      <c r="BZ47" s="4"/>
      <c r="CA47" s="4"/>
      <c r="CB47" s="29" t="str">
        <f>IFERROR(IF(COUNTIF(AF43:AF52,"")=10,"",IF(COUNTIF(E43:E52,"N/A")&gt;0,IF(AF47&gt;=CMEMM1,AF47,0),"N/A")),"")</f>
        <v>N/A</v>
      </c>
      <c r="CC47" s="4"/>
      <c r="CD47" s="4" t="str">
        <f>IFERROR(IF(COUNTIF(AF43:AF52,"")=10,"",IF(AF47="","",IF(AF47&gt;=CMEMM1,1,0))),"")</f>
        <v/>
      </c>
      <c r="CE47" s="4" t="str">
        <f>B43&amp;"-0"&amp;5</f>
        <v>P05-05</v>
      </c>
      <c r="CF47" s="4">
        <f>IFERROR(INDEX('DESEMPATE Y DISCAPACIDAD'!$D$3:$D$450,MATCH(CE47,'DESEMPATE Y DISCAPACIDAD'!$C$3:$C$450,0)),"")</f>
        <v>0</v>
      </c>
      <c r="CG47" s="4">
        <f>IF(OR(CE47="",CF47=""),"",SUMIF(D43:D52,CF47,CD43:CD52))</f>
        <v>0</v>
      </c>
      <c r="CH47" s="4" t="str">
        <f t="shared" si="37"/>
        <v>NO CUMPLE</v>
      </c>
      <c r="CI47" s="4">
        <f t="shared" si="47"/>
        <v>0</v>
      </c>
      <c r="CJ47" s="4"/>
      <c r="CK47" s="4"/>
      <c r="CL47" s="4" t="str">
        <f t="shared" si="1"/>
        <v/>
      </c>
      <c r="CM47" s="4" t="str">
        <f t="shared" si="2"/>
        <v/>
      </c>
      <c r="CN47" s="4" t="str">
        <f t="shared" si="48"/>
        <v/>
      </c>
      <c r="CO47" s="4"/>
      <c r="CP47" s="4"/>
      <c r="CQ47" s="29" t="str">
        <f t="shared" ref="CQ47:CQ78" si="49">IF(OR(AN47="",CB47=""),"",IF(AN47="NO",CB47,0))</f>
        <v/>
      </c>
      <c r="CR47" s="29" t="str">
        <f t="shared" ref="CR47:CR78" si="50">IF(OR(AN47="",AF47=""),"",IF(AN47="NO",AF47,0))</f>
        <v/>
      </c>
      <c r="CS47" s="4"/>
    </row>
    <row r="48" spans="1:97" ht="2" customHeight="1">
      <c r="B48" s="481"/>
      <c r="C48" s="118"/>
      <c r="D48" s="126" t="str">
        <f>+IFERROR(INDEX('DESEMPATE Y DISCAPACIDAD'!$D$3:$D$450,MATCH(C48,'DESEMPATE Y DISCAPACIDAD'!$C$3:$C$450,0)),"")</f>
        <v/>
      </c>
      <c r="E48" s="127" t="str">
        <f>IFERROR(IF(D48="","",IF(VLOOKUP(D48,'DESEMPATE Y DISCAPACIDAD'!D$3:$E$450,2,FALSE)=1,"N/A",IF(VLOOKUP(D48,'DESEMPATE Y DISCAPACIDAD'!D$3:$F$450,3,FALSE)="X","SI","NO"))),"")</f>
        <v/>
      </c>
      <c r="F48" s="125"/>
      <c r="G48" s="125"/>
      <c r="H48" s="125"/>
      <c r="I48" s="128"/>
      <c r="J48" s="125"/>
      <c r="K48" s="125"/>
      <c r="L48" s="125"/>
      <c r="M48" s="125"/>
      <c r="N48" s="125" t="str">
        <f t="shared" si="42"/>
        <v/>
      </c>
      <c r="O48" s="125" t="str">
        <f t="shared" si="43"/>
        <v/>
      </c>
      <c r="P48" s="125" t="str">
        <f t="shared" si="44"/>
        <v/>
      </c>
      <c r="Q48" s="125" t="str">
        <f t="shared" si="8"/>
        <v/>
      </c>
      <c r="R48" s="68"/>
      <c r="S48" s="129"/>
      <c r="T48" s="129"/>
      <c r="U48" s="125" t="str">
        <f t="shared" si="45"/>
        <v/>
      </c>
      <c r="V48" s="117" t="str">
        <f>IF(U48=2023,1160000,IFERROR(INDEX(SMMLV!$B$2:$B$101,MATCH(U48,SMMLV!$A$2:$A$101,0)),""))</f>
        <v/>
      </c>
      <c r="W48" s="117"/>
      <c r="X48" s="125"/>
      <c r="Y48" s="125"/>
      <c r="Z48" s="474"/>
      <c r="AA48" s="475"/>
      <c r="AB48" s="476"/>
      <c r="AC48" s="125" t="str">
        <f t="shared" si="46"/>
        <v/>
      </c>
      <c r="AD48" s="117" t="str">
        <f t="shared" si="10"/>
        <v/>
      </c>
      <c r="AE48" s="117" t="s">
        <v>894</v>
      </c>
      <c r="AF48" s="117" t="str">
        <f t="shared" si="11"/>
        <v/>
      </c>
      <c r="AG48" s="470"/>
      <c r="AH48" s="470"/>
      <c r="AI48" s="125" t="str">
        <f t="shared" si="12"/>
        <v/>
      </c>
      <c r="AJ48" s="470"/>
      <c r="AK48" s="470"/>
      <c r="AL48" s="472"/>
      <c r="AM48" s="496"/>
      <c r="AN48" s="125"/>
      <c r="AO48" s="490"/>
      <c r="AP48" s="125"/>
      <c r="AQ48" s="490"/>
      <c r="AR48" s="522"/>
      <c r="AS48" s="519"/>
      <c r="AT48" s="204"/>
      <c r="AU48" s="611"/>
      <c r="AV48" s="543"/>
      <c r="AW48" s="561"/>
      <c r="AX48" s="561"/>
      <c r="AY48" s="19"/>
      <c r="BZ48" s="4"/>
      <c r="CA48" s="4"/>
      <c r="CB48" s="29" t="str">
        <f>IFERROR(IF(COUNTIF(AF43:AF52,"")=10,"",IF(COUNTIF(E43:E52,"N/A")&gt;0,IF(AF48&gt;=CMEMM1,AF48,0),"N/A")),"")</f>
        <v>N/A</v>
      </c>
      <c r="CC48" s="4"/>
      <c r="CD48" s="4" t="str">
        <f>IFERROR(IF(COUNTIF(AF43:AF52,"")=10,"",IF(AF48="","",IF(AF48&gt;=CMEMM1,1,0))),"")</f>
        <v/>
      </c>
      <c r="CE48" s="4" t="str">
        <f>B43&amp;"-0"&amp;6</f>
        <v>P05-06</v>
      </c>
      <c r="CF48" s="4">
        <f>IFERROR(INDEX('DESEMPATE Y DISCAPACIDAD'!$D$3:$D$450,MATCH(CE48,'DESEMPATE Y DISCAPACIDAD'!$C$3:$C$450,0)),"")</f>
        <v>0</v>
      </c>
      <c r="CG48" s="4">
        <f>IF(OR(CE48="",CF48=""),"",SUMIF(D43:D52,CF48,CD43:CD52))</f>
        <v>0</v>
      </c>
      <c r="CH48" s="4" t="str">
        <f t="shared" si="37"/>
        <v>NO CUMPLE</v>
      </c>
      <c r="CI48" s="4">
        <f t="shared" si="47"/>
        <v>0</v>
      </c>
      <c r="CJ48" s="4"/>
      <c r="CK48" s="4"/>
      <c r="CL48" s="4" t="str">
        <f t="shared" si="1"/>
        <v/>
      </c>
      <c r="CM48" s="4" t="str">
        <f t="shared" si="2"/>
        <v/>
      </c>
      <c r="CN48" s="4" t="str">
        <f t="shared" si="48"/>
        <v/>
      </c>
      <c r="CO48" s="4"/>
      <c r="CP48" s="4"/>
      <c r="CQ48" s="29" t="str">
        <f t="shared" si="49"/>
        <v/>
      </c>
      <c r="CR48" s="29" t="str">
        <f t="shared" si="50"/>
        <v/>
      </c>
      <c r="CS48" s="4"/>
    </row>
    <row r="49" spans="1:97" ht="2" customHeight="1">
      <c r="B49" s="481"/>
      <c r="C49" s="118"/>
      <c r="D49" s="126" t="str">
        <f>+IFERROR(INDEX('DESEMPATE Y DISCAPACIDAD'!$D$3:$D$450,MATCH(C49,'DESEMPATE Y DISCAPACIDAD'!$C$3:$C$450,0)),"")</f>
        <v/>
      </c>
      <c r="E49" s="127" t="str">
        <f>IFERROR(IF(D49="","",IF(VLOOKUP(D49,'DESEMPATE Y DISCAPACIDAD'!D$3:$E$450,2,FALSE)=1,"N/A",IF(VLOOKUP(D49,'DESEMPATE Y DISCAPACIDAD'!D$3:$F$450,3,FALSE)="X","SI","NO"))),"")</f>
        <v/>
      </c>
      <c r="F49" s="125"/>
      <c r="G49" s="125"/>
      <c r="H49" s="125"/>
      <c r="I49" s="128"/>
      <c r="J49" s="125"/>
      <c r="K49" s="125"/>
      <c r="L49" s="125"/>
      <c r="M49" s="125"/>
      <c r="N49" s="125" t="str">
        <f t="shared" si="42"/>
        <v/>
      </c>
      <c r="O49" s="125" t="str">
        <f t="shared" si="43"/>
        <v/>
      </c>
      <c r="P49" s="125" t="str">
        <f t="shared" si="44"/>
        <v/>
      </c>
      <c r="Q49" s="125" t="str">
        <f t="shared" si="8"/>
        <v/>
      </c>
      <c r="R49" s="68"/>
      <c r="S49" s="129"/>
      <c r="T49" s="129"/>
      <c r="U49" s="125" t="str">
        <f t="shared" si="45"/>
        <v/>
      </c>
      <c r="V49" s="117" t="str">
        <f>IF(U49=2023,1160000,IFERROR(INDEX(SMMLV!$B$2:$B$101,MATCH(U49,SMMLV!$A$2:$A$101,0)),""))</f>
        <v/>
      </c>
      <c r="W49" s="117"/>
      <c r="X49" s="125"/>
      <c r="Y49" s="125"/>
      <c r="Z49" s="474"/>
      <c r="AA49" s="475"/>
      <c r="AB49" s="476"/>
      <c r="AC49" s="125" t="str">
        <f t="shared" si="46"/>
        <v/>
      </c>
      <c r="AD49" s="117" t="str">
        <f t="shared" si="10"/>
        <v/>
      </c>
      <c r="AE49" s="117" t="s">
        <v>894</v>
      </c>
      <c r="AF49" s="117" t="str">
        <f t="shared" si="11"/>
        <v/>
      </c>
      <c r="AG49" s="470"/>
      <c r="AH49" s="470"/>
      <c r="AI49" s="125" t="str">
        <f t="shared" si="12"/>
        <v/>
      </c>
      <c r="AJ49" s="470"/>
      <c r="AK49" s="470"/>
      <c r="AL49" s="472"/>
      <c r="AM49" s="496"/>
      <c r="AN49" s="125"/>
      <c r="AO49" s="490"/>
      <c r="AP49" s="125"/>
      <c r="AQ49" s="490"/>
      <c r="AR49" s="522"/>
      <c r="AS49" s="519"/>
      <c r="AT49" s="204"/>
      <c r="AU49" s="611"/>
      <c r="AV49" s="543"/>
      <c r="AW49" s="561"/>
      <c r="AX49" s="561"/>
      <c r="AY49" s="19"/>
      <c r="BZ49" s="4"/>
      <c r="CA49" s="4"/>
      <c r="CB49" s="29" t="str">
        <f>IFERROR(IF(COUNTIF(AF43:AF52,"")=10,"",IF(COUNTIF(E43:E52,"N/A")&gt;0,IF(AF49&gt;=CMEMM1,AF49,0),"N/A")),"")</f>
        <v>N/A</v>
      </c>
      <c r="CC49" s="4"/>
      <c r="CD49" s="4" t="str">
        <f>IFERROR(IF(COUNTIF(AF43:AF52,"")=10,"",IF(AF49="","",IF(AF49&gt;=CMEMM1,1,0))),"")</f>
        <v/>
      </c>
      <c r="CE49" s="4" t="str">
        <f>B43&amp;"-0"&amp;7</f>
        <v>P05-07</v>
      </c>
      <c r="CF49" s="4" t="str">
        <f>IFERROR(INDEX('DESEMPATE Y DISCAPACIDAD'!$D$3:$D$450,MATCH(CE49,'DESEMPATE Y DISCAPACIDAD'!$C$3:$C$450,0)),"")</f>
        <v/>
      </c>
      <c r="CG49" s="4" t="str">
        <f>IF(OR(CE49="",CF49=""),"",SUMIF(D43:D52,CF49,CD43:CD52))</f>
        <v/>
      </c>
      <c r="CH49" s="4" t="str">
        <f t="shared" si="37"/>
        <v/>
      </c>
      <c r="CI49" s="4" t="str">
        <f t="shared" si="47"/>
        <v/>
      </c>
      <c r="CJ49" s="4"/>
      <c r="CK49" s="4"/>
      <c r="CL49" s="4" t="str">
        <f t="shared" si="1"/>
        <v/>
      </c>
      <c r="CM49" s="4" t="str">
        <f t="shared" si="2"/>
        <v/>
      </c>
      <c r="CN49" s="4" t="str">
        <f t="shared" si="48"/>
        <v/>
      </c>
      <c r="CO49" s="4"/>
      <c r="CP49" s="4"/>
      <c r="CQ49" s="29" t="str">
        <f t="shared" si="49"/>
        <v/>
      </c>
      <c r="CR49" s="29" t="str">
        <f t="shared" si="50"/>
        <v/>
      </c>
      <c r="CS49" s="4"/>
    </row>
    <row r="50" spans="1:97" ht="2" customHeight="1">
      <c r="B50" s="481"/>
      <c r="C50" s="118"/>
      <c r="D50" s="126" t="str">
        <f>+IFERROR(INDEX('DESEMPATE Y DISCAPACIDAD'!$D$3:$D$450,MATCH(C50,'DESEMPATE Y DISCAPACIDAD'!$C$3:$C$450,0)),"")</f>
        <v/>
      </c>
      <c r="E50" s="127" t="str">
        <f>IFERROR(IF(D50="","",IF(VLOOKUP(D50,'DESEMPATE Y DISCAPACIDAD'!D$3:$E$450,2,FALSE)=1,"N/A",IF(VLOOKUP(D50,'DESEMPATE Y DISCAPACIDAD'!D$3:$F$450,3,FALSE)="X","SI","NO"))),"")</f>
        <v/>
      </c>
      <c r="F50" s="125"/>
      <c r="G50" s="125"/>
      <c r="H50" s="125"/>
      <c r="I50" s="128"/>
      <c r="J50" s="125"/>
      <c r="K50" s="125"/>
      <c r="L50" s="125"/>
      <c r="M50" s="125"/>
      <c r="N50" s="125" t="str">
        <f t="shared" si="42"/>
        <v/>
      </c>
      <c r="O50" s="125" t="str">
        <f t="shared" si="43"/>
        <v/>
      </c>
      <c r="P50" s="125" t="str">
        <f t="shared" si="44"/>
        <v/>
      </c>
      <c r="Q50" s="125" t="str">
        <f t="shared" si="8"/>
        <v/>
      </c>
      <c r="R50" s="68"/>
      <c r="S50" s="129"/>
      <c r="T50" s="123"/>
      <c r="U50" s="125" t="str">
        <f t="shared" si="45"/>
        <v/>
      </c>
      <c r="V50" s="117" t="str">
        <f>IF(U50=2023,1160000,IFERROR(INDEX(SMMLV!$B$2:$B$101,MATCH(U50,SMMLV!$A$2:$A$101,0)),""))</f>
        <v/>
      </c>
      <c r="W50" s="117"/>
      <c r="X50" s="125"/>
      <c r="Y50" s="125"/>
      <c r="Z50" s="474"/>
      <c r="AA50" s="475"/>
      <c r="AB50" s="476"/>
      <c r="AC50" s="125" t="str">
        <f t="shared" si="46"/>
        <v/>
      </c>
      <c r="AD50" s="117" t="str">
        <f t="shared" si="10"/>
        <v/>
      </c>
      <c r="AE50" s="117" t="s">
        <v>894</v>
      </c>
      <c r="AF50" s="117" t="str">
        <f t="shared" si="11"/>
        <v/>
      </c>
      <c r="AG50" s="470"/>
      <c r="AH50" s="470"/>
      <c r="AI50" s="125" t="str">
        <f t="shared" si="12"/>
        <v/>
      </c>
      <c r="AJ50" s="470"/>
      <c r="AK50" s="470"/>
      <c r="AL50" s="472"/>
      <c r="AM50" s="496"/>
      <c r="AN50" s="125"/>
      <c r="AO50" s="490"/>
      <c r="AP50" s="125"/>
      <c r="AQ50" s="490"/>
      <c r="AR50" s="522"/>
      <c r="AS50" s="519"/>
      <c r="AT50" s="204"/>
      <c r="AU50" s="611"/>
      <c r="AV50" s="543"/>
      <c r="AW50" s="561"/>
      <c r="AX50" s="561"/>
      <c r="AY50" s="19"/>
      <c r="BZ50" s="4"/>
      <c r="CA50" s="4"/>
      <c r="CB50" s="29" t="str">
        <f>IFERROR(IF(COUNTIF(AF43:AF52,"")=10,"",IF(COUNTIF(E43:E52,"N/A")&gt;0,IF(AF50&gt;=CMEMM1,AF50,0),"N/A")),"")</f>
        <v>N/A</v>
      </c>
      <c r="CC50" s="4"/>
      <c r="CD50" s="4" t="str">
        <f>IFERROR(IF(COUNTIF(AF43:AF52,"")=10,"",IF(AF50="","",IF(AF50&gt;=CMEMM1,1,0))),"")</f>
        <v/>
      </c>
      <c r="CE50" s="4" t="str">
        <f>B43&amp;"-0"&amp;8</f>
        <v>P05-08</v>
      </c>
      <c r="CF50" s="4" t="str">
        <f>IFERROR(INDEX('DESEMPATE Y DISCAPACIDAD'!$D$3:$D$450,MATCH(CE50,'DESEMPATE Y DISCAPACIDAD'!$C$3:$C$450,0)),"")</f>
        <v/>
      </c>
      <c r="CG50" s="4" t="str">
        <f>IF(OR(CE50="",CF50=""),"",SUMIF(D43:D52,CF50,CD43:CD52))</f>
        <v/>
      </c>
      <c r="CH50" s="4" t="str">
        <f t="shared" si="37"/>
        <v/>
      </c>
      <c r="CI50" s="4" t="str">
        <f t="shared" si="47"/>
        <v/>
      </c>
      <c r="CJ50" s="4"/>
      <c r="CK50" s="4"/>
      <c r="CL50" s="4" t="str">
        <f t="shared" si="1"/>
        <v/>
      </c>
      <c r="CM50" s="4" t="str">
        <f t="shared" si="2"/>
        <v/>
      </c>
      <c r="CN50" s="4" t="str">
        <f t="shared" si="48"/>
        <v/>
      </c>
      <c r="CO50" s="4"/>
      <c r="CP50" s="4"/>
      <c r="CQ50" s="29" t="str">
        <f t="shared" si="49"/>
        <v/>
      </c>
      <c r="CR50" s="29" t="str">
        <f t="shared" si="50"/>
        <v/>
      </c>
      <c r="CS50" s="4"/>
    </row>
    <row r="51" spans="1:97" ht="2" customHeight="1">
      <c r="B51" s="481"/>
      <c r="C51" s="118"/>
      <c r="D51" s="126" t="str">
        <f>+IFERROR(INDEX('DESEMPATE Y DISCAPACIDAD'!$D$3:$D$450,MATCH(C51,'DESEMPATE Y DISCAPACIDAD'!$C$3:$C$450,0)),"")</f>
        <v/>
      </c>
      <c r="E51" s="127" t="str">
        <f>IFERROR(IF(D51="","",IF(VLOOKUP(D51,'DESEMPATE Y DISCAPACIDAD'!D$3:$E$450,2,FALSE)=1,"N/A",IF(VLOOKUP(D51,'DESEMPATE Y DISCAPACIDAD'!D$3:$F$450,3,FALSE)="X","SI","NO"))),"")</f>
        <v/>
      </c>
      <c r="F51" s="125"/>
      <c r="G51" s="125"/>
      <c r="H51" s="125"/>
      <c r="I51" s="128"/>
      <c r="J51" s="125"/>
      <c r="K51" s="125"/>
      <c r="L51" s="125"/>
      <c r="M51" s="125"/>
      <c r="N51" s="125" t="str">
        <f t="shared" si="42"/>
        <v/>
      </c>
      <c r="O51" s="125" t="str">
        <f t="shared" si="43"/>
        <v/>
      </c>
      <c r="P51" s="125" t="str">
        <f t="shared" si="44"/>
        <v/>
      </c>
      <c r="Q51" s="125" t="str">
        <f t="shared" si="8"/>
        <v/>
      </c>
      <c r="R51" s="68"/>
      <c r="S51" s="129"/>
      <c r="T51" s="129"/>
      <c r="U51" s="125" t="str">
        <f t="shared" si="45"/>
        <v/>
      </c>
      <c r="V51" s="117" t="str">
        <f>IF(U51=2023,1160000,IFERROR(INDEX(SMMLV!$B$2:$B$101,MATCH(U51,SMMLV!$A$2:$A$101,0)),""))</f>
        <v/>
      </c>
      <c r="W51" s="117"/>
      <c r="X51" s="125"/>
      <c r="Y51" s="125"/>
      <c r="Z51" s="474"/>
      <c r="AA51" s="475"/>
      <c r="AB51" s="476"/>
      <c r="AC51" s="125" t="str">
        <f t="shared" si="46"/>
        <v/>
      </c>
      <c r="AD51" s="117" t="str">
        <f t="shared" si="10"/>
        <v/>
      </c>
      <c r="AE51" s="117" t="s">
        <v>894</v>
      </c>
      <c r="AF51" s="117" t="str">
        <f t="shared" si="11"/>
        <v/>
      </c>
      <c r="AG51" s="470"/>
      <c r="AH51" s="470"/>
      <c r="AI51" s="125" t="str">
        <f t="shared" si="12"/>
        <v/>
      </c>
      <c r="AJ51" s="470"/>
      <c r="AK51" s="470"/>
      <c r="AL51" s="472"/>
      <c r="AM51" s="496"/>
      <c r="AN51" s="125"/>
      <c r="AO51" s="490"/>
      <c r="AP51" s="125"/>
      <c r="AQ51" s="490"/>
      <c r="AR51" s="522"/>
      <c r="AS51" s="519"/>
      <c r="AT51" s="204"/>
      <c r="AU51" s="611"/>
      <c r="AV51" s="543"/>
      <c r="AW51" s="561"/>
      <c r="AX51" s="561"/>
      <c r="AY51" s="19"/>
      <c r="BZ51" s="4"/>
      <c r="CA51" s="4"/>
      <c r="CB51" s="29" t="str">
        <f>IFERROR(IF(COUNTIF(AF43:AF52,"")=10,"",IF(COUNTIF(E43:E52,"N/A")&gt;0,IF(AF51&gt;=CMEMM1,AF51,0),"N/A")),"")</f>
        <v>N/A</v>
      </c>
      <c r="CC51" s="4"/>
      <c r="CD51" s="4" t="str">
        <f>IFERROR(IF(COUNTIF(AF43:AF52,"")=10,"",IF(AF51="","",IF(AF51&gt;=CMEMM1,1,0))),"")</f>
        <v/>
      </c>
      <c r="CE51" s="4" t="str">
        <f>B43&amp;"-0"&amp;9</f>
        <v>P05-09</v>
      </c>
      <c r="CF51" s="4" t="str">
        <f>IFERROR(INDEX('DESEMPATE Y DISCAPACIDAD'!$D$3:$D$450,MATCH(CE51,'DESEMPATE Y DISCAPACIDAD'!$C$3:$C$450,0)),"")</f>
        <v/>
      </c>
      <c r="CG51" s="4" t="str">
        <f>IF(OR(CE51="",CF51=""),"",SUMIF(D43:D52,CF51,CD43:CD52))</f>
        <v/>
      </c>
      <c r="CH51" s="4" t="str">
        <f t="shared" si="37"/>
        <v/>
      </c>
      <c r="CI51" s="4" t="str">
        <f t="shared" si="47"/>
        <v/>
      </c>
      <c r="CJ51" s="4"/>
      <c r="CK51" s="4"/>
      <c r="CL51" s="4" t="str">
        <f t="shared" si="1"/>
        <v/>
      </c>
      <c r="CM51" s="4" t="str">
        <f t="shared" si="2"/>
        <v/>
      </c>
      <c r="CN51" s="4" t="str">
        <f t="shared" si="48"/>
        <v/>
      </c>
      <c r="CO51" s="4"/>
      <c r="CP51" s="4"/>
      <c r="CQ51" s="29" t="str">
        <f t="shared" si="49"/>
        <v/>
      </c>
      <c r="CR51" s="29" t="str">
        <f t="shared" si="50"/>
        <v/>
      </c>
      <c r="CS51" s="4"/>
    </row>
    <row r="52" spans="1:97" ht="2" customHeight="1" thickBot="1">
      <c r="B52" s="482"/>
      <c r="C52" s="130"/>
      <c r="D52" s="131" t="str">
        <f>+IFERROR(INDEX('DESEMPATE Y DISCAPACIDAD'!$D$3:$D$450,MATCH(C52,'DESEMPATE Y DISCAPACIDAD'!$C$3:$C$450,0)),"")</f>
        <v/>
      </c>
      <c r="E52" s="132" t="str">
        <f>IFERROR(IF(D52="","",IF(VLOOKUP(D52,'DESEMPATE Y DISCAPACIDAD'!D$3:$E$450,2,FALSE)=1,"N/A",IF(VLOOKUP(D52,'DESEMPATE Y DISCAPACIDAD'!D$3:$F$450,3,FALSE)="X","SI","NO"))),"")</f>
        <v/>
      </c>
      <c r="F52" s="133"/>
      <c r="G52" s="133"/>
      <c r="H52" s="133"/>
      <c r="I52" s="134"/>
      <c r="J52" s="133"/>
      <c r="K52" s="133"/>
      <c r="L52" s="133"/>
      <c r="M52" s="133"/>
      <c r="N52" s="133" t="str">
        <f t="shared" si="42"/>
        <v/>
      </c>
      <c r="O52" s="133" t="str">
        <f t="shared" si="43"/>
        <v/>
      </c>
      <c r="P52" s="133" t="str">
        <f t="shared" si="44"/>
        <v/>
      </c>
      <c r="Q52" s="133" t="str">
        <f t="shared" si="8"/>
        <v/>
      </c>
      <c r="R52" s="104"/>
      <c r="S52" s="135"/>
      <c r="T52" s="135"/>
      <c r="U52" s="133" t="str">
        <f t="shared" si="45"/>
        <v/>
      </c>
      <c r="V52" s="136" t="str">
        <f>IF(U52=2023,1160000,IFERROR(INDEX(SMMLV!$B$2:$B$101,MATCH(U52,SMMLV!$A$2:$A$101,0)),""))</f>
        <v/>
      </c>
      <c r="W52" s="136"/>
      <c r="X52" s="133"/>
      <c r="Y52" s="133"/>
      <c r="Z52" s="487"/>
      <c r="AA52" s="488"/>
      <c r="AB52" s="489"/>
      <c r="AC52" s="133" t="str">
        <f t="shared" si="46"/>
        <v/>
      </c>
      <c r="AD52" s="136" t="str">
        <f t="shared" si="10"/>
        <v/>
      </c>
      <c r="AE52" s="117" t="s">
        <v>894</v>
      </c>
      <c r="AF52" s="136" t="str">
        <f t="shared" si="11"/>
        <v/>
      </c>
      <c r="AG52" s="471"/>
      <c r="AH52" s="471"/>
      <c r="AI52" s="133" t="str">
        <f t="shared" si="12"/>
        <v/>
      </c>
      <c r="AJ52" s="471"/>
      <c r="AK52" s="471"/>
      <c r="AL52" s="473"/>
      <c r="AM52" s="497"/>
      <c r="AN52" s="133"/>
      <c r="AO52" s="491"/>
      <c r="AP52" s="133"/>
      <c r="AQ52" s="491"/>
      <c r="AR52" s="523"/>
      <c r="AS52" s="520"/>
      <c r="AT52" s="206"/>
      <c r="AU52" s="612"/>
      <c r="AV52" s="544"/>
      <c r="AW52" s="562"/>
      <c r="AX52" s="562"/>
      <c r="AY52" s="19"/>
      <c r="BZ52" s="4"/>
      <c r="CA52" s="4"/>
      <c r="CB52" s="29" t="str">
        <f>IFERROR(IF(COUNTIF(AF43:AF52,"")=10,"",IF(COUNTIF(E43:E52,"N/A")&gt;0,IF(AF52&gt;=CMEMM1,AF52,0),"N/A")),"")</f>
        <v>N/A</v>
      </c>
      <c r="CC52" s="4"/>
      <c r="CD52" s="4" t="str">
        <f>IFERROR(IF(COUNTIF(AF43:AF52,"")=10,"",IF(AF52="","",IF(AF52&gt;=CMEMM1,1,0))),"")</f>
        <v/>
      </c>
      <c r="CE52" s="4" t="str">
        <f>B43&amp;"-"&amp;10</f>
        <v>P05-10</v>
      </c>
      <c r="CF52" s="4" t="str">
        <f>IFERROR(INDEX('DESEMPATE Y DISCAPACIDAD'!$D$3:$D$450,MATCH(CE52,'DESEMPATE Y DISCAPACIDAD'!$C$3:$C$450,0)),"")</f>
        <v/>
      </c>
      <c r="CG52" s="4" t="str">
        <f>IF(OR(CE52="",CF52=""),"",SUMIF(D43:D52,CF52,CD43:CD52))</f>
        <v/>
      </c>
      <c r="CH52" s="4" t="str">
        <f t="shared" si="37"/>
        <v/>
      </c>
      <c r="CI52" s="4" t="str">
        <f t="shared" si="47"/>
        <v/>
      </c>
      <c r="CJ52" s="4"/>
      <c r="CK52" s="4"/>
      <c r="CL52" s="4" t="str">
        <f t="shared" si="1"/>
        <v/>
      </c>
      <c r="CM52" s="4" t="str">
        <f t="shared" si="2"/>
        <v/>
      </c>
      <c r="CN52" s="4" t="str">
        <f t="shared" si="48"/>
        <v/>
      </c>
      <c r="CO52" s="4"/>
      <c r="CP52" s="4"/>
      <c r="CQ52" s="29" t="str">
        <f t="shared" si="49"/>
        <v/>
      </c>
      <c r="CR52" s="29" t="str">
        <f t="shared" si="50"/>
        <v/>
      </c>
      <c r="CS52" s="4"/>
    </row>
    <row r="53" spans="1:97" ht="45" customHeight="1">
      <c r="A53" s="4" t="str">
        <f>"A"&amp;B53</f>
        <v>AP06</v>
      </c>
      <c r="B53" s="480" t="s">
        <v>127</v>
      </c>
      <c r="C53" s="108" t="s">
        <v>177</v>
      </c>
      <c r="D53" s="119" t="str">
        <f>+IFERROR(INDEX('DESEMPATE Y DISCAPACIDAD'!$D$3:$D$450,MATCH(C53,'DESEMPATE Y DISCAPACIDAD'!$C$3:$C$450,0)),"")</f>
        <v>TOMAS LLAVADOR ARQUITECTOS E INGENIEROS S.L. SUCURSAL COLOMBIA</v>
      </c>
      <c r="E53" s="120" t="str">
        <f>IFERROR(IF(D53="","",IF(VLOOKUP(D53,'DESEMPATE Y DISCAPACIDAD'!D$3:$E$450,2,FALSE)=1,"N/A",IF(VLOOKUP(D53,'DESEMPATE Y DISCAPACIDAD'!D$3:$F$450,3,FALSE)="X","SI","NO"))),"")</f>
        <v>NO</v>
      </c>
      <c r="F53" s="121" t="s">
        <v>847</v>
      </c>
      <c r="G53" s="121" t="s">
        <v>736</v>
      </c>
      <c r="H53" s="121" t="s">
        <v>848</v>
      </c>
      <c r="I53" s="122" t="s">
        <v>849</v>
      </c>
      <c r="J53" s="121" t="s">
        <v>74</v>
      </c>
      <c r="K53" s="121" t="s">
        <v>74</v>
      </c>
      <c r="L53" s="121" t="s">
        <v>75</v>
      </c>
      <c r="M53" s="121" t="s">
        <v>75</v>
      </c>
      <c r="N53" s="121" t="str">
        <f>IFERROR(IF(OR(J53="",K53=""),"",IF(J53="NO","NO",K53)),"")</f>
        <v>SI</v>
      </c>
      <c r="O53" s="121" t="str">
        <f>IFERROR(IF(OR(J53="",L53=""),"",IF(J53="NO","NO",L53)),"")</f>
        <v>NO</v>
      </c>
      <c r="P53" s="121" t="str">
        <f>IFERROR(IF(OR(J53="",M53=""),"",IF(J53="NO","NO",M53)),"")</f>
        <v>NO</v>
      </c>
      <c r="Q53" s="121" t="str">
        <f t="shared" si="8"/>
        <v>SI</v>
      </c>
      <c r="R53" s="103">
        <v>1</v>
      </c>
      <c r="S53" s="123">
        <v>38180</v>
      </c>
      <c r="T53" s="123">
        <v>39699</v>
      </c>
      <c r="U53" s="121">
        <f>IFERROR(IF(T53="","",YEAR(T53)),"")</f>
        <v>2008</v>
      </c>
      <c r="V53" s="124">
        <f>IF(U53=2023,1160000,IFERROR(INDEX(SMMLV!$B$2:$B$101,MATCH(U53,SMMLV!$A$2:$A$101,0)),""))</f>
        <v>461500</v>
      </c>
      <c r="W53" s="117" t="s">
        <v>670</v>
      </c>
      <c r="X53" s="125" t="s">
        <v>671</v>
      </c>
      <c r="Y53" s="121">
        <v>61</v>
      </c>
      <c r="Z53" s="483" t="s">
        <v>74</v>
      </c>
      <c r="AA53" s="484"/>
      <c r="AB53" s="485"/>
      <c r="AC53" s="121" t="str">
        <f>IFERROR(IF(Y53="","",IF(ISNUMBER(Y53),IF(COUNTIF(Z53,"SI")&gt;0,"SI","NO"),Y53)),"")</f>
        <v>SI</v>
      </c>
      <c r="AD53" s="124" t="str">
        <f t="shared" si="10"/>
        <v>N/A</v>
      </c>
      <c r="AE53" s="117">
        <v>67953.179999999993</v>
      </c>
      <c r="AF53" s="124">
        <f t="shared" si="11"/>
        <v>67953.179999999993</v>
      </c>
      <c r="AG53" s="486" t="str">
        <f>IFERROR(IF(COUNTIF(AF53:AF62,"")=10,"",IF(COUNTIF(E53:E62,"N/A")&gt;0,IF(SUM(CB53:CB62)&gt;=CMEM1,"CUMPLE","NO CUMPLE"),IF(SUM(AF53:AF62)&gt;=CMEM1,"CUMPLE","NO CUMPLE"))),"")</f>
        <v>CUMPLE</v>
      </c>
      <c r="AH53" s="486" t="str">
        <f>IF(COUNTIF(AF53:AF62,"")=10,"",IF(SUMIF(C53:C62,C53,AF53:AF62)&gt;=CMLM1,"CUMPLE",IF(SUMIF(C53:C62,C54,AF53:AF62)&gt;=CMLM1,"CUMPLE",IF(SUMIF(C53:C62,C55,AF53:AF62)&gt;=CMLM1,"CUMPLE",IF(SUMIF(C53:C62,C56,AF53:AF62)&gt;=CMLM1,"CUMPLE",IF(SUMIF(C53:C62,C57,AF53:AF62)&gt;=CMLM1,"CUMPLE",IF(SUMIF(C53:C62,C58,AF53:AF62)&gt;=CMLM1,"CUMPLE",IF(SUMIF(C53:C62,C59,AF53:AF62)&gt;=CMLM1,"CUMPLE",IF(SUMIF(C53:C62,C60,AF53:AF62)&gt;=CMLM1,"CUMPLE",IF(SUMIF(C53:C62,C61,AF53:AF62)&gt;=CMLM1,"CUMPLE",IF(SUMIF(C53:C62,C62,AF53:AF62)&gt;=CMLM1,"CUMPLE","NO CUMPLE")))))))))))</f>
        <v>CUMPLE</v>
      </c>
      <c r="AI53" s="121" t="str">
        <f t="shared" si="12"/>
        <v>CUMPLE</v>
      </c>
      <c r="AJ53" s="469" t="str">
        <f>IFERROR(IF(COUNTIF(AF53:AF62,"")=10,"",IF(COUNTIF(E53:E62,"N/A")&gt;0,"N/A",CJ53)),"")</f>
        <v>CUMPLE</v>
      </c>
      <c r="AK53" s="469" t="str">
        <f>IFERROR(IF(AND(COUNTIF(N53:N62,"SI")&gt;=1,COUNTIF(O53:O62,"SI")&gt;=1,COUNTIF(P53:P62,"SI")&gt;=1,COUNTIF(J53:J62,"SI")&lt;=10,CO53="CUMPLE"),"CUMPLE","NO CUMPLE"),"")</f>
        <v>CUMPLE</v>
      </c>
      <c r="AL53" s="472" t="s">
        <v>77</v>
      </c>
      <c r="AM53" s="495">
        <f>IFERROR(IF(B53&lt;&gt;"",IF(VLOOKUP(B53,'DESEMPATE Y DISCAPACIDAD'!$A$3:$Q$450,10,FALSE)="","",VLOOKUP(B53,'DESEMPATE Y DISCAPACIDAD'!$A$3:$Q$450,10,FALSE)+6),""),"")</f>
        <v>8</v>
      </c>
      <c r="AN53" s="121" t="s">
        <v>75</v>
      </c>
      <c r="AO53" s="490" t="s">
        <v>74</v>
      </c>
      <c r="AP53" s="121" t="s">
        <v>74</v>
      </c>
      <c r="AQ53" s="490">
        <f>IFERROR(IF(COUNTIF(AP53:AP62,"")=10,"",IF(AO53="NO",0,COUNTIF(AP53:AP62,"SI"))),"")</f>
        <v>6</v>
      </c>
      <c r="AR53" s="521">
        <f>IFERROR(IF(COUNTIF(AF53:AF62,"")=10,"",IF(AO53="NO",0,IF(COUNTIF(E53:E62,"N/A")&gt;0,SUM(CQ53:CQ62),SUM(CR53:CR62)))),"")</f>
        <v>95992.019600000014</v>
      </c>
      <c r="AS53" s="518">
        <f>IFERROR(IF(OR(COUNTIF(AF53:AF62,"")=10,AQ53="",AR53=""),"",IF(AO53="NO",0,AR53/AQ53)),"")</f>
        <v>15998.669933333336</v>
      </c>
      <c r="AT53" s="207"/>
      <c r="AU53" s="610" t="s">
        <v>897</v>
      </c>
      <c r="AV53" s="542" t="s">
        <v>747</v>
      </c>
      <c r="AW53" s="560" t="s">
        <v>747</v>
      </c>
      <c r="AX53" s="560" t="s">
        <v>747</v>
      </c>
      <c r="AY53" s="19"/>
      <c r="BZ53" s="4"/>
      <c r="CA53" s="4"/>
      <c r="CB53" s="29" t="str">
        <f>IFERROR(IF(COUNTIF(AF53:AF62,"")=10,"",IF(COUNTIF(E53:E62,"N/A")&gt;0,IF(AF53&gt;=CMEMM1,AF53,0),"N/A")),"")</f>
        <v>N/A</v>
      </c>
      <c r="CC53" s="4"/>
      <c r="CD53" s="4">
        <f>IFERROR(IF(COUNTIF(AF53:AF62,"")=10,"",IF(AF53="","",IF(AF53&gt;=CMEMM1,1,0))),"")</f>
        <v>1</v>
      </c>
      <c r="CE53" s="4" t="str">
        <f>B53&amp;"-0"&amp;1</f>
        <v>P06-01</v>
      </c>
      <c r="CF53" s="4" t="str">
        <f>IFERROR(INDEX('DESEMPATE Y DISCAPACIDAD'!$D$3:$D$450,MATCH(CE53,'DESEMPATE Y DISCAPACIDAD'!$C$3:$C$450,0)),"")</f>
        <v>TOMAS LLAVADOR ARQUITECTOS E INGENIEROS S.L. SUCURSAL COLOMBIA</v>
      </c>
      <c r="CG53" s="4">
        <f>IF(OR(CE53="",CF53=""),"",SUMIF(D53:D62,CF53,CD53:CD62))</f>
        <v>1</v>
      </c>
      <c r="CH53" s="4" t="str">
        <f t="shared" si="37"/>
        <v>CUMPLE</v>
      </c>
      <c r="CI53" s="4">
        <f>IF(CF53="","",IF(ISTEXT(CF53),1,0))</f>
        <v>1</v>
      </c>
      <c r="CJ53" s="4" t="str">
        <f>IF(OR(CD53="",CE53="",CF53="",CG53="",CH53="",CI53=""),"",IF(COUNTIF(CH53:CH62,"CUMPLE")=COUNTIF(CI53:CI62,1),"CUMPLE","NO CUMPLE"))</f>
        <v>CUMPLE</v>
      </c>
      <c r="CK53" s="4"/>
      <c r="CL53" s="4">
        <f t="shared" si="1"/>
        <v>1</v>
      </c>
      <c r="CM53" s="4">
        <f t="shared" si="2"/>
        <v>0</v>
      </c>
      <c r="CN53" s="4" t="str">
        <f>IF(OR(CL53="",CM53=""),"",IF(AND(CL53=0,CM53=0),"N/A",IF(AND(CL53=1,CM53=0),"COND. A",IF(AND(CL53=0,CM53=1),"COND. B",IF(AND(CL53=1,CM53=1),"COND. A Y B","")))))</f>
        <v>COND. A</v>
      </c>
      <c r="CO53" s="4" t="str">
        <f>IF(COUNTIF(CN53:CN62,"N/A")=10,"NO CUMPLE",IF(COUNTIF(CN53:CN62,"COND. A Y B")&gt;1,"CUMPLE",IF(AND(COUNTIF(CN53:CN62,"COND. A")&gt;0,COUNTIF(CN53:CN62,"COND. B")&gt;0),"CUMPLE",IF(AND(COUNTIF(CN53:CN62,"COND. A Y B")&gt;0,COUNTIF(CN53:CN62,"COND. A")&gt;0),"CUMPLE",IF(AND(COUNTIF(CN53:CN62,"COND. A Y B")&gt;0,COUNTIF(CN53:CN62,"COND. B")&gt;0),"CUMPLE","NO CUMPLE")))))</f>
        <v>CUMPLE</v>
      </c>
      <c r="CP53" s="4"/>
      <c r="CQ53" s="29" t="str">
        <f t="shared" si="49"/>
        <v>N/A</v>
      </c>
      <c r="CR53" s="29">
        <f t="shared" si="50"/>
        <v>67953.179999999993</v>
      </c>
      <c r="CS53" s="4"/>
    </row>
    <row r="54" spans="1:97" ht="45" customHeight="1">
      <c r="B54" s="481"/>
      <c r="C54" s="118" t="s">
        <v>178</v>
      </c>
      <c r="D54" s="119" t="str">
        <f>+IFERROR(INDEX('DESEMPATE Y DISCAPACIDAD'!$D$3:$D$450,MATCH(C54,'DESEMPATE Y DISCAPACIDAD'!$C$3:$C$450,0)),"")</f>
        <v>SIGT INGENIEROS Y CONSULTORES S.A.S</v>
      </c>
      <c r="E54" s="120" t="str">
        <f>IFERROR(IF(D54="","",IF(VLOOKUP(D54,'DESEMPATE Y DISCAPACIDAD'!D$3:$E$450,2,FALSE)=1,"N/A",IF(VLOOKUP(D54,'DESEMPATE Y DISCAPACIDAD'!D$3:$F$450,3,FALSE)="X","SI","NO"))),"")</f>
        <v>NO</v>
      </c>
      <c r="F54" s="125" t="s">
        <v>807</v>
      </c>
      <c r="G54" s="121" t="s">
        <v>850</v>
      </c>
      <c r="H54" s="125"/>
      <c r="I54" s="128" t="s">
        <v>851</v>
      </c>
      <c r="J54" s="125" t="s">
        <v>74</v>
      </c>
      <c r="K54" s="125" t="s">
        <v>74</v>
      </c>
      <c r="L54" s="125" t="s">
        <v>75</v>
      </c>
      <c r="M54" s="125" t="s">
        <v>74</v>
      </c>
      <c r="N54" s="121" t="str">
        <f t="shared" ref="N54:N62" si="51">IFERROR(IF(OR(J54="",K54=""),"",IF(J54="NO","NO",K54)),"")</f>
        <v>SI</v>
      </c>
      <c r="O54" s="121" t="str">
        <f t="shared" ref="O54:O62" si="52">IFERROR(IF(OR(J54="",L54=""),"",IF(J54="NO","NO",L54)),"")</f>
        <v>NO</v>
      </c>
      <c r="P54" s="121" t="str">
        <f t="shared" ref="P54:P62" si="53">IFERROR(IF(OR(J54="",M54=""),"",IF(J54="NO","NO",M54)),"")</f>
        <v>SI</v>
      </c>
      <c r="Q54" s="121" t="str">
        <f t="shared" si="8"/>
        <v>SI</v>
      </c>
      <c r="R54" s="103">
        <v>1</v>
      </c>
      <c r="S54" s="123">
        <v>42954</v>
      </c>
      <c r="T54" s="123">
        <v>43890</v>
      </c>
      <c r="U54" s="121">
        <f t="shared" ref="U54:U62" si="54">IFERROR(IF(T54="","",YEAR(T54)),"")</f>
        <v>2020</v>
      </c>
      <c r="V54" s="124">
        <f>IF(U54=2023,1160000,IFERROR(INDEX(SMMLV!$B$2:$B$101,MATCH(U54,SMMLV!$A$2:$A$101,0)),""))</f>
        <v>877803</v>
      </c>
      <c r="W54" s="117" t="s">
        <v>670</v>
      </c>
      <c r="X54" s="125" t="s">
        <v>671</v>
      </c>
      <c r="Y54" s="121">
        <v>52</v>
      </c>
      <c r="Z54" s="474" t="s">
        <v>74</v>
      </c>
      <c r="AA54" s="475"/>
      <c r="AB54" s="476"/>
      <c r="AC54" s="125" t="str">
        <f t="shared" ref="AC54:AC62" si="55">IFERROR(IF(Y54="","",IF(ISNUMBER(Y54),IF(COUNTIF(Z54,"SI")&gt;0,"SI","NO"),Y54)),"")</f>
        <v>SI</v>
      </c>
      <c r="AD54" s="117" t="str">
        <f t="shared" si="10"/>
        <v>N/A</v>
      </c>
      <c r="AE54" s="117">
        <v>8673.61</v>
      </c>
      <c r="AF54" s="117">
        <f t="shared" si="11"/>
        <v>8673.61</v>
      </c>
      <c r="AG54" s="470"/>
      <c r="AH54" s="470"/>
      <c r="AI54" s="125" t="str">
        <f t="shared" si="12"/>
        <v>CUMPLE</v>
      </c>
      <c r="AJ54" s="470"/>
      <c r="AK54" s="470"/>
      <c r="AL54" s="472"/>
      <c r="AM54" s="496"/>
      <c r="AN54" s="125" t="s">
        <v>75</v>
      </c>
      <c r="AO54" s="490"/>
      <c r="AP54" s="125" t="s">
        <v>74</v>
      </c>
      <c r="AQ54" s="490"/>
      <c r="AR54" s="522"/>
      <c r="AS54" s="519"/>
      <c r="AT54" s="209"/>
      <c r="AU54" s="611"/>
      <c r="AV54" s="543"/>
      <c r="AW54" s="561"/>
      <c r="AX54" s="561"/>
      <c r="AY54" s="19"/>
      <c r="BZ54" s="4"/>
      <c r="CA54" s="4"/>
      <c r="CB54" s="29" t="str">
        <f>IFERROR(IF(COUNTIF(AF53:AF62,"")=10,"",IF(COUNTIF(E53:E62,"N/A")&gt;0,IF(AF54&gt;=CMEMM1,AF54,0),"N/A")),"")</f>
        <v>N/A</v>
      </c>
      <c r="CC54" s="4"/>
      <c r="CD54" s="4">
        <f>IFERROR(IF(COUNTIF(AF53:AF62,"")=10,"",IF(AF54="","",IF(AF54&gt;=CMEMM1,1,0))),"")</f>
        <v>1</v>
      </c>
      <c r="CE54" s="4" t="str">
        <f>B53&amp;"-0"&amp;2</f>
        <v>P06-02</v>
      </c>
      <c r="CF54" s="4" t="str">
        <f>IFERROR(INDEX('DESEMPATE Y DISCAPACIDAD'!$D$3:$D$450,MATCH(CE54,'DESEMPATE Y DISCAPACIDAD'!$C$3:$C$450,0)),"")</f>
        <v>SIGT INGENIEROS Y CONSULTORES S.A.S</v>
      </c>
      <c r="CG54" s="4">
        <f>IF(OR(CE54="",CF54=""),"",SUMIF(D53:D62,CF54,CD53:CD62))</f>
        <v>1</v>
      </c>
      <c r="CH54" s="4" t="str">
        <f t="shared" si="37"/>
        <v>CUMPLE</v>
      </c>
      <c r="CI54" s="4">
        <f t="shared" ref="CI54:CI62" si="56">IF(CF54="","",IF(ISTEXT(CF54),1,0))</f>
        <v>1</v>
      </c>
      <c r="CJ54" s="4"/>
      <c r="CK54" s="4"/>
      <c r="CL54" s="4">
        <f t="shared" si="1"/>
        <v>1</v>
      </c>
      <c r="CM54" s="4">
        <f t="shared" si="2"/>
        <v>0</v>
      </c>
      <c r="CN54" s="4" t="str">
        <f t="shared" ref="CN54:CN62" si="57">IF(OR(CL54="",CM54=""),"",IF(AND(CL54=0,CM54=0),"N/A",IF(AND(CL54=1,CM54=0),"COND. A",IF(AND(CL54=0,CM54=1),"COND. B",IF(AND(CL54=1,CM54=1),"COND. A Y B","")))))</f>
        <v>COND. A</v>
      </c>
      <c r="CO54" s="4"/>
      <c r="CP54" s="4"/>
      <c r="CQ54" s="29" t="str">
        <f t="shared" si="49"/>
        <v>N/A</v>
      </c>
      <c r="CR54" s="29">
        <f t="shared" si="50"/>
        <v>8673.61</v>
      </c>
      <c r="CS54" s="4"/>
    </row>
    <row r="55" spans="1:97" ht="34.25" customHeight="1">
      <c r="B55" s="481"/>
      <c r="C55" s="118" t="s">
        <v>236</v>
      </c>
      <c r="D55" s="126" t="str">
        <f>+IFERROR(INDEX('DESEMPATE Y DISCAPACIDAD'!$D$3:$D$450,MATCH(C55,'DESEMPATE Y DISCAPACIDAD'!$C$3:$C$450,0)),"")</f>
        <v>TERRA PROYECTOS CIVILES S.A.S</v>
      </c>
      <c r="E55" s="127" t="str">
        <f>IFERROR(IF(D55="","",IF(VLOOKUP(D55,'DESEMPATE Y DISCAPACIDAD'!D$3:$E$450,2,FALSE)=1,"N/A",IF(VLOOKUP(D55,'DESEMPATE Y DISCAPACIDAD'!D$3:$F$450,3,FALSE)="X","SI","NO"))),"")</f>
        <v>NO</v>
      </c>
      <c r="F55" s="125" t="s">
        <v>852</v>
      </c>
      <c r="G55" s="121" t="s">
        <v>660</v>
      </c>
      <c r="H55" s="125" t="s">
        <v>853</v>
      </c>
      <c r="I55" s="128" t="s">
        <v>854</v>
      </c>
      <c r="J55" s="125" t="s">
        <v>74</v>
      </c>
      <c r="K55" s="121" t="s">
        <v>74</v>
      </c>
      <c r="L55" s="121" t="s">
        <v>75</v>
      </c>
      <c r="M55" s="121" t="s">
        <v>74</v>
      </c>
      <c r="N55" s="125" t="str">
        <f t="shared" si="51"/>
        <v>SI</v>
      </c>
      <c r="O55" s="125" t="str">
        <f t="shared" si="52"/>
        <v>NO</v>
      </c>
      <c r="P55" s="125" t="str">
        <f t="shared" si="53"/>
        <v>SI</v>
      </c>
      <c r="Q55" s="125" t="str">
        <f t="shared" si="8"/>
        <v>SI</v>
      </c>
      <c r="R55" s="68">
        <v>1</v>
      </c>
      <c r="S55" s="129" t="s">
        <v>892</v>
      </c>
      <c r="T55" s="129">
        <v>37144</v>
      </c>
      <c r="U55" s="125">
        <f t="shared" si="54"/>
        <v>2001</v>
      </c>
      <c r="V55" s="117">
        <f>IF(U55=2023,1160000,IFERROR(INDEX(SMMLV!$B$2:$B$101,MATCH(U55,SMMLV!$A$2:$A$101,0)),""))</f>
        <v>286000</v>
      </c>
      <c r="W55" s="117" t="s">
        <v>670</v>
      </c>
      <c r="X55" s="125" t="s">
        <v>671</v>
      </c>
      <c r="Y55" s="125">
        <v>4</v>
      </c>
      <c r="Z55" s="474" t="s">
        <v>74</v>
      </c>
      <c r="AA55" s="475"/>
      <c r="AB55" s="476"/>
      <c r="AC55" s="125" t="str">
        <f t="shared" si="55"/>
        <v>SI</v>
      </c>
      <c r="AD55" s="117" t="str">
        <f t="shared" si="10"/>
        <v>N/A</v>
      </c>
      <c r="AE55" s="117">
        <v>5243.16</v>
      </c>
      <c r="AF55" s="117">
        <f t="shared" si="11"/>
        <v>5243.16</v>
      </c>
      <c r="AG55" s="470"/>
      <c r="AH55" s="470"/>
      <c r="AI55" s="125" t="str">
        <f t="shared" si="12"/>
        <v>CUMPLE</v>
      </c>
      <c r="AJ55" s="470"/>
      <c r="AK55" s="470"/>
      <c r="AL55" s="472"/>
      <c r="AM55" s="496"/>
      <c r="AN55" s="125" t="s">
        <v>75</v>
      </c>
      <c r="AO55" s="490"/>
      <c r="AP55" s="125" t="s">
        <v>74</v>
      </c>
      <c r="AQ55" s="490"/>
      <c r="AR55" s="522"/>
      <c r="AS55" s="519"/>
      <c r="AT55" s="207"/>
      <c r="AU55" s="611"/>
      <c r="AV55" s="543"/>
      <c r="AW55" s="561"/>
      <c r="AX55" s="561"/>
      <c r="AY55" s="19"/>
      <c r="BZ55" s="4"/>
      <c r="CA55" s="4"/>
      <c r="CB55" s="29" t="str">
        <f>IFERROR(IF(COUNTIF(AF53:AF62,"")=10,"",IF(COUNTIF(E53:E62,"N/A")&gt;0,IF(AF55&gt;=CMEMM1,AF55,0),"N/A")),"")</f>
        <v>N/A</v>
      </c>
      <c r="CC55" s="4"/>
      <c r="CD55" s="4">
        <f>IFERROR(IF(COUNTIF(AF53:AF62,"")=10,"",IF(AF55="","",IF(AF55&gt;=CMEMM1,1,0))),"")</f>
        <v>1</v>
      </c>
      <c r="CE55" s="4" t="str">
        <f>B53&amp;"-0"&amp;3</f>
        <v>P06-03</v>
      </c>
      <c r="CF55" s="4" t="str">
        <f>IFERROR(INDEX('DESEMPATE Y DISCAPACIDAD'!$D$3:$D$450,MATCH(CE55,'DESEMPATE Y DISCAPACIDAD'!$C$3:$C$450,0)),"")</f>
        <v>TERRA PROYECTOS CIVILES S.A.S</v>
      </c>
      <c r="CG55" s="4">
        <f>IF(OR(CE55="",CF55=""),"",SUMIF(D53:D62,CF55,CD53:CD62))</f>
        <v>1</v>
      </c>
      <c r="CH55" s="4" t="str">
        <f t="shared" si="37"/>
        <v>CUMPLE</v>
      </c>
      <c r="CI55" s="4">
        <f t="shared" si="56"/>
        <v>1</v>
      </c>
      <c r="CJ55" s="4"/>
      <c r="CK55" s="4"/>
      <c r="CL55" s="4">
        <f t="shared" si="1"/>
        <v>1</v>
      </c>
      <c r="CM55" s="4">
        <f t="shared" si="2"/>
        <v>0</v>
      </c>
      <c r="CN55" s="4" t="str">
        <f t="shared" si="57"/>
        <v>COND. A</v>
      </c>
      <c r="CO55" s="4"/>
      <c r="CP55" s="4"/>
      <c r="CQ55" s="29" t="str">
        <f t="shared" si="49"/>
        <v>N/A</v>
      </c>
      <c r="CR55" s="29">
        <f t="shared" si="50"/>
        <v>5243.16</v>
      </c>
      <c r="CS55" s="4"/>
    </row>
    <row r="56" spans="1:97" ht="34.25" customHeight="1">
      <c r="B56" s="481"/>
      <c r="C56" s="118" t="s">
        <v>237</v>
      </c>
      <c r="D56" s="126" t="str">
        <f>+IFERROR(INDEX('DESEMPATE Y DISCAPACIDAD'!$D$3:$D$450,MATCH(C56,'DESEMPATE Y DISCAPACIDAD'!$C$3:$C$450,0)),"")</f>
        <v>COMPAÑIA DE PROYECTOS TECNICOS - CPT S.A</v>
      </c>
      <c r="E56" s="127" t="str">
        <f>IFERROR(IF(D56="","",IF(VLOOKUP(D56,'DESEMPATE Y DISCAPACIDAD'!D$3:$E$450,2,FALSE)=1,"N/A",IF(VLOOKUP(D56,'DESEMPATE Y DISCAPACIDAD'!D$3:$F$450,3,FALSE)="X","SI","NO"))),"")</f>
        <v>NO</v>
      </c>
      <c r="F56" s="125" t="s">
        <v>741</v>
      </c>
      <c r="G56" s="121" t="s">
        <v>660</v>
      </c>
      <c r="H56" s="125" t="s">
        <v>855</v>
      </c>
      <c r="I56" s="128" t="s">
        <v>856</v>
      </c>
      <c r="J56" s="125" t="s">
        <v>74</v>
      </c>
      <c r="K56" s="125" t="s">
        <v>74</v>
      </c>
      <c r="L56" s="125" t="s">
        <v>75</v>
      </c>
      <c r="M56" s="125" t="s">
        <v>74</v>
      </c>
      <c r="N56" s="125" t="str">
        <f t="shared" si="51"/>
        <v>SI</v>
      </c>
      <c r="O56" s="125" t="str">
        <f t="shared" si="52"/>
        <v>NO</v>
      </c>
      <c r="P56" s="125" t="str">
        <f t="shared" si="53"/>
        <v>SI</v>
      </c>
      <c r="Q56" s="125" t="str">
        <f t="shared" si="8"/>
        <v>SI</v>
      </c>
      <c r="R56" s="68">
        <v>1</v>
      </c>
      <c r="S56" s="129">
        <v>29752</v>
      </c>
      <c r="T56" s="129">
        <v>33358</v>
      </c>
      <c r="U56" s="125">
        <f t="shared" si="54"/>
        <v>1991</v>
      </c>
      <c r="V56" s="117">
        <f>IF(U56=2023,1160000,IFERROR(INDEX(SMMLV!$B$2:$B$101,MATCH(U56,SMMLV!$A$2:$A$101,0)),""))</f>
        <v>51716</v>
      </c>
      <c r="W56" s="117" t="s">
        <v>670</v>
      </c>
      <c r="X56" s="125" t="s">
        <v>671</v>
      </c>
      <c r="Y56" s="125">
        <v>39</v>
      </c>
      <c r="Z56" s="474" t="s">
        <v>74</v>
      </c>
      <c r="AA56" s="475"/>
      <c r="AB56" s="476"/>
      <c r="AC56" s="125" t="str">
        <f t="shared" si="55"/>
        <v>SI</v>
      </c>
      <c r="AD56" s="117" t="str">
        <f t="shared" si="10"/>
        <v>N/A</v>
      </c>
      <c r="AE56" s="117">
        <v>5712.74</v>
      </c>
      <c r="AF56" s="117">
        <f t="shared" si="11"/>
        <v>5712.74</v>
      </c>
      <c r="AG56" s="470"/>
      <c r="AH56" s="470"/>
      <c r="AI56" s="125" t="str">
        <f t="shared" si="12"/>
        <v>CUMPLE</v>
      </c>
      <c r="AJ56" s="470"/>
      <c r="AK56" s="470"/>
      <c r="AL56" s="472"/>
      <c r="AM56" s="496"/>
      <c r="AN56" s="125" t="s">
        <v>75</v>
      </c>
      <c r="AO56" s="490"/>
      <c r="AP56" s="125" t="s">
        <v>74</v>
      </c>
      <c r="AQ56" s="490"/>
      <c r="AR56" s="522"/>
      <c r="AS56" s="519"/>
      <c r="AT56" s="207"/>
      <c r="AU56" s="611"/>
      <c r="AV56" s="543"/>
      <c r="AW56" s="561"/>
      <c r="AX56" s="561"/>
      <c r="AY56" s="19"/>
      <c r="BZ56" s="4"/>
      <c r="CA56" s="4"/>
      <c r="CB56" s="29" t="str">
        <f>IFERROR(IF(COUNTIF(AF53:AF62,"")=10,"",IF(COUNTIF(E53:E62,"N/A")&gt;0,IF(AF56&gt;=CMEMM1,AF56,0),"N/A")),"")</f>
        <v>N/A</v>
      </c>
      <c r="CC56" s="4"/>
      <c r="CD56" s="4">
        <f>IFERROR(IF(COUNTIF(AF53:AF62,"")=10,"",IF(AF56="","",IF(AF56&gt;=CMEMM1,1,0))),"")</f>
        <v>1</v>
      </c>
      <c r="CE56" s="4" t="str">
        <f>B53&amp;"-0"&amp;4</f>
        <v>P06-04</v>
      </c>
      <c r="CF56" s="4" t="str">
        <f>IFERROR(INDEX('DESEMPATE Y DISCAPACIDAD'!$D$3:$D$450,MATCH(CE56,'DESEMPATE Y DISCAPACIDAD'!$C$3:$C$450,0)),"")</f>
        <v>COMPAÑIA DE PROYECTOS TECNICOS - CPT S.A</v>
      </c>
      <c r="CG56" s="4">
        <f>IF(OR(CE56="",CF56=""),"",SUMIF(D53:D62,CF56,CD53:CD62))</f>
        <v>1</v>
      </c>
      <c r="CH56" s="4" t="str">
        <f t="shared" si="37"/>
        <v>CUMPLE</v>
      </c>
      <c r="CI56" s="4">
        <f t="shared" si="56"/>
        <v>1</v>
      </c>
      <c r="CJ56" s="4"/>
      <c r="CK56" s="4"/>
      <c r="CL56" s="4">
        <f t="shared" si="1"/>
        <v>1</v>
      </c>
      <c r="CM56" s="4">
        <f t="shared" si="2"/>
        <v>0</v>
      </c>
      <c r="CN56" s="4" t="str">
        <f t="shared" si="57"/>
        <v>COND. A</v>
      </c>
      <c r="CO56" s="4"/>
      <c r="CP56" s="4"/>
      <c r="CQ56" s="29" t="str">
        <f t="shared" si="49"/>
        <v>N/A</v>
      </c>
      <c r="CR56" s="29">
        <f t="shared" si="50"/>
        <v>5712.74</v>
      </c>
      <c r="CS56" s="4"/>
    </row>
    <row r="57" spans="1:97" ht="34.25" customHeight="1">
      <c r="B57" s="481"/>
      <c r="C57" s="118" t="s">
        <v>238</v>
      </c>
      <c r="D57" s="126" t="str">
        <f>+IFERROR(INDEX('DESEMPATE Y DISCAPACIDAD'!$D$3:$D$450,MATCH(C57,'DESEMPATE Y DISCAPACIDAD'!$C$3:$C$450,0)),"")</f>
        <v>INVELER CONSULTORIA SAS</v>
      </c>
      <c r="E57" s="127" t="str">
        <f>IFERROR(IF(D57="","",IF(VLOOKUP(D57,'DESEMPATE Y DISCAPACIDAD'!D$3:$E$450,2,FALSE)=1,"N/A",IF(VLOOKUP(D57,'DESEMPATE Y DISCAPACIDAD'!D$3:$F$450,3,FALSE)="X","SI","NO"))),"")</f>
        <v>NO</v>
      </c>
      <c r="F57" s="125" t="s">
        <v>663</v>
      </c>
      <c r="G57" s="121" t="s">
        <v>660</v>
      </c>
      <c r="H57" s="125" t="s">
        <v>857</v>
      </c>
      <c r="I57" s="128" t="s">
        <v>858</v>
      </c>
      <c r="J57" s="125" t="s">
        <v>74</v>
      </c>
      <c r="K57" s="125" t="s">
        <v>74</v>
      </c>
      <c r="L57" s="125" t="s">
        <v>74</v>
      </c>
      <c r="M57" s="125" t="s">
        <v>74</v>
      </c>
      <c r="N57" s="125" t="str">
        <f t="shared" si="51"/>
        <v>SI</v>
      </c>
      <c r="O57" s="125" t="str">
        <f t="shared" si="52"/>
        <v>SI</v>
      </c>
      <c r="P57" s="125" t="str">
        <f t="shared" si="53"/>
        <v>SI</v>
      </c>
      <c r="Q57" s="125" t="str">
        <f t="shared" si="8"/>
        <v>SI</v>
      </c>
      <c r="R57" s="68">
        <v>0.5</v>
      </c>
      <c r="S57" s="129">
        <v>38772</v>
      </c>
      <c r="T57" s="129">
        <v>40656</v>
      </c>
      <c r="U57" s="125">
        <f t="shared" si="54"/>
        <v>2011</v>
      </c>
      <c r="V57" s="117">
        <f>IF(U57=2023,1160000,IFERROR(INDEX(SMMLV!$B$2:$B$101,MATCH(U57,SMMLV!$A$2:$A$101,0)),""))</f>
        <v>535600</v>
      </c>
      <c r="W57" s="117" t="s">
        <v>670</v>
      </c>
      <c r="X57" s="125" t="s">
        <v>671</v>
      </c>
      <c r="Y57" s="125">
        <v>21</v>
      </c>
      <c r="Z57" s="474" t="s">
        <v>74</v>
      </c>
      <c r="AA57" s="475"/>
      <c r="AB57" s="476"/>
      <c r="AC57" s="125" t="str">
        <f t="shared" si="55"/>
        <v>SI</v>
      </c>
      <c r="AD57" s="117" t="str">
        <f t="shared" si="10"/>
        <v>N/A</v>
      </c>
      <c r="AE57" s="117">
        <v>8950.39</v>
      </c>
      <c r="AF57" s="117">
        <f t="shared" si="11"/>
        <v>4475.1949999999997</v>
      </c>
      <c r="AG57" s="470"/>
      <c r="AH57" s="470"/>
      <c r="AI57" s="125" t="str">
        <f t="shared" si="12"/>
        <v>CUMPLE</v>
      </c>
      <c r="AJ57" s="470"/>
      <c r="AK57" s="470"/>
      <c r="AL57" s="472"/>
      <c r="AM57" s="496"/>
      <c r="AN57" s="125" t="s">
        <v>75</v>
      </c>
      <c r="AO57" s="490"/>
      <c r="AP57" s="125" t="s">
        <v>74</v>
      </c>
      <c r="AQ57" s="490"/>
      <c r="AR57" s="522"/>
      <c r="AS57" s="519"/>
      <c r="AT57" s="207"/>
      <c r="AU57" s="611"/>
      <c r="AV57" s="543"/>
      <c r="AW57" s="561"/>
      <c r="AX57" s="561"/>
      <c r="AY57" s="19"/>
      <c r="CB57" s="29" t="str">
        <f>IFERROR(IF(COUNTIF(AF53:AF62,"")=10,"",IF(COUNTIF(E53:E62,"N/A")&gt;0,IF(AF57&gt;=CMEMM1,AF57,0),"N/A")),"")</f>
        <v>N/A</v>
      </c>
      <c r="CC57" s="4"/>
      <c r="CD57" s="4">
        <f>IFERROR(IF(COUNTIF(AF53:AF62,"")=10,"",IF(AF57="","",IF(AF57&gt;=CMEMM1,1,0))),"")</f>
        <v>1</v>
      </c>
      <c r="CE57" s="4" t="str">
        <f>B53&amp;"-0"&amp;5</f>
        <v>P06-05</v>
      </c>
      <c r="CF57" s="4" t="str">
        <f>IFERROR(INDEX('DESEMPATE Y DISCAPACIDAD'!$D$3:$D$450,MATCH(CE57,'DESEMPATE Y DISCAPACIDAD'!$C$3:$C$450,0)),"")</f>
        <v>INVELER CONSULTORIA SAS</v>
      </c>
      <c r="CG57" s="4">
        <f>IF(OR(CE57="",CF57=""),"",SUMIF(D53:D62,CF57,CD53:CD62))</f>
        <v>1</v>
      </c>
      <c r="CH57" s="4" t="str">
        <f t="shared" si="37"/>
        <v>CUMPLE</v>
      </c>
      <c r="CI57" s="4">
        <f t="shared" si="56"/>
        <v>1</v>
      </c>
      <c r="CJ57" s="4"/>
      <c r="CK57" s="4"/>
      <c r="CL57" s="4">
        <f t="shared" si="1"/>
        <v>1</v>
      </c>
      <c r="CM57" s="4">
        <f t="shared" si="2"/>
        <v>1</v>
      </c>
      <c r="CN57" s="4" t="str">
        <f t="shared" si="57"/>
        <v>COND. A Y B</v>
      </c>
      <c r="CO57" s="4"/>
      <c r="CP57" s="4"/>
      <c r="CQ57" s="29" t="str">
        <f t="shared" si="49"/>
        <v>N/A</v>
      </c>
      <c r="CR57" s="29">
        <f t="shared" si="50"/>
        <v>4475.1949999999997</v>
      </c>
      <c r="CS57" s="4"/>
    </row>
    <row r="58" spans="1:97" ht="45" customHeight="1">
      <c r="B58" s="481"/>
      <c r="C58" s="118" t="s">
        <v>238</v>
      </c>
      <c r="D58" s="126" t="str">
        <f>+IFERROR(INDEX('DESEMPATE Y DISCAPACIDAD'!$D$3:$D$450,MATCH(C58,'DESEMPATE Y DISCAPACIDAD'!$C$3:$C$450,0)),"")</f>
        <v>INVELER CONSULTORIA SAS</v>
      </c>
      <c r="E58" s="127" t="str">
        <f>IFERROR(IF(D58="","",IF(VLOOKUP(D58,'DESEMPATE Y DISCAPACIDAD'!D$3:$E$450,2,FALSE)=1,"N/A",IF(VLOOKUP(D58,'DESEMPATE Y DISCAPACIDAD'!D$3:$F$450,3,FALSE)="X","SI","NO"))),"")</f>
        <v>NO</v>
      </c>
      <c r="F58" s="125" t="s">
        <v>663</v>
      </c>
      <c r="G58" s="121" t="s">
        <v>660</v>
      </c>
      <c r="H58" s="125" t="s">
        <v>859</v>
      </c>
      <c r="I58" s="128" t="s">
        <v>860</v>
      </c>
      <c r="J58" s="125" t="s">
        <v>74</v>
      </c>
      <c r="K58" s="125" t="s">
        <v>74</v>
      </c>
      <c r="L58" s="125" t="s">
        <v>74</v>
      </c>
      <c r="M58" s="125" t="s">
        <v>74</v>
      </c>
      <c r="N58" s="125" t="str">
        <f t="shared" si="51"/>
        <v>SI</v>
      </c>
      <c r="O58" s="125" t="str">
        <f t="shared" si="52"/>
        <v>SI</v>
      </c>
      <c r="P58" s="125" t="str">
        <f t="shared" si="53"/>
        <v>SI</v>
      </c>
      <c r="Q58" s="125" t="str">
        <f t="shared" si="8"/>
        <v>SI</v>
      </c>
      <c r="R58" s="68">
        <v>0.33</v>
      </c>
      <c r="S58" s="129">
        <v>41099</v>
      </c>
      <c r="T58" s="129">
        <v>43288</v>
      </c>
      <c r="U58" s="125">
        <f t="shared" si="54"/>
        <v>2018</v>
      </c>
      <c r="V58" s="117">
        <f>IF(U58=2023,1160000,IFERROR(INDEX(SMMLV!$B$2:$B$101,MATCH(U58,SMMLV!$A$2:$A$101,0)),""))</f>
        <v>781242</v>
      </c>
      <c r="W58" s="117" t="s">
        <v>670</v>
      </c>
      <c r="X58" s="125" t="s">
        <v>671</v>
      </c>
      <c r="Y58" s="125">
        <v>133</v>
      </c>
      <c r="Z58" s="474" t="s">
        <v>74</v>
      </c>
      <c r="AA58" s="475"/>
      <c r="AB58" s="476"/>
      <c r="AC58" s="125" t="str">
        <f t="shared" si="55"/>
        <v>SI</v>
      </c>
      <c r="AD58" s="117" t="str">
        <f t="shared" si="10"/>
        <v>N/A</v>
      </c>
      <c r="AE58" s="117">
        <v>11921.62</v>
      </c>
      <c r="AF58" s="117">
        <f t="shared" si="11"/>
        <v>3934.1346000000003</v>
      </c>
      <c r="AG58" s="470"/>
      <c r="AH58" s="470"/>
      <c r="AI58" s="125" t="str">
        <f t="shared" si="12"/>
        <v>NO CUMPLE</v>
      </c>
      <c r="AJ58" s="470"/>
      <c r="AK58" s="470"/>
      <c r="AL58" s="472"/>
      <c r="AM58" s="496"/>
      <c r="AN58" s="125" t="s">
        <v>75</v>
      </c>
      <c r="AO58" s="490"/>
      <c r="AP58" s="125" t="s">
        <v>74</v>
      </c>
      <c r="AQ58" s="490"/>
      <c r="AR58" s="522"/>
      <c r="AS58" s="519"/>
      <c r="AT58" s="207"/>
      <c r="AU58" s="611"/>
      <c r="AV58" s="543"/>
      <c r="AW58" s="561"/>
      <c r="AX58" s="561"/>
      <c r="AY58" s="19"/>
      <c r="CB58" s="29" t="str">
        <f>IFERROR(IF(COUNTIF(AF53:AF62,"")=10,"",IF(COUNTIF(E53:E62,"N/A")&gt;0,IF(AF58&gt;=CMEMM1,AF58,0),"N/A")),"")</f>
        <v>N/A</v>
      </c>
      <c r="CC58" s="4"/>
      <c r="CD58" s="4">
        <f>IFERROR(IF(COUNTIF(AF53:AF62,"")=10,"",IF(AF58="","",IF(AF58&gt;=CMEMM1,1,0))),"")</f>
        <v>0</v>
      </c>
      <c r="CE58" s="4" t="str">
        <f>B53&amp;"-0"&amp;6</f>
        <v>P06-06</v>
      </c>
      <c r="CF58" s="4">
        <f>IFERROR(INDEX('DESEMPATE Y DISCAPACIDAD'!$D$3:$D$450,MATCH(CE58,'DESEMPATE Y DISCAPACIDAD'!$C$3:$C$450,0)),"")</f>
        <v>0</v>
      </c>
      <c r="CG58" s="4">
        <f>IF(OR(CE58="",CF58=""),"",SUMIF(D53:D62,CF58,CD53:CD62))</f>
        <v>0</v>
      </c>
      <c r="CH58" s="4" t="str">
        <f t="shared" si="37"/>
        <v>NO CUMPLE</v>
      </c>
      <c r="CI58" s="4">
        <f t="shared" si="56"/>
        <v>0</v>
      </c>
      <c r="CJ58" s="4"/>
      <c r="CK58" s="4"/>
      <c r="CL58" s="4">
        <f t="shared" si="1"/>
        <v>1</v>
      </c>
      <c r="CM58" s="4">
        <f t="shared" si="2"/>
        <v>1</v>
      </c>
      <c r="CN58" s="4" t="str">
        <f t="shared" si="57"/>
        <v>COND. A Y B</v>
      </c>
      <c r="CO58" s="4"/>
      <c r="CP58" s="4"/>
      <c r="CQ58" s="29" t="str">
        <f>IF(OR(AN57="",CB58=""),"",IF(AN57="NO",CB58,0))</f>
        <v>N/A</v>
      </c>
      <c r="CR58" s="29">
        <f>IF(OR(AN57="",AF58=""),"",IF(AN57="NO",AF58,0))</f>
        <v>3934.1346000000003</v>
      </c>
      <c r="CS58" s="4"/>
    </row>
    <row r="59" spans="1:97" ht="2" customHeight="1">
      <c r="B59" s="481"/>
      <c r="C59" s="118"/>
      <c r="D59" s="126" t="str">
        <f>+IFERROR(INDEX('DESEMPATE Y DISCAPACIDAD'!$D$3:$D$450,MATCH(C59,'DESEMPATE Y DISCAPACIDAD'!$C$3:$C$450,0)),"")</f>
        <v/>
      </c>
      <c r="E59" s="127" t="str">
        <f>IFERROR(IF(D59="","",IF(VLOOKUP(D59,'DESEMPATE Y DISCAPACIDAD'!D$3:$E$450,2,FALSE)=1,"N/A",IF(VLOOKUP(D59,'DESEMPATE Y DISCAPACIDAD'!D$3:$F$450,3,FALSE)="X","SI","NO"))),"")</f>
        <v/>
      </c>
      <c r="F59" s="125"/>
      <c r="G59" s="125"/>
      <c r="H59" s="125"/>
      <c r="I59" s="128"/>
      <c r="J59" s="125"/>
      <c r="K59" s="125"/>
      <c r="L59" s="125"/>
      <c r="M59" s="125"/>
      <c r="N59" s="125" t="str">
        <f t="shared" si="51"/>
        <v/>
      </c>
      <c r="O59" s="125" t="str">
        <f t="shared" si="52"/>
        <v/>
      </c>
      <c r="P59" s="125" t="str">
        <f t="shared" si="53"/>
        <v/>
      </c>
      <c r="Q59" s="125" t="str">
        <f t="shared" si="8"/>
        <v/>
      </c>
      <c r="R59" s="68"/>
      <c r="S59" s="129"/>
      <c r="T59" s="129"/>
      <c r="U59" s="125" t="str">
        <f t="shared" si="54"/>
        <v/>
      </c>
      <c r="V59" s="117" t="str">
        <f>IF(U59=2023,1160000,IFERROR(INDEX(SMMLV!$B$2:$B$101,MATCH(U59,SMMLV!$A$2:$A$101,0)),""))</f>
        <v/>
      </c>
      <c r="W59" s="117"/>
      <c r="X59" s="125"/>
      <c r="Y59" s="125"/>
      <c r="Z59" s="474"/>
      <c r="AA59" s="475"/>
      <c r="AB59" s="476"/>
      <c r="AC59" s="125" t="str">
        <f t="shared" si="55"/>
        <v/>
      </c>
      <c r="AD59" s="117" t="str">
        <f t="shared" si="10"/>
        <v/>
      </c>
      <c r="AE59" s="117" t="s">
        <v>894</v>
      </c>
      <c r="AF59" s="117" t="str">
        <f t="shared" si="11"/>
        <v/>
      </c>
      <c r="AG59" s="470"/>
      <c r="AH59" s="470"/>
      <c r="AI59" s="125" t="str">
        <f t="shared" si="12"/>
        <v/>
      </c>
      <c r="AJ59" s="470"/>
      <c r="AK59" s="470"/>
      <c r="AL59" s="472"/>
      <c r="AM59" s="496"/>
      <c r="AN59" s="125"/>
      <c r="AO59" s="490"/>
      <c r="AP59" s="125"/>
      <c r="AQ59" s="490"/>
      <c r="AR59" s="522"/>
      <c r="AS59" s="519"/>
      <c r="AT59" s="207"/>
      <c r="AU59" s="611"/>
      <c r="AV59" s="543"/>
      <c r="AW59" s="561"/>
      <c r="AX59" s="561"/>
      <c r="AY59" s="19"/>
      <c r="CB59" s="29" t="str">
        <f>IFERROR(IF(COUNTIF(AF53:AF62,"")=10,"",IF(COUNTIF(E53:E62,"N/A")&gt;0,IF(AF59&gt;=CMEMM1,AF59,0),"N/A")),"")</f>
        <v>N/A</v>
      </c>
      <c r="CC59" s="4"/>
      <c r="CD59" s="4" t="str">
        <f>IFERROR(IF(COUNTIF(AF53:AF62,"")=10,"",IF(AF59="","",IF(AF59&gt;=CMEMM1,1,0))),"")</f>
        <v/>
      </c>
      <c r="CE59" s="4" t="str">
        <f>B53&amp;"-0"&amp;7</f>
        <v>P06-07</v>
      </c>
      <c r="CF59" s="4" t="str">
        <f>IFERROR(INDEX('DESEMPATE Y DISCAPACIDAD'!$D$3:$D$450,MATCH(CE59,'DESEMPATE Y DISCAPACIDAD'!$C$3:$C$450,0)),"")</f>
        <v/>
      </c>
      <c r="CG59" s="4" t="str">
        <f>IF(OR(CE59="",CF59=""),"",SUMIF(D53:D62,CF59,CD53:CD62))</f>
        <v/>
      </c>
      <c r="CH59" s="4" t="str">
        <f t="shared" si="37"/>
        <v/>
      </c>
      <c r="CI59" s="4" t="str">
        <f t="shared" si="56"/>
        <v/>
      </c>
      <c r="CJ59" s="4"/>
      <c r="CK59" s="4"/>
      <c r="CL59" s="4" t="str">
        <f t="shared" si="1"/>
        <v/>
      </c>
      <c r="CM59" s="4" t="str">
        <f t="shared" si="2"/>
        <v/>
      </c>
      <c r="CN59" s="4" t="str">
        <f t="shared" si="57"/>
        <v/>
      </c>
      <c r="CO59" s="4"/>
      <c r="CP59" s="4"/>
      <c r="CQ59" s="29" t="str">
        <f t="shared" si="49"/>
        <v/>
      </c>
      <c r="CR59" s="29" t="str">
        <f t="shared" si="50"/>
        <v/>
      </c>
      <c r="CS59" s="4"/>
    </row>
    <row r="60" spans="1:97" ht="2" customHeight="1">
      <c r="B60" s="481"/>
      <c r="C60" s="118"/>
      <c r="D60" s="126" t="str">
        <f>+IFERROR(INDEX('DESEMPATE Y DISCAPACIDAD'!$D$3:$D$450,MATCH(C60,'DESEMPATE Y DISCAPACIDAD'!$C$3:$C$450,0)),"")</f>
        <v/>
      </c>
      <c r="E60" s="127" t="str">
        <f>IFERROR(IF(D60="","",IF(VLOOKUP(D60,'DESEMPATE Y DISCAPACIDAD'!D$3:$E$450,2,FALSE)=1,"N/A",IF(VLOOKUP(D60,'DESEMPATE Y DISCAPACIDAD'!D$3:$F$450,3,FALSE)="X","SI","NO"))),"")</f>
        <v/>
      </c>
      <c r="F60" s="125"/>
      <c r="G60" s="125"/>
      <c r="H60" s="125"/>
      <c r="I60" s="128"/>
      <c r="J60" s="125"/>
      <c r="K60" s="125"/>
      <c r="L60" s="125"/>
      <c r="M60" s="125"/>
      <c r="N60" s="125" t="str">
        <f t="shared" si="51"/>
        <v/>
      </c>
      <c r="O60" s="125" t="str">
        <f t="shared" si="52"/>
        <v/>
      </c>
      <c r="P60" s="125" t="str">
        <f t="shared" si="53"/>
        <v/>
      </c>
      <c r="Q60" s="125" t="str">
        <f t="shared" si="8"/>
        <v/>
      </c>
      <c r="R60" s="68"/>
      <c r="S60" s="129"/>
      <c r="T60" s="129"/>
      <c r="U60" s="125" t="str">
        <f t="shared" si="54"/>
        <v/>
      </c>
      <c r="V60" s="117" t="str">
        <f>IF(U60=2023,1160000,IFERROR(INDEX(SMMLV!$B$2:$B$101,MATCH(U60,SMMLV!$A$2:$A$101,0)),""))</f>
        <v/>
      </c>
      <c r="W60" s="117"/>
      <c r="X60" s="125"/>
      <c r="Y60" s="125"/>
      <c r="Z60" s="474"/>
      <c r="AA60" s="475"/>
      <c r="AB60" s="476"/>
      <c r="AC60" s="125" t="str">
        <f t="shared" si="55"/>
        <v/>
      </c>
      <c r="AD60" s="117" t="str">
        <f t="shared" si="10"/>
        <v/>
      </c>
      <c r="AE60" s="117" t="s">
        <v>894</v>
      </c>
      <c r="AF60" s="117" t="str">
        <f t="shared" si="11"/>
        <v/>
      </c>
      <c r="AG60" s="470"/>
      <c r="AH60" s="470"/>
      <c r="AI60" s="125" t="str">
        <f t="shared" si="12"/>
        <v/>
      </c>
      <c r="AJ60" s="470"/>
      <c r="AK60" s="470"/>
      <c r="AL60" s="472"/>
      <c r="AM60" s="496"/>
      <c r="AN60" s="125"/>
      <c r="AO60" s="490"/>
      <c r="AP60" s="125"/>
      <c r="AQ60" s="490"/>
      <c r="AR60" s="522"/>
      <c r="AS60" s="519"/>
      <c r="AT60" s="207"/>
      <c r="AU60" s="611"/>
      <c r="AV60" s="543"/>
      <c r="AW60" s="561"/>
      <c r="AX60" s="561"/>
      <c r="AY60" s="19"/>
      <c r="CB60" s="29" t="str">
        <f>IFERROR(IF(COUNTIF(AF53:AF62,"")=10,"",IF(COUNTIF(E53:E62,"N/A")&gt;0,IF(AF60&gt;=CMEMM1,AF60,0),"N/A")),"")</f>
        <v>N/A</v>
      </c>
      <c r="CC60" s="4"/>
      <c r="CD60" s="4" t="str">
        <f>IFERROR(IF(COUNTIF(AF53:AF62,"")=10,"",IF(AF60="","",IF(AF60&gt;=CMEMM1,1,0))),"")</f>
        <v/>
      </c>
      <c r="CE60" s="4" t="str">
        <f>B53&amp;"-0"&amp;8</f>
        <v>P06-08</v>
      </c>
      <c r="CF60" s="4" t="str">
        <f>IFERROR(INDEX('DESEMPATE Y DISCAPACIDAD'!$D$3:$D$450,MATCH(CE60,'DESEMPATE Y DISCAPACIDAD'!$C$3:$C$450,0)),"")</f>
        <v/>
      </c>
      <c r="CG60" s="4" t="str">
        <f>IF(OR(CE60="",CF60=""),"",SUMIF(D53:D62,CF60,CD53:CD62))</f>
        <v/>
      </c>
      <c r="CH60" s="4" t="str">
        <f t="shared" si="37"/>
        <v/>
      </c>
      <c r="CI60" s="4" t="str">
        <f t="shared" si="56"/>
        <v/>
      </c>
      <c r="CJ60" s="4"/>
      <c r="CK60" s="4"/>
      <c r="CL60" s="4" t="str">
        <f t="shared" si="1"/>
        <v/>
      </c>
      <c r="CM60" s="4" t="str">
        <f t="shared" si="2"/>
        <v/>
      </c>
      <c r="CN60" s="4" t="str">
        <f t="shared" si="57"/>
        <v/>
      </c>
      <c r="CO60" s="4"/>
      <c r="CP60" s="4"/>
      <c r="CQ60" s="29" t="str">
        <f t="shared" si="49"/>
        <v/>
      </c>
      <c r="CR60" s="29" t="str">
        <f t="shared" si="50"/>
        <v/>
      </c>
      <c r="CS60" s="4"/>
    </row>
    <row r="61" spans="1:97" ht="2" customHeight="1">
      <c r="B61" s="481"/>
      <c r="C61" s="118"/>
      <c r="D61" s="126" t="str">
        <f>+IFERROR(INDEX('DESEMPATE Y DISCAPACIDAD'!$D$3:$D$450,MATCH(C61,'DESEMPATE Y DISCAPACIDAD'!$C$3:$C$450,0)),"")</f>
        <v/>
      </c>
      <c r="E61" s="127" t="str">
        <f>IFERROR(IF(D61="","",IF(VLOOKUP(D61,'DESEMPATE Y DISCAPACIDAD'!D$3:$E$450,2,FALSE)=1,"N/A",IF(VLOOKUP(D61,'DESEMPATE Y DISCAPACIDAD'!D$3:$F$450,3,FALSE)="X","SI","NO"))),"")</f>
        <v/>
      </c>
      <c r="F61" s="125"/>
      <c r="G61" s="125"/>
      <c r="H61" s="125"/>
      <c r="I61" s="128"/>
      <c r="J61" s="125"/>
      <c r="K61" s="125"/>
      <c r="L61" s="125"/>
      <c r="M61" s="125"/>
      <c r="N61" s="125" t="str">
        <f t="shared" si="51"/>
        <v/>
      </c>
      <c r="O61" s="125" t="str">
        <f t="shared" si="52"/>
        <v/>
      </c>
      <c r="P61" s="125" t="str">
        <f t="shared" si="53"/>
        <v/>
      </c>
      <c r="Q61" s="125" t="str">
        <f t="shared" si="8"/>
        <v/>
      </c>
      <c r="R61" s="68"/>
      <c r="S61" s="129"/>
      <c r="T61" s="129"/>
      <c r="U61" s="125" t="str">
        <f t="shared" si="54"/>
        <v/>
      </c>
      <c r="V61" s="117" t="str">
        <f>IF(U61=2023,1160000,IFERROR(INDEX(SMMLV!$B$2:$B$101,MATCH(U61,SMMLV!$A$2:$A$101,0)),""))</f>
        <v/>
      </c>
      <c r="W61" s="117"/>
      <c r="X61" s="125"/>
      <c r="Y61" s="125"/>
      <c r="Z61" s="474"/>
      <c r="AA61" s="475"/>
      <c r="AB61" s="476"/>
      <c r="AC61" s="125" t="str">
        <f t="shared" si="55"/>
        <v/>
      </c>
      <c r="AD61" s="117" t="str">
        <f t="shared" si="10"/>
        <v/>
      </c>
      <c r="AE61" s="117" t="s">
        <v>894</v>
      </c>
      <c r="AF61" s="117" t="str">
        <f t="shared" si="11"/>
        <v/>
      </c>
      <c r="AG61" s="470"/>
      <c r="AH61" s="470"/>
      <c r="AI61" s="125" t="str">
        <f t="shared" si="12"/>
        <v/>
      </c>
      <c r="AJ61" s="470"/>
      <c r="AK61" s="470"/>
      <c r="AL61" s="472"/>
      <c r="AM61" s="496"/>
      <c r="AN61" s="125"/>
      <c r="AO61" s="490"/>
      <c r="AP61" s="125"/>
      <c r="AQ61" s="490"/>
      <c r="AR61" s="522"/>
      <c r="AS61" s="519"/>
      <c r="AT61" s="207"/>
      <c r="AU61" s="611"/>
      <c r="AV61" s="543"/>
      <c r="AW61" s="561"/>
      <c r="AX61" s="561"/>
      <c r="AY61" s="19"/>
      <c r="CB61" s="29" t="str">
        <f>IFERROR(IF(COUNTIF(AF53:AF62,"")=10,"",IF(COUNTIF(E53:E62,"N/A")&gt;0,IF(AF61&gt;=CMEMM1,AF61,0),"N/A")),"")</f>
        <v>N/A</v>
      </c>
      <c r="CC61" s="4"/>
      <c r="CD61" s="4" t="str">
        <f>IFERROR(IF(COUNTIF(AF53:AF62,"")=10,"",IF(AF61="","",IF(AF61&gt;=CMEMM1,1,0))),"")</f>
        <v/>
      </c>
      <c r="CE61" s="4" t="str">
        <f>B53&amp;"-0"&amp;9</f>
        <v>P06-09</v>
      </c>
      <c r="CF61" s="4" t="str">
        <f>IFERROR(INDEX('DESEMPATE Y DISCAPACIDAD'!$D$3:$D$450,MATCH(CE61,'DESEMPATE Y DISCAPACIDAD'!$C$3:$C$450,0)),"")</f>
        <v/>
      </c>
      <c r="CG61" s="4" t="str">
        <f>IF(OR(CE61="",CF61=""),"",SUMIF(D53:D62,CF61,CD53:CD62))</f>
        <v/>
      </c>
      <c r="CH61" s="4" t="str">
        <f t="shared" si="37"/>
        <v/>
      </c>
      <c r="CI61" s="4" t="str">
        <f t="shared" si="56"/>
        <v/>
      </c>
      <c r="CJ61" s="4"/>
      <c r="CK61" s="4"/>
      <c r="CL61" s="4" t="str">
        <f t="shared" si="1"/>
        <v/>
      </c>
      <c r="CM61" s="4" t="str">
        <f t="shared" si="2"/>
        <v/>
      </c>
      <c r="CN61" s="4" t="str">
        <f t="shared" si="57"/>
        <v/>
      </c>
      <c r="CO61" s="4"/>
      <c r="CP61" s="4"/>
      <c r="CQ61" s="29" t="str">
        <f t="shared" si="49"/>
        <v/>
      </c>
      <c r="CR61" s="29" t="str">
        <f t="shared" si="50"/>
        <v/>
      </c>
      <c r="CS61" s="4"/>
    </row>
    <row r="62" spans="1:97" ht="2" customHeight="1" thickBot="1">
      <c r="B62" s="592"/>
      <c r="C62" s="130"/>
      <c r="D62" s="142" t="str">
        <f>+IFERROR(INDEX('DESEMPATE Y DISCAPACIDAD'!$D$3:$D$450,MATCH(C62,'DESEMPATE Y DISCAPACIDAD'!$C$3:$C$450,0)),"")</f>
        <v/>
      </c>
      <c r="E62" s="143" t="str">
        <f>IFERROR(IF(D62="","",IF(VLOOKUP(D62,'DESEMPATE Y DISCAPACIDAD'!D$3:$E$450,2,FALSE)=1,"N/A",IF(VLOOKUP(D62,'DESEMPATE Y DISCAPACIDAD'!D$3:$F$450,3,FALSE)="X","SI","NO"))),"")</f>
        <v/>
      </c>
      <c r="F62" s="140"/>
      <c r="G62" s="133"/>
      <c r="H62" s="140"/>
      <c r="I62" s="144"/>
      <c r="J62" s="140"/>
      <c r="K62" s="140"/>
      <c r="L62" s="140"/>
      <c r="M62" s="140"/>
      <c r="N62" s="140" t="str">
        <f t="shared" si="51"/>
        <v/>
      </c>
      <c r="O62" s="140" t="str">
        <f t="shared" si="52"/>
        <v/>
      </c>
      <c r="P62" s="140" t="str">
        <f t="shared" si="53"/>
        <v/>
      </c>
      <c r="Q62" s="140" t="str">
        <f t="shared" si="8"/>
        <v/>
      </c>
      <c r="R62" s="145"/>
      <c r="S62" s="146"/>
      <c r="T62" s="146"/>
      <c r="U62" s="140" t="str">
        <f t="shared" si="54"/>
        <v/>
      </c>
      <c r="V62" s="147" t="str">
        <f>IF(U62=2023,1160000,IFERROR(INDEX(SMMLV!$B$2:$B$101,MATCH(U62,SMMLV!$A$2:$A$101,0)),""))</f>
        <v/>
      </c>
      <c r="W62" s="136"/>
      <c r="X62" s="133"/>
      <c r="Y62" s="140"/>
      <c r="Z62" s="594"/>
      <c r="AA62" s="595"/>
      <c r="AB62" s="596"/>
      <c r="AC62" s="140" t="str">
        <f t="shared" si="55"/>
        <v/>
      </c>
      <c r="AD62" s="147" t="str">
        <f t="shared" si="10"/>
        <v/>
      </c>
      <c r="AE62" s="136" t="s">
        <v>894</v>
      </c>
      <c r="AF62" s="147" t="str">
        <f t="shared" si="11"/>
        <v/>
      </c>
      <c r="AG62" s="471"/>
      <c r="AH62" s="471"/>
      <c r="AI62" s="140" t="str">
        <f t="shared" si="12"/>
        <v/>
      </c>
      <c r="AJ62" s="597"/>
      <c r="AK62" s="597"/>
      <c r="AL62" s="472"/>
      <c r="AM62" s="497"/>
      <c r="AN62" s="140"/>
      <c r="AO62" s="490"/>
      <c r="AP62" s="140"/>
      <c r="AQ62" s="490"/>
      <c r="AR62" s="598"/>
      <c r="AS62" s="593"/>
      <c r="AT62" s="207"/>
      <c r="AU62" s="612"/>
      <c r="AV62" s="544"/>
      <c r="AW62" s="562"/>
      <c r="AX62" s="562"/>
      <c r="AY62" s="19"/>
      <c r="CB62" s="29" t="str">
        <f>IFERROR(IF(COUNTIF(AF53:AF62,"")=10,"",IF(COUNTIF(E53:E62,"N/A")&gt;0,IF(AF62&gt;=CMEMM1,AF62,0),"N/A")),"")</f>
        <v>N/A</v>
      </c>
      <c r="CC62" s="4"/>
      <c r="CD62" s="4" t="str">
        <f>IFERROR(IF(COUNTIF(AF53:AF62,"")=10,"",IF(AF62="","",IF(AF62&gt;=CMEMM1,1,0))),"")</f>
        <v/>
      </c>
      <c r="CE62" s="4" t="str">
        <f>B53&amp;"-"&amp;10</f>
        <v>P06-10</v>
      </c>
      <c r="CF62" s="4" t="str">
        <f>IFERROR(INDEX('DESEMPATE Y DISCAPACIDAD'!$D$3:$D$450,MATCH(CE62,'DESEMPATE Y DISCAPACIDAD'!$C$3:$C$450,0)),"")</f>
        <v/>
      </c>
      <c r="CG62" s="4" t="str">
        <f>IF(OR(CE62="",CF62=""),"",SUMIF(D53:D62,CF62,CD53:CD62))</f>
        <v/>
      </c>
      <c r="CH62" s="4" t="str">
        <f t="shared" si="37"/>
        <v/>
      </c>
      <c r="CI62" s="4" t="str">
        <f t="shared" si="56"/>
        <v/>
      </c>
      <c r="CJ62" s="4"/>
      <c r="CK62" s="4"/>
      <c r="CL62" s="4" t="str">
        <f t="shared" si="1"/>
        <v/>
      </c>
      <c r="CM62" s="4" t="str">
        <f t="shared" si="2"/>
        <v/>
      </c>
      <c r="CN62" s="4" t="str">
        <f t="shared" si="57"/>
        <v/>
      </c>
      <c r="CO62" s="4"/>
      <c r="CP62" s="4"/>
      <c r="CQ62" s="29" t="str">
        <f t="shared" si="49"/>
        <v/>
      </c>
      <c r="CR62" s="29" t="str">
        <f t="shared" si="50"/>
        <v/>
      </c>
      <c r="CS62" s="4"/>
    </row>
    <row r="63" spans="1:97" ht="45" customHeight="1">
      <c r="A63" s="4" t="str">
        <f>"A"&amp;B63</f>
        <v>AP07</v>
      </c>
      <c r="B63" s="565" t="s">
        <v>128</v>
      </c>
      <c r="C63" s="108" t="s">
        <v>179</v>
      </c>
      <c r="D63" s="109" t="str">
        <f>+IFERROR(INDEX('DESEMPATE Y DISCAPACIDAD'!$D$3:$D$450,MATCH(C63,'DESEMPATE Y DISCAPACIDAD'!$C$3:$C$450,0)),"")</f>
        <v>VELNEC S.A.S.</v>
      </c>
      <c r="E63" s="110" t="str">
        <f>IFERROR(IF(D63="","",IF(VLOOKUP(D63,'DESEMPATE Y DISCAPACIDAD'!D$3:$E$450,2,FALSE)=1,"N/A",IF(VLOOKUP(D63,'DESEMPATE Y DISCAPACIDAD'!D$3:$F$450,3,FALSE)="X","SI","NO"))),"")</f>
        <v>NO</v>
      </c>
      <c r="F63" s="111" t="s">
        <v>663</v>
      </c>
      <c r="G63" s="121" t="s">
        <v>660</v>
      </c>
      <c r="H63" s="111" t="s">
        <v>861</v>
      </c>
      <c r="I63" s="112" t="s">
        <v>862</v>
      </c>
      <c r="J63" s="111" t="s">
        <v>74</v>
      </c>
      <c r="K63" s="111" t="s">
        <v>74</v>
      </c>
      <c r="L63" s="111" t="s">
        <v>74</v>
      </c>
      <c r="M63" s="111" t="s">
        <v>74</v>
      </c>
      <c r="N63" s="111" t="str">
        <f>IFERROR(IF(OR(J63="",K63=""),"",IF(J63="NO","NO",K63)),"")</f>
        <v>SI</v>
      </c>
      <c r="O63" s="111" t="str">
        <f>IFERROR(IF(OR(J63="",L63=""),"",IF(J63="NO","NO",L63)),"")</f>
        <v>SI</v>
      </c>
      <c r="P63" s="111" t="str">
        <f>IFERROR(IF(OR(J63="",M63=""),"",IF(J63="NO","NO",M63)),"")</f>
        <v>SI</v>
      </c>
      <c r="Q63" s="111" t="str">
        <f t="shared" si="8"/>
        <v>SI</v>
      </c>
      <c r="R63" s="113">
        <v>0.33</v>
      </c>
      <c r="S63" s="114">
        <v>41015</v>
      </c>
      <c r="T63" s="114">
        <v>44530</v>
      </c>
      <c r="U63" s="111">
        <f>IFERROR(IF(T63="","",YEAR(T63)),"")</f>
        <v>2021</v>
      </c>
      <c r="V63" s="115">
        <f>IF(U63=2023,1160000,IFERROR(INDEX(SMMLV!$B$2:$B$101,MATCH(U63,SMMLV!$A$2:$A$101,0)),""))</f>
        <v>908526</v>
      </c>
      <c r="W63" s="124" t="s">
        <v>670</v>
      </c>
      <c r="X63" s="121" t="s">
        <v>671</v>
      </c>
      <c r="Y63" s="111">
        <v>168</v>
      </c>
      <c r="Z63" s="483" t="s">
        <v>74</v>
      </c>
      <c r="AA63" s="484"/>
      <c r="AB63" s="485"/>
      <c r="AC63" s="111" t="str">
        <f>IFERROR(IF(Y63="","",IF(ISNUMBER(Y63),IF(COUNTIF(Z63,"SI")&gt;0,"SI","NO"),Y63)),"")</f>
        <v>SI</v>
      </c>
      <c r="AD63" s="115" t="str">
        <f t="shared" si="10"/>
        <v>N/A</v>
      </c>
      <c r="AE63" s="124">
        <v>91335.78</v>
      </c>
      <c r="AF63" s="115">
        <f t="shared" si="11"/>
        <v>30140.807400000002</v>
      </c>
      <c r="AG63" s="486" t="str">
        <f>IFERROR(IF(COUNTIF(AF63:AF72,"")=10,"",IF(COUNTIF(E63:E72,"N/A")&gt;0,IF(SUM(CB63:CB72)&gt;=CMEM1,"CUMPLE","NO CUMPLE"),IF(SUM(AF63:AF72)&gt;=CMEM1,"CUMPLE","NO CUMPLE"))),"")</f>
        <v>CUMPLE</v>
      </c>
      <c r="AH63" s="486" t="str">
        <f>IF(COUNTIF(AF63:AF72,"")=10,"",IF(SUMIF(C63:C72,C63,AF63:AF72)&gt;=CMLM1,"CUMPLE",IF(SUMIF(C63:C72,C64,AF63:AF72)&gt;=CMLM1,"CUMPLE",IF(SUMIF(C63:C72,C65,AF63:AF72)&gt;=CMLM1,"CUMPLE",IF(SUMIF(C63:C72,C66,AF63:AF72)&gt;=CMLM1,"CUMPLE",IF(SUMIF(C63:C72,C67,AF63:AF72)&gt;=CMLM1,"CUMPLE",IF(SUMIF(C63:C72,C68,AF63:AF72)&gt;=CMLM1,"CUMPLE",IF(SUMIF(C63:C72,C69,AF63:AF72)&gt;=CMLM1,"CUMPLE",IF(SUMIF(C63:C72,C70,AF63:AF72)&gt;=CMLM1,"CUMPLE",IF(SUMIF(C63:C72,C71,AF63:AF72)&gt;=CMLM1,"CUMPLE",IF(SUMIF(C63:C72,C72,AF63:AF72)&gt;=CMLM1,"CUMPLE","NO CUMPLE")))))))))))</f>
        <v>CUMPLE</v>
      </c>
      <c r="AI63" s="111" t="str">
        <f t="shared" si="12"/>
        <v>CUMPLE</v>
      </c>
      <c r="AJ63" s="486" t="str">
        <f>IFERROR(IF(COUNTIF(AF63:AF72,"")=10,"",IF(COUNTIF(E63:E72,"N/A")&gt;0,"N/A",CJ63)),"")</f>
        <v>CUMPLE</v>
      </c>
      <c r="AK63" s="486" t="str">
        <f>IFERROR(IF(AND(COUNTIF(N63:N72,"SI")&gt;=1,COUNTIF(O63:O72,"SI")&gt;=1,COUNTIF(P63:P72,"SI")&gt;=1,COUNTIF(J63:J72,"SI")&lt;=10,CO63="CUMPLE"),"CUMPLE","NO CUMPLE"),"")</f>
        <v>CUMPLE</v>
      </c>
      <c r="AL63" s="529" t="s">
        <v>77</v>
      </c>
      <c r="AM63" s="495">
        <f>IFERROR(IF(B63&lt;&gt;"",IF(VLOOKUP(B63,'DESEMPATE Y DISCAPACIDAD'!$A$3:$Q$450,10,FALSE)="","",VLOOKUP(B63,'DESEMPATE Y DISCAPACIDAD'!$A$3:$Q$450,10,FALSE)+6),""),"")</f>
        <v>8</v>
      </c>
      <c r="AN63" s="111" t="s">
        <v>75</v>
      </c>
      <c r="AO63" s="503" t="s">
        <v>74</v>
      </c>
      <c r="AP63" s="111" t="s">
        <v>74</v>
      </c>
      <c r="AQ63" s="503">
        <f>IFERROR(IF(COUNTIF(AP63:AP72,"")=10,"",IF(AO63="NO",0,COUNTIF(AP63:AP72,"SI"))),"")</f>
        <v>3</v>
      </c>
      <c r="AR63" s="550">
        <f>IFERROR(IF(COUNTIF(AF63:AF72,"")=10,"",IF(AO63="NO",0,IF(COUNTIF(E63:E72,"N/A")&gt;0,SUM(CQ63:CQ72),SUM(CR63:CR72)))),"")</f>
        <v>44825.616999999998</v>
      </c>
      <c r="AS63" s="603">
        <f>IFERROR(IF(OR(COUNTIF(AF63:AF72,"")=10,AQ63="",AR63=""),"",IF(AO63="NO",0,AR63/AQ63)),"")</f>
        <v>14941.872333333333</v>
      </c>
      <c r="AT63" s="207"/>
      <c r="AU63" s="610" t="s">
        <v>937</v>
      </c>
      <c r="AV63" s="542" t="s">
        <v>931</v>
      </c>
      <c r="AW63" s="560" t="s">
        <v>747</v>
      </c>
      <c r="AX63" s="560" t="s">
        <v>747</v>
      </c>
      <c r="AY63" s="19"/>
      <c r="CB63" s="29" t="str">
        <f>IFERROR(IF(COUNTIF(AF63:AF72,"")=10,"",IF(COUNTIF(E63:E72,"N/A")&gt;0,IF(AF63&gt;=CMEMM1,AF63,0),"N/A")),"")</f>
        <v>N/A</v>
      </c>
      <c r="CC63" s="4"/>
      <c r="CD63" s="4">
        <f>IFERROR(IF(COUNTIF(AF63:AF72,"")=10,"",IF(AF63="","",IF(AF63&gt;=CMEMM1,1,0))),"")</f>
        <v>1</v>
      </c>
      <c r="CE63" s="4" t="str">
        <f>B63&amp;"-0"&amp;1</f>
        <v>P07-01</v>
      </c>
      <c r="CF63" s="4" t="str">
        <f>IFERROR(INDEX('DESEMPATE Y DISCAPACIDAD'!$D$3:$D$450,MATCH(CE63,'DESEMPATE Y DISCAPACIDAD'!$C$3:$C$450,0)),"")</f>
        <v>VELNEC S.A.S.</v>
      </c>
      <c r="CG63" s="4">
        <f>IF(OR(CE63="",CF63=""),"",SUMIF(D63:D72,CF63,CD63:CD72))</f>
        <v>2</v>
      </c>
      <c r="CH63" s="4" t="str">
        <f t="shared" si="37"/>
        <v>CUMPLE</v>
      </c>
      <c r="CI63" s="4">
        <f>IF(CF63="","",IF(ISTEXT(CF63),1,0))</f>
        <v>1</v>
      </c>
      <c r="CJ63" s="4" t="str">
        <f>IF(OR(CD63="",CE63="",CF63="",CG63="",CH63="",CI63=""),"",IF(COUNTIF(CH63:CH72,"CUMPLE")=COUNTIF(CI63:CI72,1),"CUMPLE","NO CUMPLE"))</f>
        <v>CUMPLE</v>
      </c>
      <c r="CK63" s="4"/>
      <c r="CL63" s="4">
        <f t="shared" si="1"/>
        <v>1</v>
      </c>
      <c r="CM63" s="4">
        <f t="shared" si="2"/>
        <v>1</v>
      </c>
      <c r="CN63" s="4" t="str">
        <f>IF(OR(CL63="",CM63=""),"",IF(AND(CL63=0,CM63=0),"N/A",IF(AND(CL63=1,CM63=0),"COND. A",IF(AND(CL63=0,CM63=1),"COND. B",IF(AND(CL63=1,CM63=1),"COND. A Y B","")))))</f>
        <v>COND. A Y B</v>
      </c>
      <c r="CO63" s="4" t="str">
        <f>IF(COUNTIF(CN63:CN72,"N/A")=10,"NO CUMPLE",IF(COUNTIF(CN63:CN72,"COND. A Y B")&gt;1,"CUMPLE",IF(AND(COUNTIF(CN63:CN72,"COND. A")&gt;0,COUNTIF(CN63:CN72,"COND. B")&gt;0),"CUMPLE",IF(AND(COUNTIF(CN63:CN72,"COND. A Y B")&gt;0,COUNTIF(CN63:CN72,"COND. A")&gt;0),"CUMPLE",IF(AND(COUNTIF(CN63:CN72,"COND. A Y B")&gt;0,COUNTIF(CN63:CN72,"COND. B")&gt;0),"CUMPLE","NO CUMPLE")))))</f>
        <v>CUMPLE</v>
      </c>
      <c r="CP63" s="4"/>
      <c r="CQ63" s="29" t="str">
        <f t="shared" si="49"/>
        <v>N/A</v>
      </c>
      <c r="CR63" s="29">
        <f t="shared" si="50"/>
        <v>30140.807400000002</v>
      </c>
      <c r="CS63" s="4"/>
    </row>
    <row r="64" spans="1:97" ht="45" customHeight="1">
      <c r="B64" s="481"/>
      <c r="C64" s="118" t="s">
        <v>179</v>
      </c>
      <c r="D64" s="119" t="str">
        <f>+IFERROR(INDEX('DESEMPATE Y DISCAPACIDAD'!$D$3:$D$450,MATCH(C64,'DESEMPATE Y DISCAPACIDAD'!$C$3:$C$450,0)),"")</f>
        <v>VELNEC S.A.S.</v>
      </c>
      <c r="E64" s="120" t="str">
        <f>IFERROR(IF(D64="","",IF(VLOOKUP(D64,'DESEMPATE Y DISCAPACIDAD'!D$3:$E$450,2,FALSE)=1,"N/A",IF(VLOOKUP(D64,'DESEMPATE Y DISCAPACIDAD'!D$3:$F$450,3,FALSE)="X","SI","NO"))),"")</f>
        <v>NO</v>
      </c>
      <c r="F64" s="3" t="s">
        <v>863</v>
      </c>
      <c r="G64" s="179" t="s">
        <v>864</v>
      </c>
      <c r="H64" s="3" t="s">
        <v>865</v>
      </c>
      <c r="I64" s="364" t="s">
        <v>866</v>
      </c>
      <c r="J64" s="121" t="s">
        <v>74</v>
      </c>
      <c r="K64" s="121" t="s">
        <v>74</v>
      </c>
      <c r="L64" s="121" t="s">
        <v>75</v>
      </c>
      <c r="M64" s="121" t="s">
        <v>74</v>
      </c>
      <c r="N64" s="121" t="str">
        <f t="shared" ref="N64:N72" si="58">IFERROR(IF(OR(J64="",K64=""),"",IF(J64="NO","NO",K64)),"")</f>
        <v>SI</v>
      </c>
      <c r="O64" s="121" t="str">
        <f t="shared" ref="O64:O72" si="59">IFERROR(IF(OR(J64="",L64=""),"",IF(J64="NO","NO",L64)),"")</f>
        <v>NO</v>
      </c>
      <c r="P64" s="121" t="str">
        <f t="shared" ref="P64:P72" si="60">IFERROR(IF(OR(J64="",M64=""),"",IF(J64="NO","NO",M64)),"")</f>
        <v>SI</v>
      </c>
      <c r="Q64" s="121" t="str">
        <f t="shared" si="8"/>
        <v>SI</v>
      </c>
      <c r="R64" s="103">
        <v>0.49</v>
      </c>
      <c r="S64" s="123">
        <v>43215</v>
      </c>
      <c r="T64" s="123">
        <v>44571</v>
      </c>
      <c r="U64" s="121">
        <f t="shared" ref="U64:U72" si="61">IFERROR(IF(T64="","",YEAR(T64)),"")</f>
        <v>2022</v>
      </c>
      <c r="V64" s="124">
        <f>IF(U64=2023,1160000,IFERROR(INDEX(SMMLV!$B$2:$B$101,MATCH(U64,SMMLV!$A$2:$A$101,0)),""))</f>
        <v>1000000</v>
      </c>
      <c r="W64" s="117" t="s">
        <v>670</v>
      </c>
      <c r="X64" s="125" t="s">
        <v>671</v>
      </c>
      <c r="Y64" s="125">
        <v>171</v>
      </c>
      <c r="Z64" s="474" t="s">
        <v>74</v>
      </c>
      <c r="AA64" s="475"/>
      <c r="AB64" s="476"/>
      <c r="AC64" s="125" t="str">
        <f t="shared" ref="AC64:AC72" si="62">IFERROR(IF(Y64="","",IF(ISNUMBER(Y64),IF(COUNTIF(Z64,"SI")&gt;0,"SI","NO"),Y64)),"")</f>
        <v>SI</v>
      </c>
      <c r="AD64" s="117" t="str">
        <f t="shared" si="10"/>
        <v>N/A</v>
      </c>
      <c r="AE64" s="117">
        <v>18251.439999999999</v>
      </c>
      <c r="AF64" s="117">
        <f t="shared" si="11"/>
        <v>8943.2055999999993</v>
      </c>
      <c r="AG64" s="470"/>
      <c r="AH64" s="470"/>
      <c r="AI64" s="125" t="str">
        <f t="shared" si="12"/>
        <v>CUMPLE</v>
      </c>
      <c r="AJ64" s="470"/>
      <c r="AK64" s="470"/>
      <c r="AL64" s="472"/>
      <c r="AM64" s="496"/>
      <c r="AN64" s="125" t="s">
        <v>75</v>
      </c>
      <c r="AO64" s="490"/>
      <c r="AP64" s="125" t="s">
        <v>74</v>
      </c>
      <c r="AQ64" s="490"/>
      <c r="AR64" s="522"/>
      <c r="AS64" s="604"/>
      <c r="AT64" s="207"/>
      <c r="AU64" s="611"/>
      <c r="AV64" s="543"/>
      <c r="AW64" s="561"/>
      <c r="AX64" s="561"/>
      <c r="AY64" s="19"/>
      <c r="CB64" s="29" t="str">
        <f>IFERROR(IF(COUNTIF(AF63:AF72,"")=10,"",IF(COUNTIF(E63:E72,"N/A")&gt;0,IF(AF64&gt;=CMEMM1,AF64,0),"N/A")),"")</f>
        <v>N/A</v>
      </c>
      <c r="CC64" s="4"/>
      <c r="CD64" s="4">
        <f>IFERROR(IF(COUNTIF(AF63:AF72,"")=10,"",IF(AF64="","",IF(AF64&gt;=CMEMM1,1,0))),"")</f>
        <v>1</v>
      </c>
      <c r="CE64" s="4" t="str">
        <f>B63&amp;"-0"&amp;2</f>
        <v>P07-02</v>
      </c>
      <c r="CF64" s="4" t="str">
        <f>IFERROR(INDEX('DESEMPATE Y DISCAPACIDAD'!$D$3:$D$450,MATCH(CE64,'DESEMPATE Y DISCAPACIDAD'!$C$3:$C$450,0)),"")</f>
        <v>GAVINCO INGENIEROS CONSULTORES S.A.S.</v>
      </c>
      <c r="CG64" s="4">
        <f>IF(OR(CE64="",CF64=""),"",SUMIF(D63:D72,CF64,CD63:CD72))</f>
        <v>1</v>
      </c>
      <c r="CH64" s="4" t="str">
        <f t="shared" si="37"/>
        <v>CUMPLE</v>
      </c>
      <c r="CI64" s="4">
        <f t="shared" ref="CI64:CI72" si="63">IF(CF64="","",IF(ISTEXT(CF64),1,0))</f>
        <v>1</v>
      </c>
      <c r="CJ64" s="4"/>
      <c r="CK64" s="4"/>
      <c r="CL64" s="4">
        <f t="shared" si="1"/>
        <v>1</v>
      </c>
      <c r="CM64" s="4">
        <f t="shared" si="2"/>
        <v>0</v>
      </c>
      <c r="CN64" s="4" t="str">
        <f t="shared" ref="CN64:CN72" si="64">IF(OR(CL64="",CM64=""),"",IF(AND(CL64=0,CM64=0),"N/A",IF(AND(CL64=1,CM64=0),"COND. A",IF(AND(CL64=0,CM64=1),"COND. B",IF(AND(CL64=1,CM64=1),"COND. A Y B","")))))</f>
        <v>COND. A</v>
      </c>
      <c r="CO64" s="4"/>
      <c r="CP64" s="4"/>
      <c r="CQ64" s="29" t="str">
        <f t="shared" si="49"/>
        <v>N/A</v>
      </c>
      <c r="CR64" s="29">
        <f t="shared" si="50"/>
        <v>8943.2055999999993</v>
      </c>
      <c r="CS64" s="4"/>
    </row>
    <row r="65" spans="1:97" ht="45" customHeight="1">
      <c r="B65" s="481"/>
      <c r="C65" s="118" t="s">
        <v>180</v>
      </c>
      <c r="D65" s="126" t="str">
        <f>+IFERROR(INDEX('DESEMPATE Y DISCAPACIDAD'!$D$3:$D$450,MATCH(C65,'DESEMPATE Y DISCAPACIDAD'!$C$3:$C$450,0)),"")</f>
        <v>GAVINCO INGENIEROS CONSULTORES S.A.S.</v>
      </c>
      <c r="E65" s="127" t="str">
        <f>IFERROR(IF(D65="","",IF(VLOOKUP(D65,'DESEMPATE Y DISCAPACIDAD'!D$3:$E$450,2,FALSE)=1,"N/A",IF(VLOOKUP(D65,'DESEMPATE Y DISCAPACIDAD'!D$3:$F$450,3,FALSE)="X","SI","NO"))),"")</f>
        <v>NO</v>
      </c>
      <c r="F65" s="3" t="s">
        <v>867</v>
      </c>
      <c r="G65" s="179" t="s">
        <v>660</v>
      </c>
      <c r="H65" s="3" t="s">
        <v>868</v>
      </c>
      <c r="I65" s="364" t="s">
        <v>869</v>
      </c>
      <c r="J65" s="125" t="s">
        <v>74</v>
      </c>
      <c r="K65" s="125" t="s">
        <v>74</v>
      </c>
      <c r="L65" s="125" t="s">
        <v>75</v>
      </c>
      <c r="M65" s="125" t="s">
        <v>74</v>
      </c>
      <c r="N65" s="125" t="str">
        <f t="shared" si="58"/>
        <v>SI</v>
      </c>
      <c r="O65" s="125" t="str">
        <f t="shared" si="59"/>
        <v>NO</v>
      </c>
      <c r="P65" s="125" t="str">
        <f t="shared" si="60"/>
        <v>SI</v>
      </c>
      <c r="Q65" s="125" t="str">
        <f t="shared" si="8"/>
        <v>SI</v>
      </c>
      <c r="R65" s="68">
        <v>0.6</v>
      </c>
      <c r="S65" s="129">
        <v>42699</v>
      </c>
      <c r="T65" s="129">
        <v>43941</v>
      </c>
      <c r="U65" s="125">
        <f t="shared" si="61"/>
        <v>2020</v>
      </c>
      <c r="V65" s="117">
        <f>IF(U65=2023,1160000,IFERROR(INDEX(SMMLV!$B$2:$B$101,MATCH(U65,SMMLV!$A$2:$A$101,0)),""))</f>
        <v>877803</v>
      </c>
      <c r="W65" s="117" t="s">
        <v>670</v>
      </c>
      <c r="X65" s="125" t="s">
        <v>671</v>
      </c>
      <c r="Y65" s="125">
        <v>140</v>
      </c>
      <c r="Z65" s="474" t="s">
        <v>74</v>
      </c>
      <c r="AA65" s="475"/>
      <c r="AB65" s="476"/>
      <c r="AC65" s="125" t="str">
        <f t="shared" si="62"/>
        <v>SI</v>
      </c>
      <c r="AD65" s="117" t="str">
        <f t="shared" si="10"/>
        <v>N/A</v>
      </c>
      <c r="AE65" s="117">
        <v>9569.34</v>
      </c>
      <c r="AF65" s="117">
        <f t="shared" si="11"/>
        <v>5741.6040000000003</v>
      </c>
      <c r="AG65" s="470"/>
      <c r="AH65" s="470"/>
      <c r="AI65" s="125" t="str">
        <f t="shared" si="12"/>
        <v>CUMPLE</v>
      </c>
      <c r="AJ65" s="470"/>
      <c r="AK65" s="470"/>
      <c r="AL65" s="472"/>
      <c r="AM65" s="496"/>
      <c r="AN65" s="125" t="s">
        <v>75</v>
      </c>
      <c r="AO65" s="490"/>
      <c r="AP65" s="125" t="s">
        <v>74</v>
      </c>
      <c r="AQ65" s="490"/>
      <c r="AR65" s="522"/>
      <c r="AS65" s="604"/>
      <c r="AT65" s="207"/>
      <c r="AU65" s="611"/>
      <c r="AV65" s="543"/>
      <c r="AW65" s="561"/>
      <c r="AX65" s="561"/>
      <c r="AY65" s="19"/>
      <c r="CB65" s="29" t="str">
        <f>IFERROR(IF(COUNTIF(AF63:AF72,"")=10,"",IF(COUNTIF(E63:E72,"N/A")&gt;0,IF(AF65&gt;=CMEMM1,AF65,0),"N/A")),"")</f>
        <v>N/A</v>
      </c>
      <c r="CC65" s="4"/>
      <c r="CD65" s="4">
        <f>IFERROR(IF(COUNTIF(AF63:AF72,"")=10,"",IF(AF65="","",IF(AF65&gt;=CMEMM1,1,0))),"")</f>
        <v>1</v>
      </c>
      <c r="CE65" s="4" t="str">
        <f>B63&amp;"-0"&amp;3</f>
        <v>P07-03</v>
      </c>
      <c r="CF65" s="4">
        <f>IFERROR(INDEX('DESEMPATE Y DISCAPACIDAD'!$D$3:$D$450,MATCH(CE65,'DESEMPATE Y DISCAPACIDAD'!$C$3:$C$450,0)),"")</f>
        <v>0</v>
      </c>
      <c r="CG65" s="4">
        <f>IF(OR(CE65="",CF65=""),"",SUMIF(D63:D72,CF65,CD63:CD72))</f>
        <v>0</v>
      </c>
      <c r="CH65" s="4" t="str">
        <f t="shared" si="37"/>
        <v>NO CUMPLE</v>
      </c>
      <c r="CI65" s="4">
        <f t="shared" si="63"/>
        <v>0</v>
      </c>
      <c r="CJ65" s="4"/>
      <c r="CK65" s="4"/>
      <c r="CL65" s="4">
        <f t="shared" si="1"/>
        <v>1</v>
      </c>
      <c r="CM65" s="4">
        <f t="shared" si="2"/>
        <v>0</v>
      </c>
      <c r="CN65" s="4" t="str">
        <f t="shared" si="64"/>
        <v>COND. A</v>
      </c>
      <c r="CO65" s="4"/>
      <c r="CP65" s="4"/>
      <c r="CQ65" s="29" t="str">
        <f t="shared" si="49"/>
        <v>N/A</v>
      </c>
      <c r="CR65" s="29">
        <f t="shared" si="50"/>
        <v>5741.6040000000003</v>
      </c>
      <c r="CS65" s="4"/>
    </row>
    <row r="66" spans="1:97" ht="2" customHeight="1">
      <c r="B66" s="481"/>
      <c r="C66" s="118"/>
      <c r="D66" s="126" t="str">
        <f>+IFERROR(INDEX('DESEMPATE Y DISCAPACIDAD'!$D$3:$D$450,MATCH(C66,'DESEMPATE Y DISCAPACIDAD'!$C$3:$C$450,0)),"")</f>
        <v/>
      </c>
      <c r="E66" s="127" t="str">
        <f>IFERROR(IF(D66="","",IF(VLOOKUP(D66,'DESEMPATE Y DISCAPACIDAD'!D$3:$E$450,2,FALSE)=1,"N/A",IF(VLOOKUP(D66,'DESEMPATE Y DISCAPACIDAD'!D$3:$F$450,3,FALSE)="X","SI","NO"))),"")</f>
        <v/>
      </c>
      <c r="F66" s="3"/>
      <c r="G66" s="179"/>
      <c r="H66" s="3"/>
      <c r="I66" s="364"/>
      <c r="J66" s="125"/>
      <c r="K66" s="125"/>
      <c r="L66" s="125"/>
      <c r="M66" s="125"/>
      <c r="N66" s="125" t="str">
        <f t="shared" si="58"/>
        <v/>
      </c>
      <c r="O66" s="125" t="str">
        <f t="shared" si="59"/>
        <v/>
      </c>
      <c r="P66" s="125" t="str">
        <f t="shared" si="60"/>
        <v/>
      </c>
      <c r="Q66" s="125" t="str">
        <f t="shared" si="8"/>
        <v/>
      </c>
      <c r="R66" s="68"/>
      <c r="S66" s="129"/>
      <c r="T66" s="129"/>
      <c r="U66" s="125" t="str">
        <f t="shared" si="61"/>
        <v/>
      </c>
      <c r="V66" s="117" t="str">
        <f>IF(U66=2023,1160000,IFERROR(INDEX(SMMLV!$B$2:$B$101,MATCH(U66,SMMLV!$A$2:$A$101,0)),""))</f>
        <v/>
      </c>
      <c r="W66" s="117"/>
      <c r="X66" s="125"/>
      <c r="Y66" s="125"/>
      <c r="Z66" s="474"/>
      <c r="AA66" s="475"/>
      <c r="AB66" s="476"/>
      <c r="AC66" s="125" t="str">
        <f t="shared" si="62"/>
        <v/>
      </c>
      <c r="AD66" s="117" t="str">
        <f t="shared" si="10"/>
        <v/>
      </c>
      <c r="AE66" s="117" t="s">
        <v>894</v>
      </c>
      <c r="AF66" s="117" t="str">
        <f t="shared" si="11"/>
        <v/>
      </c>
      <c r="AG66" s="470"/>
      <c r="AH66" s="470"/>
      <c r="AI66" s="125" t="str">
        <f t="shared" si="12"/>
        <v/>
      </c>
      <c r="AJ66" s="470"/>
      <c r="AK66" s="470"/>
      <c r="AL66" s="472"/>
      <c r="AM66" s="496"/>
      <c r="AN66" s="125"/>
      <c r="AO66" s="490"/>
      <c r="AP66" s="125"/>
      <c r="AQ66" s="490"/>
      <c r="AR66" s="522"/>
      <c r="AS66" s="604"/>
      <c r="AT66" s="204"/>
      <c r="AU66" s="611"/>
      <c r="AV66" s="543"/>
      <c r="AW66" s="561"/>
      <c r="AX66" s="561"/>
      <c r="AY66" s="19"/>
      <c r="CB66" s="29" t="str">
        <f>IFERROR(IF(COUNTIF(AF63:AF72,"")=10,"",IF(COUNTIF(E63:E72,"N/A")&gt;0,IF(AF66&gt;=CMEMM1,AF66,0),"N/A")),"")</f>
        <v>N/A</v>
      </c>
      <c r="CC66" s="4"/>
      <c r="CD66" s="4" t="str">
        <f>IFERROR(IF(COUNTIF(AF63:AF72,"")=10,"",IF(AF66="","",IF(AF66&gt;=CMEMM1,1,0))),"")</f>
        <v/>
      </c>
      <c r="CE66" s="4" t="str">
        <f>B63&amp;"-0"&amp;4</f>
        <v>P07-04</v>
      </c>
      <c r="CF66" s="4">
        <f>IFERROR(INDEX('DESEMPATE Y DISCAPACIDAD'!$D$3:$D$450,MATCH(CE66,'DESEMPATE Y DISCAPACIDAD'!$C$3:$C$450,0)),"")</f>
        <v>0</v>
      </c>
      <c r="CG66" s="4">
        <f>IF(OR(CE66="",CF66=""),"",SUMIF(D63:D72,CF66,CD63:CD72))</f>
        <v>0</v>
      </c>
      <c r="CH66" s="4" t="str">
        <f t="shared" si="37"/>
        <v>NO CUMPLE</v>
      </c>
      <c r="CI66" s="4">
        <f t="shared" si="63"/>
        <v>0</v>
      </c>
      <c r="CJ66" s="4"/>
      <c r="CK66" s="4"/>
      <c r="CL66" s="4" t="str">
        <f t="shared" si="1"/>
        <v/>
      </c>
      <c r="CM66" s="4" t="str">
        <f t="shared" si="2"/>
        <v/>
      </c>
      <c r="CN66" s="4" t="str">
        <f t="shared" si="64"/>
        <v/>
      </c>
      <c r="CO66" s="4"/>
      <c r="CP66" s="4"/>
      <c r="CQ66" s="29" t="str">
        <f t="shared" si="49"/>
        <v/>
      </c>
      <c r="CR66" s="29" t="str">
        <f t="shared" si="50"/>
        <v/>
      </c>
      <c r="CS66" s="4"/>
    </row>
    <row r="67" spans="1:97" ht="2" customHeight="1">
      <c r="B67" s="481"/>
      <c r="C67" s="118"/>
      <c r="D67" s="126" t="str">
        <f>+IFERROR(INDEX('DESEMPATE Y DISCAPACIDAD'!$D$3:$D$450,MATCH(C67,'DESEMPATE Y DISCAPACIDAD'!$C$3:$C$450,0)),"")</f>
        <v/>
      </c>
      <c r="E67" s="127" t="str">
        <f>IFERROR(IF(D67="","",IF(VLOOKUP(D67,'DESEMPATE Y DISCAPACIDAD'!D$3:$E$450,2,FALSE)=1,"N/A",IF(VLOOKUP(D67,'DESEMPATE Y DISCAPACIDAD'!D$3:$F$450,3,FALSE)="X","SI","NO"))),"")</f>
        <v/>
      </c>
      <c r="F67" s="3"/>
      <c r="G67" s="179"/>
      <c r="H67" s="3"/>
      <c r="I67" s="364"/>
      <c r="J67" s="125"/>
      <c r="K67" s="125"/>
      <c r="L67" s="125"/>
      <c r="M67" s="125"/>
      <c r="N67" s="125" t="str">
        <f t="shared" si="58"/>
        <v/>
      </c>
      <c r="O67" s="125" t="str">
        <f t="shared" si="59"/>
        <v/>
      </c>
      <c r="P67" s="125" t="str">
        <f t="shared" si="60"/>
        <v/>
      </c>
      <c r="Q67" s="125" t="str">
        <f t="shared" si="8"/>
        <v/>
      </c>
      <c r="R67" s="68"/>
      <c r="S67" s="129"/>
      <c r="T67" s="129"/>
      <c r="U67" s="125" t="str">
        <f t="shared" si="61"/>
        <v/>
      </c>
      <c r="V67" s="117" t="str">
        <f>IF(U67=2023,1160000,IFERROR(INDEX(SMMLV!$B$2:$B$101,MATCH(U67,SMMLV!$A$2:$A$101,0)),""))</f>
        <v/>
      </c>
      <c r="W67" s="117"/>
      <c r="X67" s="125"/>
      <c r="Y67" s="125"/>
      <c r="Z67" s="474"/>
      <c r="AA67" s="475"/>
      <c r="AB67" s="476"/>
      <c r="AC67" s="125" t="str">
        <f t="shared" si="62"/>
        <v/>
      </c>
      <c r="AD67" s="117" t="str">
        <f t="shared" si="10"/>
        <v/>
      </c>
      <c r="AE67" s="117" t="s">
        <v>894</v>
      </c>
      <c r="AF67" s="117" t="str">
        <f t="shared" si="11"/>
        <v/>
      </c>
      <c r="AG67" s="470"/>
      <c r="AH67" s="470"/>
      <c r="AI67" s="125" t="str">
        <f t="shared" ref="AI67:AI122" si="65">IFERROR(IF(AF67="","",IF(AF67&gt;=CMEMM1,"CUMPLE","NO CUMPLE")),"")</f>
        <v/>
      </c>
      <c r="AJ67" s="470"/>
      <c r="AK67" s="470"/>
      <c r="AL67" s="472"/>
      <c r="AM67" s="496"/>
      <c r="AN67" s="125"/>
      <c r="AO67" s="490"/>
      <c r="AP67" s="125"/>
      <c r="AQ67" s="490"/>
      <c r="AR67" s="522"/>
      <c r="AS67" s="604"/>
      <c r="AT67" s="204"/>
      <c r="AU67" s="611"/>
      <c r="AV67" s="543"/>
      <c r="AW67" s="561"/>
      <c r="AX67" s="561"/>
      <c r="AY67" s="19"/>
      <c r="CB67" s="29" t="str">
        <f>IFERROR(IF(COUNTIF(AF63:AF72,"")=10,"",IF(COUNTIF(E63:E72,"N/A")&gt;0,IF(AF67&gt;=CMEMM1,AF67,0),"N/A")),"")</f>
        <v>N/A</v>
      </c>
      <c r="CC67" s="4"/>
      <c r="CD67" s="4" t="str">
        <f>IFERROR(IF(COUNTIF(AF63:AF72,"")=10,"",IF(AF67="","",IF(AF67&gt;=CMEMM1,1,0))),"")</f>
        <v/>
      </c>
      <c r="CE67" s="4" t="str">
        <f>B63&amp;"-0"&amp;5</f>
        <v>P07-05</v>
      </c>
      <c r="CF67" s="4">
        <f>IFERROR(INDEX('DESEMPATE Y DISCAPACIDAD'!$D$3:$D$450,MATCH(CE67,'DESEMPATE Y DISCAPACIDAD'!$C$3:$C$450,0)),"")</f>
        <v>0</v>
      </c>
      <c r="CG67" s="4">
        <f>IF(OR(CE67="",CF67=""),"",SUMIF(D63:D72,CF67,CD63:CD72))</f>
        <v>0</v>
      </c>
      <c r="CH67" s="4" t="str">
        <f t="shared" si="37"/>
        <v>NO CUMPLE</v>
      </c>
      <c r="CI67" s="4">
        <f t="shared" si="63"/>
        <v>0</v>
      </c>
      <c r="CJ67" s="4"/>
      <c r="CK67" s="4"/>
      <c r="CL67" s="4" t="str">
        <f t="shared" ref="CL67:CL130" si="66">IF(N67="","",IF(N67="SI",1,0))</f>
        <v/>
      </c>
      <c r="CM67" s="4" t="str">
        <f t="shared" ref="CM67:CM130" si="67">IF(O67="","",IF(O67="SI",1,0))</f>
        <v/>
      </c>
      <c r="CN67" s="4" t="str">
        <f t="shared" si="64"/>
        <v/>
      </c>
      <c r="CO67" s="4"/>
      <c r="CP67" s="4"/>
      <c r="CQ67" s="29" t="str">
        <f t="shared" si="49"/>
        <v/>
      </c>
      <c r="CR67" s="29" t="str">
        <f t="shared" si="50"/>
        <v/>
      </c>
      <c r="CS67" s="4"/>
    </row>
    <row r="68" spans="1:97" ht="2" customHeight="1">
      <c r="B68" s="481"/>
      <c r="C68" s="118"/>
      <c r="D68" s="126" t="str">
        <f>+IFERROR(INDEX('DESEMPATE Y DISCAPACIDAD'!$D$3:$D$450,MATCH(C68,'DESEMPATE Y DISCAPACIDAD'!$C$3:$C$450,0)),"")</f>
        <v/>
      </c>
      <c r="E68" s="127" t="str">
        <f>IFERROR(IF(D68="","",IF(VLOOKUP(D68,'DESEMPATE Y DISCAPACIDAD'!D$3:$E$450,2,FALSE)=1,"N/A",IF(VLOOKUP(D68,'DESEMPATE Y DISCAPACIDAD'!D$3:$F$450,3,FALSE)="X","SI","NO"))),"")</f>
        <v/>
      </c>
      <c r="F68" s="3"/>
      <c r="G68" s="179"/>
      <c r="H68" s="3"/>
      <c r="I68" s="364"/>
      <c r="J68" s="125"/>
      <c r="K68" s="125"/>
      <c r="L68" s="125"/>
      <c r="M68" s="125"/>
      <c r="N68" s="125" t="str">
        <f t="shared" si="58"/>
        <v/>
      </c>
      <c r="O68" s="125" t="str">
        <f t="shared" si="59"/>
        <v/>
      </c>
      <c r="P68" s="125" t="str">
        <f t="shared" si="60"/>
        <v/>
      </c>
      <c r="Q68" s="125" t="str">
        <f t="shared" ref="Q68:Q131" si="68">IFERROR(IF(S68="","",IF(S68&gt;=DATE(1900,1,1),"SI","NO")),"")</f>
        <v/>
      </c>
      <c r="R68" s="68"/>
      <c r="S68" s="129"/>
      <c r="T68" s="129"/>
      <c r="U68" s="125" t="str">
        <f t="shared" si="61"/>
        <v/>
      </c>
      <c r="V68" s="117" t="str">
        <f>IF(U68=2023,1160000,IFERROR(INDEX(SMMLV!$B$2:$B$101,MATCH(U68,SMMLV!$A$2:$A$101,0)),""))</f>
        <v/>
      </c>
      <c r="W68" s="117"/>
      <c r="X68" s="125"/>
      <c r="Y68" s="125"/>
      <c r="Z68" s="474"/>
      <c r="AA68" s="475"/>
      <c r="AB68" s="476"/>
      <c r="AC68" s="125" t="str">
        <f t="shared" si="62"/>
        <v/>
      </c>
      <c r="AD68" s="117" t="str">
        <f t="shared" ref="AD68:AD131" si="69">IF(W68="","",IF(W68="N/A","N/A",W68))</f>
        <v/>
      </c>
      <c r="AE68" s="117" t="s">
        <v>894</v>
      </c>
      <c r="AF68" s="117" t="str">
        <f t="shared" ref="AF68:AF126" si="70">IFERROR(IF(OR(J68="",J68="NO"),"",IF(AND(J68="SI",Q68="SI"),IFERROR(AE68*R68,""),"")),"")</f>
        <v/>
      </c>
      <c r="AG68" s="470"/>
      <c r="AH68" s="470"/>
      <c r="AI68" s="125" t="str">
        <f t="shared" si="65"/>
        <v/>
      </c>
      <c r="AJ68" s="470"/>
      <c r="AK68" s="470"/>
      <c r="AL68" s="472"/>
      <c r="AM68" s="496"/>
      <c r="AN68" s="125"/>
      <c r="AO68" s="490"/>
      <c r="AP68" s="125"/>
      <c r="AQ68" s="490"/>
      <c r="AR68" s="522"/>
      <c r="AS68" s="604"/>
      <c r="AT68" s="204"/>
      <c r="AU68" s="611"/>
      <c r="AV68" s="543"/>
      <c r="AW68" s="561"/>
      <c r="AX68" s="561"/>
      <c r="AY68" s="19"/>
      <c r="CB68" s="29" t="str">
        <f>IFERROR(IF(COUNTIF(AF63:AF72,"")=10,"",IF(COUNTIF(E63:E72,"N/A")&gt;0,IF(AF68&gt;=CMEMM1,AF68,0),"N/A")),"")</f>
        <v>N/A</v>
      </c>
      <c r="CC68" s="4"/>
      <c r="CD68" s="4" t="str">
        <f>IFERROR(IF(COUNTIF(AF63:AF72,"")=10,"",IF(AF68="","",IF(AF68&gt;=CMEMM1,1,0))),"")</f>
        <v/>
      </c>
      <c r="CE68" s="4" t="str">
        <f>B63&amp;"-0"&amp;6</f>
        <v>P07-06</v>
      </c>
      <c r="CF68" s="4">
        <f>IFERROR(INDEX('DESEMPATE Y DISCAPACIDAD'!$D$3:$D$450,MATCH(CE68,'DESEMPATE Y DISCAPACIDAD'!$C$3:$C$450,0)),"")</f>
        <v>0</v>
      </c>
      <c r="CG68" s="4">
        <f>IF(OR(CE68="",CF68=""),"",SUMIF(D63:D72,CF68,CD63:CD72))</f>
        <v>0</v>
      </c>
      <c r="CH68" s="4" t="str">
        <f t="shared" si="37"/>
        <v>NO CUMPLE</v>
      </c>
      <c r="CI68" s="4">
        <f t="shared" si="63"/>
        <v>0</v>
      </c>
      <c r="CJ68" s="4"/>
      <c r="CK68" s="4"/>
      <c r="CL68" s="4" t="str">
        <f t="shared" si="66"/>
        <v/>
      </c>
      <c r="CM68" s="4" t="str">
        <f t="shared" si="67"/>
        <v/>
      </c>
      <c r="CN68" s="4" t="str">
        <f t="shared" si="64"/>
        <v/>
      </c>
      <c r="CO68" s="4"/>
      <c r="CP68" s="4"/>
      <c r="CQ68" s="29" t="str">
        <f t="shared" si="49"/>
        <v/>
      </c>
      <c r="CR68" s="29" t="str">
        <f t="shared" si="50"/>
        <v/>
      </c>
      <c r="CS68" s="4"/>
    </row>
    <row r="69" spans="1:97" ht="2" customHeight="1">
      <c r="B69" s="481"/>
      <c r="C69" s="118"/>
      <c r="D69" s="126" t="str">
        <f>+IFERROR(INDEX('DESEMPATE Y DISCAPACIDAD'!$D$3:$D$450,MATCH(C69,'DESEMPATE Y DISCAPACIDAD'!$C$3:$C$450,0)),"")</f>
        <v/>
      </c>
      <c r="E69" s="127" t="str">
        <f>IFERROR(IF(D69="","",IF(VLOOKUP(D69,'DESEMPATE Y DISCAPACIDAD'!D$3:$E$450,2,FALSE)=1,"N/A",IF(VLOOKUP(D69,'DESEMPATE Y DISCAPACIDAD'!D$3:$F$450,3,FALSE)="X","SI","NO"))),"")</f>
        <v/>
      </c>
      <c r="F69" s="3"/>
      <c r="G69" s="3"/>
      <c r="H69" s="3"/>
      <c r="I69" s="364"/>
      <c r="J69" s="125"/>
      <c r="K69" s="125"/>
      <c r="L69" s="125"/>
      <c r="M69" s="125"/>
      <c r="N69" s="125" t="str">
        <f t="shared" si="58"/>
        <v/>
      </c>
      <c r="O69" s="125" t="str">
        <f t="shared" si="59"/>
        <v/>
      </c>
      <c r="P69" s="125" t="str">
        <f t="shared" si="60"/>
        <v/>
      </c>
      <c r="Q69" s="125" t="str">
        <f t="shared" si="68"/>
        <v/>
      </c>
      <c r="R69" s="68"/>
      <c r="S69" s="129"/>
      <c r="T69" s="129"/>
      <c r="U69" s="125" t="str">
        <f t="shared" si="61"/>
        <v/>
      </c>
      <c r="V69" s="117" t="str">
        <f>IF(U69=2023,1160000,IFERROR(INDEX(SMMLV!$B$2:$B$101,MATCH(U69,SMMLV!$A$2:$A$101,0)),""))</f>
        <v/>
      </c>
      <c r="W69" s="117"/>
      <c r="X69" s="125"/>
      <c r="Y69" s="125"/>
      <c r="Z69" s="474"/>
      <c r="AA69" s="475"/>
      <c r="AB69" s="476"/>
      <c r="AC69" s="125" t="str">
        <f t="shared" si="62"/>
        <v/>
      </c>
      <c r="AD69" s="117" t="str">
        <f t="shared" si="69"/>
        <v/>
      </c>
      <c r="AE69" s="117" t="s">
        <v>894</v>
      </c>
      <c r="AF69" s="117" t="str">
        <f t="shared" si="70"/>
        <v/>
      </c>
      <c r="AG69" s="470"/>
      <c r="AH69" s="470"/>
      <c r="AI69" s="125" t="str">
        <f t="shared" si="65"/>
        <v/>
      </c>
      <c r="AJ69" s="470"/>
      <c r="AK69" s="470"/>
      <c r="AL69" s="472"/>
      <c r="AM69" s="496"/>
      <c r="AN69" s="125"/>
      <c r="AO69" s="490"/>
      <c r="AP69" s="125"/>
      <c r="AQ69" s="490"/>
      <c r="AR69" s="522"/>
      <c r="AS69" s="604"/>
      <c r="AT69" s="204"/>
      <c r="AU69" s="611"/>
      <c r="AV69" s="543"/>
      <c r="AW69" s="561"/>
      <c r="AX69" s="561"/>
      <c r="AY69" s="19"/>
      <c r="CB69" s="29" t="str">
        <f>IFERROR(IF(COUNTIF(AF63:AF72,"")=10,"",IF(COUNTIF(E63:E72,"N/A")&gt;0,IF(AF69&gt;=CMEMM1,AF69,0),"N/A")),"")</f>
        <v>N/A</v>
      </c>
      <c r="CC69" s="4"/>
      <c r="CD69" s="4" t="str">
        <f>IFERROR(IF(COUNTIF(AF63:AF72,"")=10,"",IF(AF69="","",IF(AF69&gt;=CMEMM1,1,0))),"")</f>
        <v/>
      </c>
      <c r="CE69" s="4" t="str">
        <f>B63&amp;"-0"&amp;7</f>
        <v>P07-07</v>
      </c>
      <c r="CF69" s="4" t="str">
        <f>IFERROR(INDEX('DESEMPATE Y DISCAPACIDAD'!$D$3:$D$450,MATCH(CE69,'DESEMPATE Y DISCAPACIDAD'!$C$3:$C$450,0)),"")</f>
        <v/>
      </c>
      <c r="CG69" s="4" t="str">
        <f>IF(OR(CE69="",CF69=""),"",SUMIF(D63:D72,CF69,CD63:CD72))</f>
        <v/>
      </c>
      <c r="CH69" s="4" t="str">
        <f t="shared" si="37"/>
        <v/>
      </c>
      <c r="CI69" s="4" t="str">
        <f t="shared" si="63"/>
        <v/>
      </c>
      <c r="CJ69" s="4"/>
      <c r="CK69" s="4"/>
      <c r="CL69" s="4" t="str">
        <f t="shared" si="66"/>
        <v/>
      </c>
      <c r="CM69" s="4" t="str">
        <f t="shared" si="67"/>
        <v/>
      </c>
      <c r="CN69" s="4" t="str">
        <f t="shared" si="64"/>
        <v/>
      </c>
      <c r="CO69" s="4"/>
      <c r="CP69" s="4"/>
      <c r="CQ69" s="29" t="str">
        <f t="shared" si="49"/>
        <v/>
      </c>
      <c r="CR69" s="29" t="str">
        <f t="shared" si="50"/>
        <v/>
      </c>
      <c r="CS69" s="4"/>
    </row>
    <row r="70" spans="1:97" ht="2" customHeight="1">
      <c r="B70" s="481"/>
      <c r="C70" s="118"/>
      <c r="D70" s="126" t="str">
        <f>+IFERROR(INDEX('DESEMPATE Y DISCAPACIDAD'!$D$3:$D$450,MATCH(C70,'DESEMPATE Y DISCAPACIDAD'!$C$3:$C$450,0)),"")</f>
        <v/>
      </c>
      <c r="E70" s="127" t="str">
        <f>IFERROR(IF(D70="","",IF(VLOOKUP(D70,'DESEMPATE Y DISCAPACIDAD'!D$3:$E$450,2,FALSE)=1,"N/A",IF(VLOOKUP(D70,'DESEMPATE Y DISCAPACIDAD'!D$3:$F$450,3,FALSE)="X","SI","NO"))),"")</f>
        <v/>
      </c>
      <c r="F70" s="3"/>
      <c r="G70" s="3"/>
      <c r="H70" s="3"/>
      <c r="I70" s="364"/>
      <c r="J70" s="125"/>
      <c r="K70" s="125"/>
      <c r="L70" s="125"/>
      <c r="M70" s="125"/>
      <c r="N70" s="125" t="str">
        <f t="shared" si="58"/>
        <v/>
      </c>
      <c r="O70" s="125" t="str">
        <f t="shared" si="59"/>
        <v/>
      </c>
      <c r="P70" s="125" t="str">
        <f t="shared" si="60"/>
        <v/>
      </c>
      <c r="Q70" s="125" t="str">
        <f t="shared" si="68"/>
        <v/>
      </c>
      <c r="R70" s="68"/>
      <c r="S70" s="129"/>
      <c r="T70" s="129"/>
      <c r="U70" s="125" t="str">
        <f t="shared" si="61"/>
        <v/>
      </c>
      <c r="V70" s="117" t="str">
        <f>IF(U70=2023,1160000,IFERROR(INDEX(SMMLV!$B$2:$B$101,MATCH(U70,SMMLV!$A$2:$A$101,0)),""))</f>
        <v/>
      </c>
      <c r="W70" s="117"/>
      <c r="X70" s="125"/>
      <c r="Y70" s="125"/>
      <c r="Z70" s="474"/>
      <c r="AA70" s="475"/>
      <c r="AB70" s="476"/>
      <c r="AC70" s="125" t="str">
        <f t="shared" si="62"/>
        <v/>
      </c>
      <c r="AD70" s="117" t="str">
        <f t="shared" si="69"/>
        <v/>
      </c>
      <c r="AE70" s="117" t="s">
        <v>894</v>
      </c>
      <c r="AF70" s="117" t="str">
        <f t="shared" si="70"/>
        <v/>
      </c>
      <c r="AG70" s="470"/>
      <c r="AH70" s="470"/>
      <c r="AI70" s="125" t="str">
        <f t="shared" si="65"/>
        <v/>
      </c>
      <c r="AJ70" s="470"/>
      <c r="AK70" s="470"/>
      <c r="AL70" s="472"/>
      <c r="AM70" s="496"/>
      <c r="AN70" s="125"/>
      <c r="AO70" s="490"/>
      <c r="AP70" s="125"/>
      <c r="AQ70" s="490"/>
      <c r="AR70" s="522"/>
      <c r="AS70" s="604"/>
      <c r="AT70" s="204"/>
      <c r="AU70" s="611"/>
      <c r="AV70" s="543"/>
      <c r="AW70" s="561"/>
      <c r="AX70" s="561"/>
      <c r="AY70" s="19"/>
      <c r="CB70" s="29" t="str">
        <f>IFERROR(IF(COUNTIF(AF63:AF72,"")=10,"",IF(COUNTIF(E63:E72,"N/A")&gt;0,IF(AF70&gt;=CMEMM1,AF70,0),"N/A")),"")</f>
        <v>N/A</v>
      </c>
      <c r="CC70" s="4"/>
      <c r="CD70" s="4" t="str">
        <f>IFERROR(IF(COUNTIF(AF63:AF72,"")=10,"",IF(AF70="","",IF(AF70&gt;=CMEMM1,1,0))),"")</f>
        <v/>
      </c>
      <c r="CE70" s="4" t="str">
        <f>B63&amp;"-0"&amp;8</f>
        <v>P07-08</v>
      </c>
      <c r="CF70" s="4" t="str">
        <f>IFERROR(INDEX('DESEMPATE Y DISCAPACIDAD'!$D$3:$D$450,MATCH(CE70,'DESEMPATE Y DISCAPACIDAD'!$C$3:$C$450,0)),"")</f>
        <v/>
      </c>
      <c r="CG70" s="4" t="str">
        <f>IF(OR(CE70="",CF70=""),"",SUMIF(D63:D72,CF70,CD63:CD72))</f>
        <v/>
      </c>
      <c r="CH70" s="4" t="str">
        <f t="shared" si="37"/>
        <v/>
      </c>
      <c r="CI70" s="4" t="str">
        <f t="shared" si="63"/>
        <v/>
      </c>
      <c r="CJ70" s="4"/>
      <c r="CK70" s="4"/>
      <c r="CL70" s="4" t="str">
        <f t="shared" si="66"/>
        <v/>
      </c>
      <c r="CM70" s="4" t="str">
        <f t="shared" si="67"/>
        <v/>
      </c>
      <c r="CN70" s="4" t="str">
        <f t="shared" si="64"/>
        <v/>
      </c>
      <c r="CO70" s="4"/>
      <c r="CP70" s="4"/>
      <c r="CQ70" s="29" t="str">
        <f t="shared" si="49"/>
        <v/>
      </c>
      <c r="CR70" s="29" t="str">
        <f t="shared" si="50"/>
        <v/>
      </c>
      <c r="CS70" s="4"/>
    </row>
    <row r="71" spans="1:97" ht="2" customHeight="1">
      <c r="B71" s="481"/>
      <c r="C71" s="118"/>
      <c r="D71" s="126" t="str">
        <f>+IFERROR(INDEX('DESEMPATE Y DISCAPACIDAD'!$D$3:$D$450,MATCH(C71,'DESEMPATE Y DISCAPACIDAD'!$C$3:$C$450,0)),"")</f>
        <v/>
      </c>
      <c r="E71" s="127" t="str">
        <f>IFERROR(IF(D71="","",IF(VLOOKUP(D71,'DESEMPATE Y DISCAPACIDAD'!D$3:$E$450,2,FALSE)=1,"N/A",IF(VLOOKUP(D71,'DESEMPATE Y DISCAPACIDAD'!D$3:$F$450,3,FALSE)="X","SI","NO"))),"")</f>
        <v/>
      </c>
      <c r="F71" s="3"/>
      <c r="G71" s="3"/>
      <c r="H71" s="3"/>
      <c r="I71" s="364"/>
      <c r="J71" s="125"/>
      <c r="K71" s="125"/>
      <c r="L71" s="125"/>
      <c r="M71" s="125"/>
      <c r="N71" s="125" t="str">
        <f t="shared" si="58"/>
        <v/>
      </c>
      <c r="O71" s="125" t="str">
        <f t="shared" si="59"/>
        <v/>
      </c>
      <c r="P71" s="125" t="str">
        <f t="shared" si="60"/>
        <v/>
      </c>
      <c r="Q71" s="125" t="str">
        <f t="shared" si="68"/>
        <v/>
      </c>
      <c r="R71" s="68"/>
      <c r="S71" s="129"/>
      <c r="T71" s="129"/>
      <c r="U71" s="125" t="str">
        <f t="shared" si="61"/>
        <v/>
      </c>
      <c r="V71" s="117" t="str">
        <f>IF(U71=2023,1160000,IFERROR(INDEX(SMMLV!$B$2:$B$101,MATCH(U71,SMMLV!$A$2:$A$101,0)),""))</f>
        <v/>
      </c>
      <c r="W71" s="117"/>
      <c r="X71" s="125"/>
      <c r="Y71" s="125"/>
      <c r="Z71" s="474"/>
      <c r="AA71" s="475"/>
      <c r="AB71" s="476"/>
      <c r="AC71" s="125" t="str">
        <f t="shared" si="62"/>
        <v/>
      </c>
      <c r="AD71" s="117" t="str">
        <f t="shared" si="69"/>
        <v/>
      </c>
      <c r="AE71" s="117" t="s">
        <v>894</v>
      </c>
      <c r="AF71" s="117" t="str">
        <f t="shared" si="70"/>
        <v/>
      </c>
      <c r="AG71" s="470"/>
      <c r="AH71" s="470"/>
      <c r="AI71" s="125" t="str">
        <f t="shared" si="65"/>
        <v/>
      </c>
      <c r="AJ71" s="470"/>
      <c r="AK71" s="470"/>
      <c r="AL71" s="472"/>
      <c r="AM71" s="496"/>
      <c r="AN71" s="125"/>
      <c r="AO71" s="490"/>
      <c r="AP71" s="125"/>
      <c r="AQ71" s="490"/>
      <c r="AR71" s="522"/>
      <c r="AS71" s="604"/>
      <c r="AT71" s="204"/>
      <c r="AU71" s="611"/>
      <c r="AV71" s="543"/>
      <c r="AW71" s="561"/>
      <c r="AX71" s="561"/>
      <c r="AY71" s="19"/>
      <c r="CB71" s="29" t="str">
        <f>IFERROR(IF(COUNTIF(AF63:AF72,"")=10,"",IF(COUNTIF(E63:E72,"N/A")&gt;0,IF(AF71&gt;=CMEMM1,AF71,0),"N/A")),"")</f>
        <v>N/A</v>
      </c>
      <c r="CC71" s="4"/>
      <c r="CD71" s="4" t="str">
        <f>IFERROR(IF(COUNTIF(AF63:AF72,"")=10,"",IF(AF71="","",IF(AF71&gt;=CMEMM1,1,0))),"")</f>
        <v/>
      </c>
      <c r="CE71" s="4" t="str">
        <f>B63&amp;"-0"&amp;9</f>
        <v>P07-09</v>
      </c>
      <c r="CF71" s="4" t="str">
        <f>IFERROR(INDEX('DESEMPATE Y DISCAPACIDAD'!$D$3:$D$450,MATCH(CE71,'DESEMPATE Y DISCAPACIDAD'!$C$3:$C$450,0)),"")</f>
        <v/>
      </c>
      <c r="CG71" s="4" t="str">
        <f>IF(OR(CE71="",CF71=""),"",SUMIF(D63:D72,CF71,CD63:CD72))</f>
        <v/>
      </c>
      <c r="CH71" s="4" t="str">
        <f t="shared" si="37"/>
        <v/>
      </c>
      <c r="CI71" s="4" t="str">
        <f t="shared" si="63"/>
        <v/>
      </c>
      <c r="CJ71" s="4"/>
      <c r="CK71" s="4"/>
      <c r="CL71" s="4" t="str">
        <f t="shared" si="66"/>
        <v/>
      </c>
      <c r="CM71" s="4" t="str">
        <f t="shared" si="67"/>
        <v/>
      </c>
      <c r="CN71" s="4" t="str">
        <f t="shared" si="64"/>
        <v/>
      </c>
      <c r="CO71" s="4"/>
      <c r="CP71" s="4"/>
      <c r="CQ71" s="29" t="str">
        <f t="shared" si="49"/>
        <v/>
      </c>
      <c r="CR71" s="29" t="str">
        <f t="shared" si="50"/>
        <v/>
      </c>
      <c r="CS71" s="4"/>
    </row>
    <row r="72" spans="1:97" ht="2" customHeight="1" thickBot="1">
      <c r="B72" s="482"/>
      <c r="C72" s="130"/>
      <c r="D72" s="131" t="str">
        <f>+IFERROR(INDEX('DESEMPATE Y DISCAPACIDAD'!$D$3:$D$450,MATCH(C72,'DESEMPATE Y DISCAPACIDAD'!$C$3:$C$450,0)),"")</f>
        <v/>
      </c>
      <c r="E72" s="132" t="str">
        <f>IFERROR(IF(D72="","",IF(VLOOKUP(D72,'DESEMPATE Y DISCAPACIDAD'!D$3:$E$450,2,FALSE)=1,"N/A",IF(VLOOKUP(D72,'DESEMPATE Y DISCAPACIDAD'!D$3:$F$450,3,FALSE)="X","SI","NO"))),"")</f>
        <v/>
      </c>
      <c r="F72" s="5"/>
      <c r="G72" s="5"/>
      <c r="H72" s="5"/>
      <c r="I72" s="368"/>
      <c r="J72" s="133"/>
      <c r="K72" s="133"/>
      <c r="L72" s="133"/>
      <c r="M72" s="133"/>
      <c r="N72" s="133" t="str">
        <f t="shared" si="58"/>
        <v/>
      </c>
      <c r="O72" s="133" t="str">
        <f t="shared" si="59"/>
        <v/>
      </c>
      <c r="P72" s="133" t="str">
        <f t="shared" si="60"/>
        <v/>
      </c>
      <c r="Q72" s="133" t="str">
        <f t="shared" si="68"/>
        <v/>
      </c>
      <c r="R72" s="104"/>
      <c r="S72" s="135"/>
      <c r="T72" s="135"/>
      <c r="U72" s="133" t="str">
        <f t="shared" si="61"/>
        <v/>
      </c>
      <c r="V72" s="136" t="str">
        <f>IF(U72=2023,1160000,IFERROR(INDEX(SMMLV!$B$2:$B$101,MATCH(U72,SMMLV!$A$2:$A$101,0)),""))</f>
        <v/>
      </c>
      <c r="W72" s="136"/>
      <c r="X72" s="133"/>
      <c r="Y72" s="133"/>
      <c r="Z72" s="487"/>
      <c r="AA72" s="488"/>
      <c r="AB72" s="489"/>
      <c r="AC72" s="133" t="str">
        <f t="shared" si="62"/>
        <v/>
      </c>
      <c r="AD72" s="136" t="str">
        <f t="shared" si="69"/>
        <v/>
      </c>
      <c r="AE72" s="136" t="s">
        <v>894</v>
      </c>
      <c r="AF72" s="136" t="str">
        <f t="shared" si="70"/>
        <v/>
      </c>
      <c r="AG72" s="471"/>
      <c r="AH72" s="471"/>
      <c r="AI72" s="133" t="str">
        <f t="shared" si="65"/>
        <v/>
      </c>
      <c r="AJ72" s="471"/>
      <c r="AK72" s="471"/>
      <c r="AL72" s="473"/>
      <c r="AM72" s="497"/>
      <c r="AN72" s="133"/>
      <c r="AO72" s="491"/>
      <c r="AP72" s="133"/>
      <c r="AQ72" s="491"/>
      <c r="AR72" s="523"/>
      <c r="AS72" s="605"/>
      <c r="AT72" s="206"/>
      <c r="AU72" s="612"/>
      <c r="AV72" s="544"/>
      <c r="AW72" s="562"/>
      <c r="AX72" s="562"/>
      <c r="AY72" s="19"/>
      <c r="CB72" s="29" t="str">
        <f>IFERROR(IF(COUNTIF(AF63:AF72,"")=10,"",IF(COUNTIF(E63:E72,"N/A")&gt;0,IF(AF72&gt;=CMEMM1,AF72,0),"N/A")),"")</f>
        <v>N/A</v>
      </c>
      <c r="CC72" s="4"/>
      <c r="CD72" s="4" t="str">
        <f>IFERROR(IF(COUNTIF(AF63:AF72,"")=10,"",IF(AF72="","",IF(AF72&gt;=CMEMM1,1,0))),"")</f>
        <v/>
      </c>
      <c r="CE72" s="4" t="str">
        <f>B63&amp;"-"&amp;10</f>
        <v>P07-10</v>
      </c>
      <c r="CF72" s="4" t="str">
        <f>IFERROR(INDEX('DESEMPATE Y DISCAPACIDAD'!$D$3:$D$450,MATCH(CE72,'DESEMPATE Y DISCAPACIDAD'!$C$3:$C$450,0)),"")</f>
        <v/>
      </c>
      <c r="CG72" s="4" t="str">
        <f>IF(OR(CE72="",CF72=""),"",SUMIF(D63:D72,CF72,CD63:CD72))</f>
        <v/>
      </c>
      <c r="CH72" s="4" t="str">
        <f t="shared" si="37"/>
        <v/>
      </c>
      <c r="CI72" s="4" t="str">
        <f t="shared" si="63"/>
        <v/>
      </c>
      <c r="CJ72" s="4"/>
      <c r="CK72" s="4"/>
      <c r="CL72" s="4" t="str">
        <f t="shared" si="66"/>
        <v/>
      </c>
      <c r="CM72" s="4" t="str">
        <f t="shared" si="67"/>
        <v/>
      </c>
      <c r="CN72" s="4" t="str">
        <f t="shared" si="64"/>
        <v/>
      </c>
      <c r="CO72" s="4"/>
      <c r="CP72" s="4"/>
      <c r="CQ72" s="29" t="str">
        <f t="shared" si="49"/>
        <v/>
      </c>
      <c r="CR72" s="29" t="str">
        <f t="shared" si="50"/>
        <v/>
      </c>
      <c r="CS72" s="4"/>
    </row>
    <row r="73" spans="1:97" ht="45" customHeight="1">
      <c r="A73" s="4" t="str">
        <f>"A"&amp;B73</f>
        <v>AP08</v>
      </c>
      <c r="B73" s="565" t="s">
        <v>129</v>
      </c>
      <c r="C73" s="108" t="s">
        <v>182</v>
      </c>
      <c r="D73" s="109" t="str">
        <f>+IFERROR(INDEX('DESEMPATE Y DISCAPACIDAD'!$D$3:$D$450,MATCH(C73,'DESEMPATE Y DISCAPACIDAD'!$C$3:$C$450,0)),"")</f>
        <v>AYESA INGENIERIA Y ARQUITECTURA SAU SUCURSAL COLOMBIA</v>
      </c>
      <c r="E73" s="110" t="str">
        <f>IFERROR(IF(D73="","",IF(VLOOKUP(D73,'DESEMPATE Y DISCAPACIDAD'!D$3:$E$450,2,FALSE)=1,"N/A",IF(VLOOKUP(D73,'DESEMPATE Y DISCAPACIDAD'!D$3:$F$450,3,FALSE)="X","SI","NO"))),"")</f>
        <v>NO</v>
      </c>
      <c r="F73" s="180" t="s">
        <v>870</v>
      </c>
      <c r="G73" s="180" t="s">
        <v>871</v>
      </c>
      <c r="H73" s="180" t="s">
        <v>872</v>
      </c>
      <c r="I73" s="388" t="s">
        <v>873</v>
      </c>
      <c r="J73" s="111" t="s">
        <v>74</v>
      </c>
      <c r="K73" s="111" t="s">
        <v>74</v>
      </c>
      <c r="L73" s="111" t="s">
        <v>75</v>
      </c>
      <c r="M73" s="111" t="s">
        <v>74</v>
      </c>
      <c r="N73" s="111" t="str">
        <f t="shared" ref="N73:N83" si="71">IFERROR(IF(OR(J73="",K73=""),"",IF(J73="NO","NO",K73)),"")</f>
        <v>SI</v>
      </c>
      <c r="O73" s="111" t="str">
        <f t="shared" ref="O73:O83" si="72">IFERROR(IF(OR(J73="",L73=""),"",IF(J73="NO","NO",L73)),"")</f>
        <v>NO</v>
      </c>
      <c r="P73" s="111" t="str">
        <f t="shared" ref="P73:P83" si="73">IFERROR(IF(OR(J73="",M73=""),"",IF(J73="NO","NO",M73)),"")</f>
        <v>SI</v>
      </c>
      <c r="Q73" s="111" t="str">
        <f t="shared" si="68"/>
        <v>SI</v>
      </c>
      <c r="R73" s="113">
        <v>0.48</v>
      </c>
      <c r="S73" s="114">
        <v>40527</v>
      </c>
      <c r="T73" s="114">
        <v>42870</v>
      </c>
      <c r="U73" s="111">
        <f>IFERROR(IF(T73="","",YEAR(T73)),"")</f>
        <v>2017</v>
      </c>
      <c r="V73" s="115">
        <f>IF(U73=2023,1160000,IFERROR(INDEX(SMMLV!$B$2:$B$101,MATCH(U73,SMMLV!$A$2:$A$101,0)),""))</f>
        <v>737717</v>
      </c>
      <c r="W73" s="115" t="s">
        <v>670</v>
      </c>
      <c r="X73" s="111" t="s">
        <v>893</v>
      </c>
      <c r="Y73" s="111">
        <v>135</v>
      </c>
      <c r="Z73" s="483" t="s">
        <v>74</v>
      </c>
      <c r="AA73" s="484"/>
      <c r="AB73" s="485"/>
      <c r="AC73" s="111" t="str">
        <f>IFERROR(IF(Y73="","",IF(ISNUMBER(Y73),IF(COUNTIF(Z73,"SI")&gt;0,"SI","NO"),Y73)),"")</f>
        <v>SI</v>
      </c>
      <c r="AD73" s="115" t="str">
        <f t="shared" si="69"/>
        <v>N/A</v>
      </c>
      <c r="AE73" s="124">
        <v>193432.69</v>
      </c>
      <c r="AF73" s="115">
        <f t="shared" si="70"/>
        <v>92847.691200000001</v>
      </c>
      <c r="AG73" s="486" t="str">
        <f>IFERROR(IF(COUNTIF(AF73:AF82,"")=10,"",IF(COUNTIF(E73:E82,"N/A")&gt;0,IF(SUM(CB73:CB82)&gt;=CMEM1,"CUMPLE","NO CUMPLE"),IF(SUM(AF73:AF82)&gt;=CMEM1,"CUMPLE","NO CUMPLE"))),"")</f>
        <v>CUMPLE</v>
      </c>
      <c r="AH73" s="486" t="str">
        <f>IF(COUNTIF(AF73:AF82,"")=10,"",IF(SUMIF(C73:C82,C73,AF73:AF82)&gt;=CMLM1,"CUMPLE",IF(SUMIF(C73:C82,C74,AF73:AF82)&gt;=CMLM1,"CUMPLE",IF(SUMIF(C73:C82,C75,AF73:AF82)&gt;=CMLM1,"CUMPLE",IF(SUMIF(C73:C82,C76,AF73:AF82)&gt;=CMLM1,"CUMPLE",IF(SUMIF(C73:C82,C77,AF73:AF82)&gt;=CMLM1,"CUMPLE",IF(SUMIF(C73:C82,C78,AF73:AF82)&gt;=CMLM1,"CUMPLE",IF(SUMIF(C73:C82,C79,AF73:AF82)&gt;=CMLM1,"CUMPLE",IF(SUMIF(C73:C82,C80,AF73:AF82)&gt;=CMLM1,"CUMPLE",IF(SUMIF(C73:C82,C81,AF73:AF82)&gt;=CMLM1,"CUMPLE",IF(SUMIF(C73:C82,C82,AF73:AF82)&gt;=CMLM1,"CUMPLE","NO CUMPLE")))))))))))</f>
        <v>CUMPLE</v>
      </c>
      <c r="AI73" s="111" t="str">
        <f t="shared" si="65"/>
        <v>CUMPLE</v>
      </c>
      <c r="AJ73" s="486" t="str">
        <f>IFERROR(IF(COUNTIF(AF73:AF82,"")=10,"",IF(COUNTIF(E73:E82,"N/A")&gt;0,"N/A",CJ73)),"")</f>
        <v>CUMPLE</v>
      </c>
      <c r="AK73" s="486" t="str">
        <f>IFERROR(IF(AND(COUNTIF(N73:N82,"SI")&gt;=1,COUNTIF(O73:O82,"SI")&gt;=1,COUNTIF(P73:P82,"SI")&gt;=1,COUNTIF(J73:J82,"SI")&lt;=10,CO73="CUMPLE"),"CUMPLE","NO CUMPLE"),"")</f>
        <v>CUMPLE</v>
      </c>
      <c r="AL73" s="529" t="s">
        <v>77</v>
      </c>
      <c r="AM73" s="495">
        <f>IFERROR(IF(B73&lt;&gt;"",IF(VLOOKUP(B73,'DESEMPATE Y DISCAPACIDAD'!$A$3:$Q$450,10,FALSE)="","",VLOOKUP(B73,'DESEMPATE Y DISCAPACIDAD'!$A$3:$Q$450,10,FALSE)+6),""),"")</f>
        <v>7</v>
      </c>
      <c r="AN73" s="111" t="s">
        <v>75</v>
      </c>
      <c r="AO73" s="503" t="s">
        <v>74</v>
      </c>
      <c r="AP73" s="111" t="s">
        <v>74</v>
      </c>
      <c r="AQ73" s="503">
        <f>IFERROR(IF(COUNTIF(AP73:AP82,"")=10,"",IF(AO73="NO",0,COUNTIF(AP73:AP82,"SI"))),"")</f>
        <v>5</v>
      </c>
      <c r="AR73" s="550">
        <f>IFERROR(IF(COUNTIF(AF73:AF82,"")=10,"",IF(AO73="NO",0,IF(COUNTIF(E73:E82,"N/A")&gt;0,SUM(CQ73:CQ82),SUM(CR73:CR82)))),"")</f>
        <v>115924.272</v>
      </c>
      <c r="AS73" s="602">
        <f>IFERROR(IF(OR(COUNTIF(AF73:AF82,"")=10,AQ73="",AR73=""),"",IF(AO73="NO",0,AR73/AQ73)),"")</f>
        <v>23184.8544</v>
      </c>
      <c r="AT73" s="203"/>
      <c r="AU73" s="610" t="s">
        <v>898</v>
      </c>
      <c r="AV73" s="542" t="s">
        <v>747</v>
      </c>
      <c r="AW73" s="560" t="s">
        <v>747</v>
      </c>
      <c r="AX73" s="560" t="s">
        <v>1355</v>
      </c>
      <c r="AY73" s="19"/>
      <c r="CB73" s="29" t="str">
        <f>IFERROR(IF(COUNTIF(AF73:AF82,"")=10,"",IF(COUNTIF(E73:E82,"N/A")&gt;0,IF(AF73&gt;=CMEMM1,AF73,0),"N/A")),"")</f>
        <v>N/A</v>
      </c>
      <c r="CC73" s="4"/>
      <c r="CD73" s="4">
        <f>IFERROR(IF(COUNTIF(AF73:AF82,"")=10,"",IF(AF73="","",IF(AF73&gt;=CMEMM1,1,0))),"")</f>
        <v>1</v>
      </c>
      <c r="CE73" s="4" t="str">
        <f>B73&amp;"-0"&amp;1</f>
        <v>P08-01</v>
      </c>
      <c r="CF73" s="4" t="str">
        <f>IFERROR(INDEX('DESEMPATE Y DISCAPACIDAD'!$D$3:$D$450,MATCH(CE73,'DESEMPATE Y DISCAPACIDAD'!$C$3:$C$450,0)),"")</f>
        <v>AYESA INGENIERIA Y ARQUITECTURA SAU SUCURSAL COLOMBIA</v>
      </c>
      <c r="CG73" s="4">
        <f>IF(OR(CE73="",CF73=""),"",SUMIF(D73:D82,CF73,CD73:CD82))</f>
        <v>1</v>
      </c>
      <c r="CH73" s="4" t="str">
        <f t="shared" si="37"/>
        <v>CUMPLE</v>
      </c>
      <c r="CI73" s="4">
        <f>IF(CF73="","",IF(ISTEXT(CF73),1,0))</f>
        <v>1</v>
      </c>
      <c r="CJ73" s="4" t="str">
        <f>IF(OR(CD73="",CE73="",CF73="",CG73="",CH73="",CI73=""),"",IF(COUNTIF(CH73:CH82,"CUMPLE")=COUNTIF(CI73:CI82,1),"CUMPLE","NO CUMPLE"))</f>
        <v>CUMPLE</v>
      </c>
      <c r="CK73" s="4"/>
      <c r="CL73" s="4">
        <f t="shared" si="66"/>
        <v>1</v>
      </c>
      <c r="CM73" s="4">
        <f t="shared" si="67"/>
        <v>0</v>
      </c>
      <c r="CN73" s="4" t="str">
        <f>IF(OR(CL73="",CM73=""),"",IF(AND(CL73=0,CM73=0),"N/A",IF(AND(CL73=1,CM73=0),"COND. A",IF(AND(CL73=0,CM73=1),"COND. B",IF(AND(CL73=1,CM73=1),"COND. A Y B","")))))</f>
        <v>COND. A</v>
      </c>
      <c r="CO73" s="4" t="str">
        <f>IF(COUNTIF(CN73:CN82,"N/A")=10,"NO CUMPLE",IF(COUNTIF(CN73:CN82,"COND. A Y B")&gt;1,"CUMPLE",IF(AND(COUNTIF(CN73:CN82,"COND. A")&gt;0,COUNTIF(CN73:CN82,"COND. B")&gt;0),"CUMPLE",IF(AND(COUNTIF(CN73:CN82,"COND. A Y B")&gt;0,COUNTIF(CN73:CN82,"COND. A")&gt;0),"CUMPLE",IF(AND(COUNTIF(CN73:CN82,"COND. A Y B")&gt;0,COUNTIF(CN73:CN82,"COND. B")&gt;0),"CUMPLE","NO CUMPLE")))))</f>
        <v>CUMPLE</v>
      </c>
      <c r="CP73" s="4"/>
      <c r="CQ73" s="29" t="str">
        <f t="shared" si="49"/>
        <v>N/A</v>
      </c>
      <c r="CR73" s="29">
        <f t="shared" si="50"/>
        <v>92847.691200000001</v>
      </c>
      <c r="CS73" s="4"/>
    </row>
    <row r="74" spans="1:97" ht="45" customHeight="1">
      <c r="B74" s="481"/>
      <c r="C74" s="118" t="s">
        <v>181</v>
      </c>
      <c r="D74" s="119" t="str">
        <f>+IFERROR(INDEX('DESEMPATE Y DISCAPACIDAD'!$D$3:$D$450,MATCH(C74,'DESEMPATE Y DISCAPACIDAD'!$C$3:$C$450,0)),"")</f>
        <v>AYESA DE COLOMBIA INGENIERIA Y ARQUITECTURA S.A.S</v>
      </c>
      <c r="E74" s="120" t="str">
        <f>IFERROR(IF(D74="","",IF(VLOOKUP(D74,'DESEMPATE Y DISCAPACIDAD'!D$3:$E$450,2,FALSE)=1,"N/A",IF(VLOOKUP(D74,'DESEMPATE Y DISCAPACIDAD'!D$3:$F$450,3,FALSE)="X","SI","NO"))),"")</f>
        <v>NO</v>
      </c>
      <c r="F74" s="179" t="s">
        <v>663</v>
      </c>
      <c r="G74" s="179" t="s">
        <v>660</v>
      </c>
      <c r="H74" s="179" t="s">
        <v>874</v>
      </c>
      <c r="I74" s="239" t="s">
        <v>875</v>
      </c>
      <c r="J74" s="121" t="s">
        <v>74</v>
      </c>
      <c r="K74" s="125" t="s">
        <v>74</v>
      </c>
      <c r="L74" s="125" t="s">
        <v>74</v>
      </c>
      <c r="M74" s="125" t="s">
        <v>74</v>
      </c>
      <c r="N74" s="121" t="str">
        <f t="shared" si="71"/>
        <v>SI</v>
      </c>
      <c r="O74" s="121" t="str">
        <f t="shared" si="72"/>
        <v>SI</v>
      </c>
      <c r="P74" s="121" t="str">
        <f t="shared" si="73"/>
        <v>SI</v>
      </c>
      <c r="Q74" s="121" t="str">
        <f t="shared" si="68"/>
        <v>SI</v>
      </c>
      <c r="R74" s="103">
        <v>0.51</v>
      </c>
      <c r="S74" s="123">
        <v>42382</v>
      </c>
      <c r="T74" s="123">
        <v>43281</v>
      </c>
      <c r="U74" s="121">
        <f t="shared" ref="U74:U82" si="74">IFERROR(IF(T74="","",YEAR(T74)),"")</f>
        <v>2018</v>
      </c>
      <c r="V74" s="124">
        <f>IF(U74=2023,1160000,IFERROR(INDEX(SMMLV!$B$2:$B$101,MATCH(U74,SMMLV!$A$2:$A$101,0)),""))</f>
        <v>781242</v>
      </c>
      <c r="W74" s="117" t="s">
        <v>670</v>
      </c>
      <c r="X74" s="125" t="s">
        <v>671</v>
      </c>
      <c r="Y74" s="125">
        <v>123</v>
      </c>
      <c r="Z74" s="474" t="s">
        <v>74</v>
      </c>
      <c r="AA74" s="475"/>
      <c r="AB74" s="476"/>
      <c r="AC74" s="125" t="str">
        <f t="shared" ref="AC74:AC82" si="75">IFERROR(IF(Y74="","",IF(ISNUMBER(Y74),IF(COUNTIF(Z74,"SI")&gt;0,"SI","NO"),Y74)),"")</f>
        <v>SI</v>
      </c>
      <c r="AD74" s="117" t="str">
        <f t="shared" si="69"/>
        <v>N/A</v>
      </c>
      <c r="AE74" s="117">
        <v>12111.58</v>
      </c>
      <c r="AF74" s="117">
        <f>IFERROR(IF(OR(J74="",J74="NO"),"",IF(AND(J74="SI",Q74="SI"),IFERROR(AE74*R74,""),"")),"")</f>
        <v>6176.9058000000005</v>
      </c>
      <c r="AG74" s="470"/>
      <c r="AH74" s="470"/>
      <c r="AI74" s="125" t="str">
        <f t="shared" si="65"/>
        <v>CUMPLE</v>
      </c>
      <c r="AJ74" s="470"/>
      <c r="AK74" s="470"/>
      <c r="AL74" s="472"/>
      <c r="AM74" s="496"/>
      <c r="AN74" s="125" t="s">
        <v>75</v>
      </c>
      <c r="AO74" s="490"/>
      <c r="AP74" s="125" t="s">
        <v>74</v>
      </c>
      <c r="AQ74" s="490"/>
      <c r="AR74" s="522"/>
      <c r="AS74" s="519"/>
      <c r="AT74" s="208"/>
      <c r="AU74" s="611"/>
      <c r="AV74" s="543"/>
      <c r="AW74" s="561"/>
      <c r="AX74" s="625"/>
      <c r="AY74" s="19"/>
      <c r="CB74" s="29" t="str">
        <f>IFERROR(IF(COUNTIF(AF73:AF82,"")=10,"",IF(COUNTIF(E73:E82,"N/A")&gt;0,IF(AF74&gt;=CMEMM1,AF74,0),"N/A")),"")</f>
        <v>N/A</v>
      </c>
      <c r="CC74" s="4"/>
      <c r="CD74" s="4">
        <f>IFERROR(IF(COUNTIF(AF73:AF82,"")=10,"",IF(AF74="","",IF(AF74&gt;=CMEMM1,1,0))),"")</f>
        <v>1</v>
      </c>
      <c r="CE74" s="4" t="str">
        <f>B73&amp;"-0"&amp;2</f>
        <v>P08-02</v>
      </c>
      <c r="CF74" s="4" t="str">
        <f>IFERROR(INDEX('DESEMPATE Y DISCAPACIDAD'!$D$3:$D$450,MATCH(CE74,'DESEMPATE Y DISCAPACIDAD'!$C$3:$C$450,0)),"")</f>
        <v>AYESA DE COLOMBIA INGENIERIA Y ARQUITECTURA S.A.S</v>
      </c>
      <c r="CG74" s="4">
        <f>IF(OR(CE74="",CF74=""),"",SUMIF(D73:D82,CF74,CD73:CD82))</f>
        <v>1</v>
      </c>
      <c r="CH74" s="4" t="str">
        <f t="shared" si="37"/>
        <v>CUMPLE</v>
      </c>
      <c r="CI74" s="4">
        <f t="shared" ref="CI74:CI82" si="76">IF(CF74="","",IF(ISTEXT(CF74),1,0))</f>
        <v>1</v>
      </c>
      <c r="CJ74" s="4"/>
      <c r="CK74" s="4"/>
      <c r="CL74" s="4">
        <f t="shared" si="66"/>
        <v>1</v>
      </c>
      <c r="CM74" s="4">
        <f t="shared" si="67"/>
        <v>1</v>
      </c>
      <c r="CN74" s="4" t="str">
        <f t="shared" ref="CN74:CN82" si="77">IF(OR(CL74="",CM74=""),"",IF(AND(CL74=0,CM74=0),"N/A",IF(AND(CL74=1,CM74=0),"COND. A",IF(AND(CL74=0,CM74=1),"COND. B",IF(AND(CL74=1,CM74=1),"COND. A Y B","")))))</f>
        <v>COND. A Y B</v>
      </c>
      <c r="CO74" s="4"/>
      <c r="CP74" s="4"/>
      <c r="CQ74" s="29" t="str">
        <f t="shared" si="49"/>
        <v>N/A</v>
      </c>
      <c r="CR74" s="29">
        <f t="shared" si="50"/>
        <v>6176.9058000000005</v>
      </c>
      <c r="CS74" s="4"/>
    </row>
    <row r="75" spans="1:97" ht="45" customHeight="1">
      <c r="B75" s="481"/>
      <c r="C75" s="118" t="s">
        <v>211</v>
      </c>
      <c r="D75" s="126" t="str">
        <f>+IFERROR(INDEX('DESEMPATE Y DISCAPACIDAD'!$D$3:$D$450,MATCH(C75,'DESEMPATE Y DISCAPACIDAD'!$C$3:$C$450,0)),"")</f>
        <v>SERVICIOS DE INTERVENTORÍA INTEGRAL S.A.S</v>
      </c>
      <c r="E75" s="127" t="str">
        <f>IFERROR(IF(D75="","",IF(VLOOKUP(D75,'DESEMPATE Y DISCAPACIDAD'!D$3:$E$450,2,FALSE)=1,"N/A",IF(VLOOKUP(D75,'DESEMPATE Y DISCAPACIDAD'!D$3:$F$450,3,FALSE)="X","SI","NO"))),"")</f>
        <v>NO</v>
      </c>
      <c r="F75" s="121" t="s">
        <v>876</v>
      </c>
      <c r="G75" s="121" t="s">
        <v>660</v>
      </c>
      <c r="H75" s="121" t="s">
        <v>877</v>
      </c>
      <c r="I75" s="122" t="s">
        <v>878</v>
      </c>
      <c r="J75" s="121" t="s">
        <v>74</v>
      </c>
      <c r="K75" s="125" t="s">
        <v>74</v>
      </c>
      <c r="L75" s="125" t="s">
        <v>75</v>
      </c>
      <c r="M75" s="125" t="s">
        <v>74</v>
      </c>
      <c r="N75" s="121" t="str">
        <f t="shared" si="71"/>
        <v>SI</v>
      </c>
      <c r="O75" s="121" t="str">
        <f t="shared" si="72"/>
        <v>NO</v>
      </c>
      <c r="P75" s="121" t="str">
        <f t="shared" si="73"/>
        <v>SI</v>
      </c>
      <c r="Q75" s="125" t="str">
        <f t="shared" si="68"/>
        <v>SI</v>
      </c>
      <c r="R75" s="68">
        <v>0.5</v>
      </c>
      <c r="S75" s="129">
        <v>42401</v>
      </c>
      <c r="T75" s="129">
        <v>44058</v>
      </c>
      <c r="U75" s="125">
        <f t="shared" si="74"/>
        <v>2020</v>
      </c>
      <c r="V75" s="117">
        <f>IF(U75=2023,1160000,IFERROR(INDEX(SMMLV!$B$2:$B$101,MATCH(U75,SMMLV!$A$2:$A$101,0)),""))</f>
        <v>877803</v>
      </c>
      <c r="W75" s="117" t="s">
        <v>670</v>
      </c>
      <c r="X75" s="125" t="s">
        <v>671</v>
      </c>
      <c r="Y75" s="125">
        <v>245</v>
      </c>
      <c r="Z75" s="474" t="s">
        <v>74</v>
      </c>
      <c r="AA75" s="475"/>
      <c r="AB75" s="476"/>
      <c r="AC75" s="125" t="str">
        <f t="shared" si="75"/>
        <v>SI</v>
      </c>
      <c r="AD75" s="117" t="str">
        <f t="shared" si="69"/>
        <v>N/A</v>
      </c>
      <c r="AE75" s="117">
        <v>27137.31</v>
      </c>
      <c r="AF75" s="117">
        <f>IFERROR(IF(OR(J75="",J75="NO"),"",IF(AND(J75="SI",Q75="SI"),IFERROR(AE75*R75,""),"")),"")</f>
        <v>13568.655000000001</v>
      </c>
      <c r="AG75" s="470"/>
      <c r="AH75" s="470"/>
      <c r="AI75" s="125" t="str">
        <f t="shared" si="65"/>
        <v>CUMPLE</v>
      </c>
      <c r="AJ75" s="470"/>
      <c r="AK75" s="470"/>
      <c r="AL75" s="472"/>
      <c r="AM75" s="496"/>
      <c r="AN75" s="125" t="s">
        <v>75</v>
      </c>
      <c r="AO75" s="490"/>
      <c r="AP75" s="125" t="s">
        <v>74</v>
      </c>
      <c r="AQ75" s="490"/>
      <c r="AR75" s="522"/>
      <c r="AS75" s="519"/>
      <c r="AT75" s="208"/>
      <c r="AU75" s="611"/>
      <c r="AV75" s="543"/>
      <c r="AW75" s="561"/>
      <c r="AX75" s="625"/>
      <c r="AY75" s="19"/>
      <c r="CB75" s="29" t="str">
        <f>IFERROR(IF(COUNTIF(AF73:AF82,"")=10,"",IF(COUNTIF(E73:E82,"N/A")&gt;0,IF(AF75&gt;=CMEMM1,AF75,0),"N/A")),"")</f>
        <v>N/A</v>
      </c>
      <c r="CC75" s="4"/>
      <c r="CD75" s="4">
        <f>IFERROR(IF(COUNTIF(AF73:AF82,"")=10,"",IF(AF75="","",IF(AF75&gt;=CMEMM1,1,0))),"")</f>
        <v>1</v>
      </c>
      <c r="CE75" s="4" t="str">
        <f>B73&amp;"-0"&amp;3</f>
        <v>P08-03</v>
      </c>
      <c r="CF75" s="4" t="str">
        <f>IFERROR(INDEX('DESEMPATE Y DISCAPACIDAD'!$D$3:$D$450,MATCH(CE75,'DESEMPATE Y DISCAPACIDAD'!$C$3:$C$450,0)),"")</f>
        <v>SERVICIOS DE INTERVENTORÍA INTEGRAL S.A.S</v>
      </c>
      <c r="CG75" s="4">
        <f>IF(OR(CE75="",CF75=""),"",SUMIF(D73:D82,CF75,CD73:CD82))</f>
        <v>1</v>
      </c>
      <c r="CH75" s="4" t="str">
        <f t="shared" si="37"/>
        <v>CUMPLE</v>
      </c>
      <c r="CI75" s="4">
        <f t="shared" si="76"/>
        <v>1</v>
      </c>
      <c r="CJ75" s="4"/>
      <c r="CK75" s="4"/>
      <c r="CL75" s="4">
        <f t="shared" si="66"/>
        <v>1</v>
      </c>
      <c r="CM75" s="4">
        <f t="shared" si="67"/>
        <v>0</v>
      </c>
      <c r="CN75" s="4" t="str">
        <f t="shared" si="77"/>
        <v>COND. A</v>
      </c>
      <c r="CO75" s="4"/>
      <c r="CP75" s="4"/>
      <c r="CQ75" s="29" t="str">
        <f>IF(OR(AN74="",CB75=""),"",IF(AN74="NO",CB75,0))</f>
        <v>N/A</v>
      </c>
      <c r="CR75" s="29">
        <f>IF(OR(AN74="",AF75=""),"",IF(AN74="NO",AF75,0))</f>
        <v>13568.655000000001</v>
      </c>
      <c r="CS75" s="4"/>
    </row>
    <row r="76" spans="1:97" ht="45" customHeight="1">
      <c r="B76" s="481"/>
      <c r="C76" s="118" t="s">
        <v>211</v>
      </c>
      <c r="D76" s="126" t="str">
        <f>+IFERROR(INDEX('DESEMPATE Y DISCAPACIDAD'!$D$3:$D$450,MATCH(C76,'DESEMPATE Y DISCAPACIDAD'!$C$3:$C$450,0)),"")</f>
        <v>SERVICIOS DE INTERVENTORÍA INTEGRAL S.A.S</v>
      </c>
      <c r="E76" s="127" t="str">
        <f>IFERROR(IF(D76="","",IF(VLOOKUP(D76,'DESEMPATE Y DISCAPACIDAD'!D$3:$E$450,2,FALSE)=1,"N/A",IF(VLOOKUP(D76,'DESEMPATE Y DISCAPACIDAD'!D$3:$F$450,3,FALSE)="X","SI","NO"))),"")</f>
        <v>NO</v>
      </c>
      <c r="F76" s="121" t="s">
        <v>879</v>
      </c>
      <c r="G76" s="121" t="s">
        <v>660</v>
      </c>
      <c r="H76" s="125" t="s">
        <v>880</v>
      </c>
      <c r="I76" s="128" t="s">
        <v>881</v>
      </c>
      <c r="J76" s="125" t="s">
        <v>74</v>
      </c>
      <c r="K76" s="125" t="s">
        <v>74</v>
      </c>
      <c r="L76" s="125" t="s">
        <v>75</v>
      </c>
      <c r="M76" s="125" t="s">
        <v>74</v>
      </c>
      <c r="N76" s="121" t="str">
        <f t="shared" si="71"/>
        <v>SI</v>
      </c>
      <c r="O76" s="121" t="str">
        <f t="shared" si="72"/>
        <v>NO</v>
      </c>
      <c r="P76" s="121" t="str">
        <f t="shared" si="73"/>
        <v>SI</v>
      </c>
      <c r="Q76" s="125" t="str">
        <f t="shared" si="68"/>
        <v>SI</v>
      </c>
      <c r="R76" s="68">
        <v>1</v>
      </c>
      <c r="S76" s="129">
        <v>40752</v>
      </c>
      <c r="T76" s="129">
        <v>41360</v>
      </c>
      <c r="U76" s="125">
        <f t="shared" si="74"/>
        <v>2013</v>
      </c>
      <c r="V76" s="117">
        <f>IF(U76=2023,1160000,IFERROR(INDEX(SMMLV!$B$2:$B$101,MATCH(U76,SMMLV!$A$2:$A$101,0)),""))</f>
        <v>589500</v>
      </c>
      <c r="W76" s="117" t="s">
        <v>670</v>
      </c>
      <c r="X76" s="125" t="s">
        <v>671</v>
      </c>
      <c r="Y76" s="125">
        <v>43</v>
      </c>
      <c r="Z76" s="474" t="s">
        <v>74</v>
      </c>
      <c r="AA76" s="475"/>
      <c r="AB76" s="476"/>
      <c r="AC76" s="125" t="str">
        <f t="shared" si="75"/>
        <v>SI</v>
      </c>
      <c r="AD76" s="117" t="str">
        <f t="shared" si="69"/>
        <v>N/A</v>
      </c>
      <c r="AE76" s="117">
        <v>2183.48</v>
      </c>
      <c r="AF76" s="117">
        <f t="shared" si="70"/>
        <v>2183.48</v>
      </c>
      <c r="AG76" s="470"/>
      <c r="AH76" s="470"/>
      <c r="AI76" s="125" t="str">
        <f t="shared" si="65"/>
        <v>NO CUMPLE</v>
      </c>
      <c r="AJ76" s="470"/>
      <c r="AK76" s="470"/>
      <c r="AL76" s="472"/>
      <c r="AM76" s="496"/>
      <c r="AN76" s="125" t="s">
        <v>75</v>
      </c>
      <c r="AO76" s="490"/>
      <c r="AP76" s="125" t="s">
        <v>74</v>
      </c>
      <c r="AQ76" s="490"/>
      <c r="AR76" s="522"/>
      <c r="AS76" s="519"/>
      <c r="AT76" s="204"/>
      <c r="AU76" s="611"/>
      <c r="AV76" s="543"/>
      <c r="AW76" s="561"/>
      <c r="AX76" s="625"/>
      <c r="AY76" s="19"/>
      <c r="CB76" s="29" t="str">
        <f>IFERROR(IF(COUNTIF(AF73:AF82,"")=10,"",IF(COUNTIF(E73:E82,"N/A")&gt;0,IF(AF76&gt;=CMEMM1,AF76,0),"N/A")),"")</f>
        <v>N/A</v>
      </c>
      <c r="CC76" s="4"/>
      <c r="CD76" s="4">
        <f>IFERROR(IF(COUNTIF(AF73:AF82,"")=10,"",IF(AF76="","",IF(AF76&gt;=CMEMM1,1,0))),"")</f>
        <v>0</v>
      </c>
      <c r="CE76" s="4" t="str">
        <f>B73&amp;"-0"&amp;4</f>
        <v>P08-04</v>
      </c>
      <c r="CF76" s="4">
        <f>IFERROR(INDEX('DESEMPATE Y DISCAPACIDAD'!$D$3:$D$450,MATCH(CE76,'DESEMPATE Y DISCAPACIDAD'!$C$3:$C$450,0)),"")</f>
        <v>0</v>
      </c>
      <c r="CG76" s="4">
        <f>IF(OR(CE76="",CF76=""),"",SUMIF(D73:D82,CF76,CD73:CD82))</f>
        <v>0</v>
      </c>
      <c r="CH76" s="4" t="str">
        <f t="shared" si="37"/>
        <v>NO CUMPLE</v>
      </c>
      <c r="CI76" s="4">
        <f t="shared" si="76"/>
        <v>0</v>
      </c>
      <c r="CJ76" s="4"/>
      <c r="CK76" s="4"/>
      <c r="CL76" s="4">
        <f t="shared" si="66"/>
        <v>1</v>
      </c>
      <c r="CM76" s="4">
        <f t="shared" si="67"/>
        <v>0</v>
      </c>
      <c r="CN76" s="4" t="str">
        <f t="shared" si="77"/>
        <v>COND. A</v>
      </c>
      <c r="CO76" s="4"/>
      <c r="CP76" s="4"/>
      <c r="CQ76" s="29" t="str">
        <f t="shared" si="49"/>
        <v>N/A</v>
      </c>
      <c r="CR76" s="29">
        <f t="shared" si="50"/>
        <v>2183.48</v>
      </c>
      <c r="CS76" s="4"/>
    </row>
    <row r="77" spans="1:97" ht="45" customHeight="1">
      <c r="B77" s="481"/>
      <c r="C77" s="118" t="s">
        <v>211</v>
      </c>
      <c r="D77" s="126" t="str">
        <f>+IFERROR(INDEX('DESEMPATE Y DISCAPACIDAD'!$D$3:$D$450,MATCH(C77,'DESEMPATE Y DISCAPACIDAD'!$C$3:$C$450,0)),"")</f>
        <v>SERVICIOS DE INTERVENTORÍA INTEGRAL S.A.S</v>
      </c>
      <c r="E77" s="127" t="str">
        <f>IFERROR(IF(D77="","",IF(VLOOKUP(D77,'DESEMPATE Y DISCAPACIDAD'!D$3:$E$450,2,FALSE)=1,"N/A",IF(VLOOKUP(D77,'DESEMPATE Y DISCAPACIDAD'!D$3:$F$450,3,FALSE)="X","SI","NO"))),"")</f>
        <v>NO</v>
      </c>
      <c r="F77" s="121" t="s">
        <v>852</v>
      </c>
      <c r="G77" s="121" t="s">
        <v>660</v>
      </c>
      <c r="H77" s="125" t="s">
        <v>882</v>
      </c>
      <c r="I77" s="128" t="s">
        <v>883</v>
      </c>
      <c r="J77" s="125" t="s">
        <v>74</v>
      </c>
      <c r="K77" s="125" t="s">
        <v>74</v>
      </c>
      <c r="L77" s="125" t="s">
        <v>75</v>
      </c>
      <c r="M77" s="125" t="s">
        <v>74</v>
      </c>
      <c r="N77" s="121" t="str">
        <f t="shared" si="71"/>
        <v>SI</v>
      </c>
      <c r="O77" s="121" t="str">
        <f t="shared" si="72"/>
        <v>NO</v>
      </c>
      <c r="P77" s="121" t="str">
        <f t="shared" si="73"/>
        <v>SI</v>
      </c>
      <c r="Q77" s="125" t="str">
        <f t="shared" si="68"/>
        <v>SI</v>
      </c>
      <c r="R77" s="68">
        <v>1</v>
      </c>
      <c r="S77" s="129">
        <v>37530</v>
      </c>
      <c r="T77" s="129">
        <v>37756</v>
      </c>
      <c r="U77" s="125">
        <f t="shared" si="74"/>
        <v>2003</v>
      </c>
      <c r="V77" s="117">
        <f>IF(U77=2023,1160000,IFERROR(INDEX(SMMLV!$B$2:$B$101,MATCH(U77,SMMLV!$A$2:$A$101,0)),""))</f>
        <v>332000</v>
      </c>
      <c r="W77" s="117" t="s">
        <v>670</v>
      </c>
      <c r="X77" s="125" t="s">
        <v>671</v>
      </c>
      <c r="Y77" s="125">
        <v>55</v>
      </c>
      <c r="Z77" s="474" t="s">
        <v>74</v>
      </c>
      <c r="AA77" s="475"/>
      <c r="AB77" s="476"/>
      <c r="AC77" s="125" t="str">
        <f t="shared" si="75"/>
        <v>SI</v>
      </c>
      <c r="AD77" s="117" t="str">
        <f t="shared" si="69"/>
        <v>N/A</v>
      </c>
      <c r="AE77" s="117">
        <v>1147.54</v>
      </c>
      <c r="AF77" s="117">
        <f t="shared" si="70"/>
        <v>1147.54</v>
      </c>
      <c r="AG77" s="470"/>
      <c r="AH77" s="470"/>
      <c r="AI77" s="125" t="str">
        <f t="shared" si="65"/>
        <v>NO CUMPLE</v>
      </c>
      <c r="AJ77" s="470"/>
      <c r="AK77" s="470"/>
      <c r="AL77" s="472"/>
      <c r="AM77" s="496"/>
      <c r="AN77" s="125" t="s">
        <v>75</v>
      </c>
      <c r="AO77" s="490"/>
      <c r="AP77" s="125" t="s">
        <v>74</v>
      </c>
      <c r="AQ77" s="490"/>
      <c r="AR77" s="522"/>
      <c r="AS77" s="519"/>
      <c r="AT77" s="204"/>
      <c r="AU77" s="611"/>
      <c r="AV77" s="543"/>
      <c r="AW77" s="561"/>
      <c r="AX77" s="625"/>
      <c r="AY77" s="19"/>
      <c r="CB77" s="29" t="str">
        <f>IFERROR(IF(COUNTIF(AF73:AF82,"")=10,"",IF(COUNTIF(E73:E82,"N/A")&gt;0,IF(AF77&gt;=CMEMM1,AF77,0),"N/A")),"")</f>
        <v>N/A</v>
      </c>
      <c r="CC77" s="4"/>
      <c r="CD77" s="4">
        <f>IFERROR(IF(COUNTIF(AF73:AF82,"")=10,"",IF(AF77="","",IF(AF77&gt;=CMEMM1,1,0))),"")</f>
        <v>0</v>
      </c>
      <c r="CE77" s="4" t="str">
        <f>B73&amp;"-0"&amp;5</f>
        <v>P08-05</v>
      </c>
      <c r="CF77" s="4">
        <f>IFERROR(INDEX('DESEMPATE Y DISCAPACIDAD'!$D$3:$D$450,MATCH(CE77,'DESEMPATE Y DISCAPACIDAD'!$C$3:$C$450,0)),"")</f>
        <v>0</v>
      </c>
      <c r="CG77" s="4">
        <f>IF(OR(CE77="",CF77=""),"",SUMIF(D73:D82,CF77,CD73:CD82))</f>
        <v>0</v>
      </c>
      <c r="CH77" s="4" t="str">
        <f t="shared" si="37"/>
        <v>NO CUMPLE</v>
      </c>
      <c r="CI77" s="4">
        <f t="shared" si="76"/>
        <v>0</v>
      </c>
      <c r="CJ77" s="4"/>
      <c r="CK77" s="4"/>
      <c r="CL77" s="4">
        <f t="shared" si="66"/>
        <v>1</v>
      </c>
      <c r="CM77" s="4">
        <f t="shared" si="67"/>
        <v>0</v>
      </c>
      <c r="CN77" s="4" t="str">
        <f t="shared" si="77"/>
        <v>COND. A</v>
      </c>
      <c r="CO77" s="4"/>
      <c r="CP77" s="4"/>
      <c r="CQ77" s="29" t="str">
        <f t="shared" si="49"/>
        <v>N/A</v>
      </c>
      <c r="CR77" s="29">
        <f t="shared" si="50"/>
        <v>1147.54</v>
      </c>
      <c r="CS77" s="4"/>
    </row>
    <row r="78" spans="1:97" ht="2" customHeight="1">
      <c r="B78" s="481"/>
      <c r="C78" s="118"/>
      <c r="D78" s="126" t="str">
        <f>+IFERROR(INDEX('DESEMPATE Y DISCAPACIDAD'!$D$3:$D$450,MATCH(C78,'DESEMPATE Y DISCAPACIDAD'!$C$3:$C$450,0)),"")</f>
        <v/>
      </c>
      <c r="E78" s="127" t="str">
        <f>IFERROR(IF(D78="","",IF(VLOOKUP(D78,'DESEMPATE Y DISCAPACIDAD'!D$3:$E$450,2,FALSE)=1,"N/A",IF(VLOOKUP(D78,'DESEMPATE Y DISCAPACIDAD'!D$3:$F$450,3,FALSE)="X","SI","NO"))),"")</f>
        <v/>
      </c>
      <c r="F78" s="121"/>
      <c r="G78" s="121"/>
      <c r="H78" s="125"/>
      <c r="I78" s="128"/>
      <c r="J78" s="125"/>
      <c r="K78" s="125"/>
      <c r="L78" s="125"/>
      <c r="M78" s="125"/>
      <c r="N78" s="125" t="str">
        <f t="shared" si="71"/>
        <v/>
      </c>
      <c r="O78" s="125" t="str">
        <f t="shared" si="72"/>
        <v/>
      </c>
      <c r="P78" s="125" t="str">
        <f t="shared" si="73"/>
        <v/>
      </c>
      <c r="Q78" s="125" t="str">
        <f t="shared" si="68"/>
        <v/>
      </c>
      <c r="R78" s="68"/>
      <c r="S78" s="129"/>
      <c r="T78" s="129"/>
      <c r="U78" s="125" t="str">
        <f t="shared" si="74"/>
        <v/>
      </c>
      <c r="V78" s="117" t="str">
        <f>IF(U78=2023,1160000,IFERROR(INDEX(SMMLV!$B$2:$B$101,MATCH(U78,SMMLV!$A$2:$A$101,0)),""))</f>
        <v/>
      </c>
      <c r="W78" s="117"/>
      <c r="X78" s="125"/>
      <c r="Y78" s="125"/>
      <c r="Z78" s="474"/>
      <c r="AA78" s="475"/>
      <c r="AB78" s="476"/>
      <c r="AC78" s="125" t="str">
        <f t="shared" si="75"/>
        <v/>
      </c>
      <c r="AD78" s="117" t="str">
        <f t="shared" si="69"/>
        <v/>
      </c>
      <c r="AE78" s="117" t="s">
        <v>894</v>
      </c>
      <c r="AF78" s="117" t="str">
        <f t="shared" si="70"/>
        <v/>
      </c>
      <c r="AG78" s="470"/>
      <c r="AH78" s="470"/>
      <c r="AI78" s="125" t="str">
        <f t="shared" si="65"/>
        <v/>
      </c>
      <c r="AJ78" s="470"/>
      <c r="AK78" s="470"/>
      <c r="AL78" s="472"/>
      <c r="AM78" s="496"/>
      <c r="AN78" s="125"/>
      <c r="AO78" s="490"/>
      <c r="AP78" s="125"/>
      <c r="AQ78" s="490"/>
      <c r="AR78" s="522"/>
      <c r="AS78" s="519"/>
      <c r="AT78" s="204"/>
      <c r="AU78" s="611"/>
      <c r="AV78" s="543"/>
      <c r="AW78" s="561"/>
      <c r="AX78" s="625"/>
      <c r="AY78" s="19"/>
      <c r="CB78" s="29" t="str">
        <f>IFERROR(IF(COUNTIF(AF73:AF82,"")=10,"",IF(COUNTIF(E73:E82,"N/A")&gt;0,IF(AF78&gt;=CMEMM1,AF78,0),"N/A")),"")</f>
        <v>N/A</v>
      </c>
      <c r="CC78" s="4"/>
      <c r="CD78" s="4" t="str">
        <f>IFERROR(IF(COUNTIF(AF73:AF82,"")=10,"",IF(AF78="","",IF(AF78&gt;=CMEMM1,1,0))),"")</f>
        <v/>
      </c>
      <c r="CE78" s="4" t="str">
        <f>B73&amp;"-0"&amp;6</f>
        <v>P08-06</v>
      </c>
      <c r="CF78" s="4">
        <f>IFERROR(INDEX('DESEMPATE Y DISCAPACIDAD'!$D$3:$D$450,MATCH(CE78,'DESEMPATE Y DISCAPACIDAD'!$C$3:$C$450,0)),"")</f>
        <v>0</v>
      </c>
      <c r="CG78" s="4">
        <f>IF(OR(CE78="",CF78=""),"",SUMIF(D73:D82,CF78,CD73:CD82))</f>
        <v>0</v>
      </c>
      <c r="CH78" s="4" t="str">
        <f t="shared" si="37"/>
        <v>NO CUMPLE</v>
      </c>
      <c r="CI78" s="4">
        <f t="shared" si="76"/>
        <v>0</v>
      </c>
      <c r="CJ78" s="4"/>
      <c r="CK78" s="4"/>
      <c r="CL78" s="4" t="str">
        <f t="shared" si="66"/>
        <v/>
      </c>
      <c r="CM78" s="4" t="str">
        <f t="shared" si="67"/>
        <v/>
      </c>
      <c r="CN78" s="4" t="str">
        <f t="shared" si="77"/>
        <v/>
      </c>
      <c r="CO78" s="4"/>
      <c r="CP78" s="4"/>
      <c r="CQ78" s="29" t="str">
        <f t="shared" si="49"/>
        <v/>
      </c>
      <c r="CR78" s="29" t="str">
        <f t="shared" si="50"/>
        <v/>
      </c>
      <c r="CS78" s="4"/>
    </row>
    <row r="79" spans="1:97" ht="2" customHeight="1">
      <c r="B79" s="481"/>
      <c r="C79" s="118"/>
      <c r="D79" s="126" t="str">
        <f>+IFERROR(INDEX('DESEMPATE Y DISCAPACIDAD'!$D$3:$D$450,MATCH(C79,'DESEMPATE Y DISCAPACIDAD'!$C$3:$C$450,0)),"")</f>
        <v/>
      </c>
      <c r="E79" s="127" t="str">
        <f>IFERROR(IF(D79="","",IF(VLOOKUP(D79,'DESEMPATE Y DISCAPACIDAD'!D$3:$E$450,2,FALSE)=1,"N/A",IF(VLOOKUP(D79,'DESEMPATE Y DISCAPACIDAD'!D$3:$F$450,3,FALSE)="X","SI","NO"))),"")</f>
        <v/>
      </c>
      <c r="F79" s="125"/>
      <c r="G79" s="125"/>
      <c r="H79" s="125"/>
      <c r="I79" s="128"/>
      <c r="J79" s="125"/>
      <c r="K79" s="125"/>
      <c r="L79" s="125"/>
      <c r="M79" s="125"/>
      <c r="N79" s="125" t="str">
        <f t="shared" si="71"/>
        <v/>
      </c>
      <c r="O79" s="125" t="str">
        <f t="shared" si="72"/>
        <v/>
      </c>
      <c r="P79" s="125" t="str">
        <f t="shared" si="73"/>
        <v/>
      </c>
      <c r="Q79" s="125" t="str">
        <f t="shared" si="68"/>
        <v/>
      </c>
      <c r="R79" s="68"/>
      <c r="S79" s="129"/>
      <c r="T79" s="129"/>
      <c r="U79" s="125" t="str">
        <f t="shared" si="74"/>
        <v/>
      </c>
      <c r="V79" s="117" t="str">
        <f>IF(U79=2023,1160000,IFERROR(INDEX(SMMLV!$B$2:$B$101,MATCH(U79,SMMLV!$A$2:$A$101,0)),""))</f>
        <v/>
      </c>
      <c r="W79" s="117"/>
      <c r="X79" s="125"/>
      <c r="Y79" s="125"/>
      <c r="Z79" s="474"/>
      <c r="AA79" s="475"/>
      <c r="AB79" s="476"/>
      <c r="AC79" s="125" t="str">
        <f t="shared" si="75"/>
        <v/>
      </c>
      <c r="AD79" s="117" t="str">
        <f t="shared" si="69"/>
        <v/>
      </c>
      <c r="AE79" s="117" t="s">
        <v>894</v>
      </c>
      <c r="AF79" s="117" t="str">
        <f t="shared" si="70"/>
        <v/>
      </c>
      <c r="AG79" s="470"/>
      <c r="AH79" s="470"/>
      <c r="AI79" s="125" t="str">
        <f t="shared" si="65"/>
        <v/>
      </c>
      <c r="AJ79" s="470"/>
      <c r="AK79" s="470"/>
      <c r="AL79" s="472"/>
      <c r="AM79" s="496"/>
      <c r="AN79" s="125"/>
      <c r="AO79" s="490"/>
      <c r="AP79" s="125"/>
      <c r="AQ79" s="490"/>
      <c r="AR79" s="522"/>
      <c r="AS79" s="519"/>
      <c r="AT79" s="204"/>
      <c r="AU79" s="611"/>
      <c r="AV79" s="543"/>
      <c r="AW79" s="561"/>
      <c r="AX79" s="625"/>
      <c r="AY79" s="19"/>
      <c r="CB79" s="29" t="str">
        <f>IFERROR(IF(COUNTIF(AF73:AF82,"")=10,"",IF(COUNTIF(E73:E82,"N/A")&gt;0,IF(AF79&gt;=CMEMM1,AF79,0),"N/A")),"")</f>
        <v>N/A</v>
      </c>
      <c r="CC79" s="4"/>
      <c r="CD79" s="4" t="str">
        <f>IFERROR(IF(COUNTIF(AF73:AF82,"")=10,"",IF(AF79="","",IF(AF79&gt;=CMEMM1,1,0))),"")</f>
        <v/>
      </c>
      <c r="CE79" s="4" t="str">
        <f>B73&amp;"-0"&amp;7</f>
        <v>P08-07</v>
      </c>
      <c r="CF79" s="4" t="str">
        <f>IFERROR(INDEX('DESEMPATE Y DISCAPACIDAD'!$D$3:$D$450,MATCH(CE79,'DESEMPATE Y DISCAPACIDAD'!$C$3:$C$450,0)),"")</f>
        <v/>
      </c>
      <c r="CG79" s="4" t="str">
        <f>IF(OR(CE79="",CF79=""),"",SUMIF(D73:D82,CF79,CD73:CD82))</f>
        <v/>
      </c>
      <c r="CH79" s="4" t="str">
        <f t="shared" si="37"/>
        <v/>
      </c>
      <c r="CI79" s="4" t="str">
        <f t="shared" si="76"/>
        <v/>
      </c>
      <c r="CJ79" s="4"/>
      <c r="CK79" s="4"/>
      <c r="CL79" s="4" t="str">
        <f t="shared" si="66"/>
        <v/>
      </c>
      <c r="CM79" s="4" t="str">
        <f t="shared" si="67"/>
        <v/>
      </c>
      <c r="CN79" s="4" t="str">
        <f t="shared" si="77"/>
        <v/>
      </c>
      <c r="CO79" s="4"/>
      <c r="CP79" s="4"/>
      <c r="CQ79" s="29" t="str">
        <f t="shared" ref="CQ79:CQ114" si="78">IF(OR(AN79="",CB79=""),"",IF(AN79="NO",CB79,0))</f>
        <v/>
      </c>
      <c r="CR79" s="29" t="str">
        <f t="shared" ref="CR79:CR114" si="79">IF(OR(AN79="",AF79=""),"",IF(AN79="NO",AF79,0))</f>
        <v/>
      </c>
      <c r="CS79" s="4"/>
    </row>
    <row r="80" spans="1:97" ht="2" customHeight="1">
      <c r="B80" s="481"/>
      <c r="C80" s="118"/>
      <c r="D80" s="126" t="str">
        <f>+IFERROR(INDEX('DESEMPATE Y DISCAPACIDAD'!$D$3:$D$450,MATCH(C80,'DESEMPATE Y DISCAPACIDAD'!$C$3:$C$450,0)),"")</f>
        <v/>
      </c>
      <c r="E80" s="127" t="str">
        <f>IFERROR(IF(D80="","",IF(VLOOKUP(D80,'DESEMPATE Y DISCAPACIDAD'!D$3:$E$450,2,FALSE)=1,"N/A",IF(VLOOKUP(D80,'DESEMPATE Y DISCAPACIDAD'!D$3:$F$450,3,FALSE)="X","SI","NO"))),"")</f>
        <v/>
      </c>
      <c r="F80" s="125"/>
      <c r="G80" s="125"/>
      <c r="H80" s="125"/>
      <c r="I80" s="128"/>
      <c r="J80" s="125"/>
      <c r="K80" s="125"/>
      <c r="L80" s="125"/>
      <c r="M80" s="125"/>
      <c r="N80" s="125" t="str">
        <f t="shared" si="71"/>
        <v/>
      </c>
      <c r="O80" s="125" t="str">
        <f t="shared" si="72"/>
        <v/>
      </c>
      <c r="P80" s="125" t="str">
        <f t="shared" si="73"/>
        <v/>
      </c>
      <c r="Q80" s="125" t="str">
        <f t="shared" si="68"/>
        <v/>
      </c>
      <c r="R80" s="68"/>
      <c r="S80" s="129"/>
      <c r="T80" s="129"/>
      <c r="U80" s="125" t="str">
        <f t="shared" si="74"/>
        <v/>
      </c>
      <c r="V80" s="117" t="str">
        <f>IF(U80=2023,1160000,IFERROR(INDEX(SMMLV!$B$2:$B$101,MATCH(U80,SMMLV!$A$2:$A$101,0)),""))</f>
        <v/>
      </c>
      <c r="W80" s="117"/>
      <c r="X80" s="125"/>
      <c r="Y80" s="125"/>
      <c r="Z80" s="474"/>
      <c r="AA80" s="475"/>
      <c r="AB80" s="476"/>
      <c r="AC80" s="125" t="str">
        <f t="shared" si="75"/>
        <v/>
      </c>
      <c r="AD80" s="117" t="str">
        <f t="shared" si="69"/>
        <v/>
      </c>
      <c r="AE80" s="117" t="s">
        <v>894</v>
      </c>
      <c r="AF80" s="117" t="str">
        <f t="shared" si="70"/>
        <v/>
      </c>
      <c r="AG80" s="470"/>
      <c r="AH80" s="470"/>
      <c r="AI80" s="125" t="str">
        <f t="shared" si="65"/>
        <v/>
      </c>
      <c r="AJ80" s="470"/>
      <c r="AK80" s="470"/>
      <c r="AL80" s="472"/>
      <c r="AM80" s="496"/>
      <c r="AN80" s="125"/>
      <c r="AO80" s="490"/>
      <c r="AP80" s="125"/>
      <c r="AQ80" s="490"/>
      <c r="AR80" s="522"/>
      <c r="AS80" s="519"/>
      <c r="AT80" s="204"/>
      <c r="AU80" s="611"/>
      <c r="AV80" s="543"/>
      <c r="AW80" s="561"/>
      <c r="AX80" s="625"/>
      <c r="AY80" s="19"/>
      <c r="CB80" s="29" t="str">
        <f>IFERROR(IF(COUNTIF(AF73:AF82,"")=10,"",IF(COUNTIF(E73:E82,"N/A")&gt;0,IF(AF80&gt;=CMEMM1,AF80,0),"N/A")),"")</f>
        <v>N/A</v>
      </c>
      <c r="CC80" s="4"/>
      <c r="CD80" s="4" t="str">
        <f>IFERROR(IF(COUNTIF(AF73:AF82,"")=10,"",IF(AF80="","",IF(AF80&gt;=CMEMM1,1,0))),"")</f>
        <v/>
      </c>
      <c r="CE80" s="4" t="str">
        <f>B73&amp;"-0"&amp;8</f>
        <v>P08-08</v>
      </c>
      <c r="CF80" s="4" t="str">
        <f>IFERROR(INDEX('DESEMPATE Y DISCAPACIDAD'!$D$3:$D$450,MATCH(CE80,'DESEMPATE Y DISCAPACIDAD'!$C$3:$C$450,0)),"")</f>
        <v/>
      </c>
      <c r="CG80" s="4" t="str">
        <f>IF(OR(CE80="",CF80=""),"",SUMIF(D73:D82,CF80,CD73:CD82))</f>
        <v/>
      </c>
      <c r="CH80" s="4" t="str">
        <f t="shared" si="37"/>
        <v/>
      </c>
      <c r="CI80" s="4" t="str">
        <f t="shared" si="76"/>
        <v/>
      </c>
      <c r="CJ80" s="4"/>
      <c r="CK80" s="4"/>
      <c r="CL80" s="4" t="str">
        <f t="shared" si="66"/>
        <v/>
      </c>
      <c r="CM80" s="4" t="str">
        <f t="shared" si="67"/>
        <v/>
      </c>
      <c r="CN80" s="4" t="str">
        <f t="shared" si="77"/>
        <v/>
      </c>
      <c r="CO80" s="4"/>
      <c r="CP80" s="4"/>
      <c r="CQ80" s="29" t="str">
        <f t="shared" si="78"/>
        <v/>
      </c>
      <c r="CR80" s="29" t="str">
        <f t="shared" si="79"/>
        <v/>
      </c>
      <c r="CS80" s="4"/>
    </row>
    <row r="81" spans="1:97" ht="2" customHeight="1">
      <c r="B81" s="481"/>
      <c r="C81" s="118"/>
      <c r="D81" s="126" t="str">
        <f>+IFERROR(INDEX('DESEMPATE Y DISCAPACIDAD'!$D$3:$D$450,MATCH(C81,'DESEMPATE Y DISCAPACIDAD'!$C$3:$C$450,0)),"")</f>
        <v/>
      </c>
      <c r="E81" s="127" t="str">
        <f>IFERROR(IF(D81="","",IF(VLOOKUP(D81,'DESEMPATE Y DISCAPACIDAD'!D$3:$E$450,2,FALSE)=1,"N/A",IF(VLOOKUP(D81,'DESEMPATE Y DISCAPACIDAD'!D$3:$F$450,3,FALSE)="X","SI","NO"))),"")</f>
        <v/>
      </c>
      <c r="F81" s="125"/>
      <c r="G81" s="125"/>
      <c r="H81" s="125"/>
      <c r="I81" s="128"/>
      <c r="J81" s="125"/>
      <c r="K81" s="125"/>
      <c r="L81" s="125"/>
      <c r="M81" s="125"/>
      <c r="N81" s="125" t="str">
        <f t="shared" si="71"/>
        <v/>
      </c>
      <c r="O81" s="125" t="str">
        <f t="shared" si="72"/>
        <v/>
      </c>
      <c r="P81" s="125" t="str">
        <f t="shared" si="73"/>
        <v/>
      </c>
      <c r="Q81" s="125" t="str">
        <f t="shared" si="68"/>
        <v/>
      </c>
      <c r="R81" s="68"/>
      <c r="S81" s="129"/>
      <c r="T81" s="129"/>
      <c r="U81" s="125" t="str">
        <f t="shared" si="74"/>
        <v/>
      </c>
      <c r="V81" s="117" t="str">
        <f>IF(U81=2023,1160000,IFERROR(INDEX(SMMLV!$B$2:$B$101,MATCH(U81,SMMLV!$A$2:$A$101,0)),""))</f>
        <v/>
      </c>
      <c r="W81" s="117"/>
      <c r="X81" s="125"/>
      <c r="Y81" s="125"/>
      <c r="Z81" s="474"/>
      <c r="AA81" s="475"/>
      <c r="AB81" s="476"/>
      <c r="AC81" s="125" t="str">
        <f t="shared" si="75"/>
        <v/>
      </c>
      <c r="AD81" s="117" t="str">
        <f t="shared" si="69"/>
        <v/>
      </c>
      <c r="AE81" s="117" t="s">
        <v>894</v>
      </c>
      <c r="AF81" s="117" t="str">
        <f t="shared" si="70"/>
        <v/>
      </c>
      <c r="AG81" s="470"/>
      <c r="AH81" s="470"/>
      <c r="AI81" s="125" t="str">
        <f t="shared" si="65"/>
        <v/>
      </c>
      <c r="AJ81" s="470"/>
      <c r="AK81" s="470"/>
      <c r="AL81" s="472"/>
      <c r="AM81" s="496"/>
      <c r="AN81" s="125"/>
      <c r="AO81" s="490"/>
      <c r="AP81" s="125"/>
      <c r="AQ81" s="490"/>
      <c r="AR81" s="522"/>
      <c r="AS81" s="519"/>
      <c r="AT81" s="204"/>
      <c r="AU81" s="611"/>
      <c r="AV81" s="543"/>
      <c r="AW81" s="561"/>
      <c r="AX81" s="625"/>
      <c r="AY81" s="19"/>
      <c r="CB81" s="29" t="str">
        <f>IFERROR(IF(COUNTIF(AF73:AF82,"")=10,"",IF(COUNTIF(E73:E82,"N/A")&gt;0,IF(AF81&gt;=CMEMM1,AF81,0),"N/A")),"")</f>
        <v>N/A</v>
      </c>
      <c r="CC81" s="4"/>
      <c r="CD81" s="4" t="str">
        <f>IFERROR(IF(COUNTIF(AF73:AF82,"")=10,"",IF(AF81="","",IF(AF81&gt;=CMEMM1,1,0))),"")</f>
        <v/>
      </c>
      <c r="CE81" s="4" t="str">
        <f>B73&amp;"-0"&amp;9</f>
        <v>P08-09</v>
      </c>
      <c r="CF81" s="4" t="str">
        <f>IFERROR(INDEX('DESEMPATE Y DISCAPACIDAD'!$D$3:$D$450,MATCH(CE81,'DESEMPATE Y DISCAPACIDAD'!$C$3:$C$450,0)),"")</f>
        <v/>
      </c>
      <c r="CG81" s="4" t="str">
        <f>IF(OR(CE81="",CF81=""),"",SUMIF(D73:D82,CF81,CD73:CD82))</f>
        <v/>
      </c>
      <c r="CH81" s="4" t="str">
        <f t="shared" si="37"/>
        <v/>
      </c>
      <c r="CI81" s="4" t="str">
        <f t="shared" si="76"/>
        <v/>
      </c>
      <c r="CJ81" s="4"/>
      <c r="CK81" s="4"/>
      <c r="CL81" s="4" t="str">
        <f t="shared" si="66"/>
        <v/>
      </c>
      <c r="CM81" s="4" t="str">
        <f t="shared" si="67"/>
        <v/>
      </c>
      <c r="CN81" s="4" t="str">
        <f t="shared" si="77"/>
        <v/>
      </c>
      <c r="CO81" s="4"/>
      <c r="CP81" s="4"/>
      <c r="CQ81" s="29" t="str">
        <f t="shared" si="78"/>
        <v/>
      </c>
      <c r="CR81" s="29" t="str">
        <f t="shared" si="79"/>
        <v/>
      </c>
      <c r="CS81" s="4"/>
    </row>
    <row r="82" spans="1:97" ht="2" customHeight="1" thickBot="1">
      <c r="B82" s="482"/>
      <c r="C82" s="130"/>
      <c r="D82" s="131" t="str">
        <f>+IFERROR(INDEX('DESEMPATE Y DISCAPACIDAD'!$D$3:$D$450,MATCH(C82,'DESEMPATE Y DISCAPACIDAD'!$C$3:$C$450,0)),"")</f>
        <v/>
      </c>
      <c r="E82" s="132" t="str">
        <f>IFERROR(IF(D82="","",IF(VLOOKUP(D82,'DESEMPATE Y DISCAPACIDAD'!D$3:$E$450,2,FALSE)=1,"N/A",IF(VLOOKUP(D82,'DESEMPATE Y DISCAPACIDAD'!D$3:$F$450,3,FALSE)="X","SI","NO"))),"")</f>
        <v/>
      </c>
      <c r="F82" s="133"/>
      <c r="G82" s="133"/>
      <c r="H82" s="133"/>
      <c r="I82" s="134"/>
      <c r="J82" s="133"/>
      <c r="K82" s="133"/>
      <c r="L82" s="133"/>
      <c r="M82" s="133"/>
      <c r="N82" s="133" t="str">
        <f t="shared" si="71"/>
        <v/>
      </c>
      <c r="O82" s="133" t="str">
        <f t="shared" si="72"/>
        <v/>
      </c>
      <c r="P82" s="133" t="str">
        <f t="shared" si="73"/>
        <v/>
      </c>
      <c r="Q82" s="133" t="str">
        <f t="shared" si="68"/>
        <v/>
      </c>
      <c r="R82" s="104"/>
      <c r="S82" s="135"/>
      <c r="T82" s="135"/>
      <c r="U82" s="133" t="str">
        <f t="shared" si="74"/>
        <v/>
      </c>
      <c r="V82" s="136" t="str">
        <f>IF(U82=2023,1160000,IFERROR(INDEX(SMMLV!$B$2:$B$101,MATCH(U82,SMMLV!$A$2:$A$101,0)),""))</f>
        <v/>
      </c>
      <c r="W82" s="136"/>
      <c r="X82" s="133"/>
      <c r="Y82" s="133"/>
      <c r="Z82" s="487"/>
      <c r="AA82" s="488"/>
      <c r="AB82" s="489"/>
      <c r="AC82" s="133" t="str">
        <f t="shared" si="75"/>
        <v/>
      </c>
      <c r="AD82" s="136" t="str">
        <f t="shared" si="69"/>
        <v/>
      </c>
      <c r="AE82" s="136" t="s">
        <v>894</v>
      </c>
      <c r="AF82" s="136" t="str">
        <f t="shared" si="70"/>
        <v/>
      </c>
      <c r="AG82" s="471"/>
      <c r="AH82" s="471"/>
      <c r="AI82" s="133" t="str">
        <f t="shared" si="65"/>
        <v/>
      </c>
      <c r="AJ82" s="471"/>
      <c r="AK82" s="471"/>
      <c r="AL82" s="473"/>
      <c r="AM82" s="497"/>
      <c r="AN82" s="133"/>
      <c r="AO82" s="491"/>
      <c r="AP82" s="133"/>
      <c r="AQ82" s="491"/>
      <c r="AR82" s="523"/>
      <c r="AS82" s="520"/>
      <c r="AT82" s="206"/>
      <c r="AU82" s="612"/>
      <c r="AV82" s="544"/>
      <c r="AW82" s="562"/>
      <c r="AX82" s="626"/>
      <c r="AY82" s="19"/>
      <c r="CB82" s="29" t="str">
        <f>IFERROR(IF(COUNTIF(AF73:AF82,"")=10,"",IF(COUNTIF(E73:E82,"N/A")&gt;0,IF(AF82&gt;=CMEMM1,AF82,0),"N/A")),"")</f>
        <v>N/A</v>
      </c>
      <c r="CC82" s="4"/>
      <c r="CD82" s="4" t="str">
        <f>IFERROR(IF(COUNTIF(AF73:AF82,"")=10,"",IF(AF82="","",IF(AF82&gt;=CMEMM1,1,0))),"")</f>
        <v/>
      </c>
      <c r="CE82" s="4" t="str">
        <f>B73&amp;"-"&amp;10</f>
        <v>P08-10</v>
      </c>
      <c r="CF82" s="4" t="str">
        <f>IFERROR(INDEX('DESEMPATE Y DISCAPACIDAD'!$D$3:$D$450,MATCH(CE82,'DESEMPATE Y DISCAPACIDAD'!$C$3:$C$450,0)),"")</f>
        <v/>
      </c>
      <c r="CG82" s="4" t="str">
        <f>IF(OR(CE82="",CF82=""),"",SUMIF(D73:D82,CF82,CD73:CD82))</f>
        <v/>
      </c>
      <c r="CH82" s="4" t="str">
        <f t="shared" si="37"/>
        <v/>
      </c>
      <c r="CI82" s="4" t="str">
        <f t="shared" si="76"/>
        <v/>
      </c>
      <c r="CJ82" s="4"/>
      <c r="CK82" s="4"/>
      <c r="CL82" s="4" t="str">
        <f t="shared" si="66"/>
        <v/>
      </c>
      <c r="CM82" s="4" t="str">
        <f t="shared" si="67"/>
        <v/>
      </c>
      <c r="CN82" s="4" t="str">
        <f t="shared" si="77"/>
        <v/>
      </c>
      <c r="CO82" s="4"/>
      <c r="CP82" s="4"/>
      <c r="CQ82" s="29" t="str">
        <f t="shared" si="78"/>
        <v/>
      </c>
      <c r="CR82" s="29" t="str">
        <f t="shared" si="79"/>
        <v/>
      </c>
      <c r="CS82" s="4"/>
    </row>
    <row r="83" spans="1:97" ht="45" customHeight="1">
      <c r="A83" s="4" t="str">
        <f>"A"&amp;B83</f>
        <v>AP09</v>
      </c>
      <c r="B83" s="480" t="s">
        <v>130</v>
      </c>
      <c r="C83" s="151" t="s">
        <v>183</v>
      </c>
      <c r="D83" s="119" t="str">
        <f>+IFERROR(INDEX('DESEMPATE Y DISCAPACIDAD'!$D$3:$D$450,MATCH(C83,'DESEMPATE Y DISCAPACIDAD'!$C$3:$C$450,0)),"")</f>
        <v>J FELIPE ARDILA V &amp; CIA SAS</v>
      </c>
      <c r="E83" s="120" t="str">
        <f>IFERROR(IF(D83="","",IF(VLOOKUP(D83,'DESEMPATE Y DISCAPACIDAD'!D$3:$E$450,2,FALSE)=1,"N/A",IF(VLOOKUP(D83,'DESEMPATE Y DISCAPACIDAD'!D$3:$F$450,3,FALSE)="X","SI","NO"))),"")</f>
        <v>NO</v>
      </c>
      <c r="F83" s="163" t="s">
        <v>663</v>
      </c>
      <c r="G83" s="163" t="s">
        <v>660</v>
      </c>
      <c r="H83" s="163" t="s">
        <v>884</v>
      </c>
      <c r="I83" s="173" t="s">
        <v>885</v>
      </c>
      <c r="J83" s="121" t="s">
        <v>74</v>
      </c>
      <c r="K83" s="121" t="s">
        <v>74</v>
      </c>
      <c r="L83" s="121" t="s">
        <v>74</v>
      </c>
      <c r="M83" s="121" t="s">
        <v>74</v>
      </c>
      <c r="N83" s="121" t="str">
        <f t="shared" si="71"/>
        <v>SI</v>
      </c>
      <c r="O83" s="121" t="str">
        <f t="shared" si="72"/>
        <v>SI</v>
      </c>
      <c r="P83" s="121" t="str">
        <f t="shared" si="73"/>
        <v>SI</v>
      </c>
      <c r="Q83" s="121" t="str">
        <f t="shared" si="68"/>
        <v>SI</v>
      </c>
      <c r="R83" s="164">
        <v>0.5</v>
      </c>
      <c r="S83" s="165">
        <v>39595</v>
      </c>
      <c r="T83" s="166">
        <v>43555</v>
      </c>
      <c r="U83" s="121">
        <f>IFERROR(IF(T83="","",YEAR(T83)),"")</f>
        <v>2019</v>
      </c>
      <c r="V83" s="124">
        <f>IF(U83=2023,1160000,IFERROR(INDEX(SMMLV!$B$2:$B$101,MATCH(U83,SMMLV!$A$2:$A$101,0)),""))</f>
        <v>828116</v>
      </c>
      <c r="W83" s="124" t="s">
        <v>670</v>
      </c>
      <c r="X83" s="121" t="s">
        <v>671</v>
      </c>
      <c r="Y83" s="121">
        <v>5</v>
      </c>
      <c r="Z83" s="500" t="s">
        <v>74</v>
      </c>
      <c r="AA83" s="501"/>
      <c r="AB83" s="502"/>
      <c r="AC83" s="121" t="str">
        <f>IFERROR(IF(Y83="","",IF(ISNUMBER(Y83),IF(COUNTIF(Z83,"SI")&gt;0,"SI","NO"),Y83)),"")</f>
        <v>SI</v>
      </c>
      <c r="AD83" s="124" t="str">
        <f t="shared" si="69"/>
        <v>N/A</v>
      </c>
      <c r="AE83" s="124">
        <v>89592.94</v>
      </c>
      <c r="AF83" s="124">
        <f t="shared" si="70"/>
        <v>44796.47</v>
      </c>
      <c r="AG83" s="469" t="str">
        <f>IFERROR(IF(COUNTIF(AF83:AF92,"")=10,"",IF(COUNTIF(E83:E92,"N/A")&gt;0,IF(SUM(CB83:CB92)&gt;=CMEM1,"CUMPLE","NO CUMPLE"),IF(SUM(AF83:AF92)&gt;=CMEM1,"CUMPLE","NO CUMPLE"))),"")</f>
        <v>CUMPLE</v>
      </c>
      <c r="AH83" s="469" t="str">
        <f>IF(COUNTIF(AF83:AF92,"")=10,"",IF(SUMIF(C83:C92,C83,AF83:AF92)&gt;=CMLM1,"CUMPLE",IF(SUMIF(C83:C92,C84,AF83:AF92)&gt;=CMLM1,"CUMPLE",IF(SUMIF(C83:C92,C85,AF83:AF92)&gt;=CMLM1,"CUMPLE",IF(SUMIF(C83:C92,C86,AF83:AF92)&gt;=CMLM1,"CUMPLE",IF(SUMIF(C83:C92,C87,AF83:AF92)&gt;=CMLM1,"CUMPLE",IF(SUMIF(C83:C92,C88,AF83:AF92)&gt;=CMLM1,"CUMPLE",IF(SUMIF(C83:C92,C89,AF83:AF92)&gt;=CMLM1,"CUMPLE",IF(SUMIF(C83:C92,C90,AF83:AF92)&gt;=CMLM1,"CUMPLE",IF(SUMIF(C83:C92,C91,AF83:AF92)&gt;=CMLM1,"CUMPLE",IF(SUMIF(C83:C92,C92,AF83:AF92)&gt;=CMLM1,"CUMPLE","NO CUMPLE")))))))))))</f>
        <v>CUMPLE</v>
      </c>
      <c r="AI83" s="121" t="str">
        <f t="shared" si="65"/>
        <v>CUMPLE</v>
      </c>
      <c r="AJ83" s="469" t="str">
        <f>IFERROR(IF(COUNTIF(AF83:AF92,"")=10,"",IF(COUNTIF(E83:E92,"N/A")&gt;0,"N/A",CJ83)),"")</f>
        <v>CUMPLE</v>
      </c>
      <c r="AK83" s="469" t="str">
        <f>IFERROR(IF(AND(COUNTIF(N83:N92,"SI")&gt;=1,COUNTIF(O83:O92,"SI")&gt;=1,COUNTIF(P83:P92,"SI")&gt;=1,COUNTIF(J83:J92,"SI")&lt;=10,CO83="CUMPLE"),"CUMPLE","NO CUMPLE"),"")</f>
        <v>CUMPLE</v>
      </c>
      <c r="AL83" s="472" t="s">
        <v>77</v>
      </c>
      <c r="AM83" s="495">
        <f>IFERROR(IF(B83&lt;&gt;"",IF(VLOOKUP(B83,'DESEMPATE Y DISCAPACIDAD'!$A$3:$Q$450,10,FALSE)="","",VLOOKUP(B83,'DESEMPATE Y DISCAPACIDAD'!$A$3:$Q$450,10,FALSE)+6),""),"")</f>
        <v>8</v>
      </c>
      <c r="AN83" s="121" t="s">
        <v>75</v>
      </c>
      <c r="AO83" s="607" t="s">
        <v>74</v>
      </c>
      <c r="AP83" s="121" t="s">
        <v>74</v>
      </c>
      <c r="AQ83" s="490">
        <f>IFERROR(IF(COUNTIF(AP83:AP92,"")=10,"",IF(AO83="NO",0,COUNTIF(AP83:AP92,"SI"))),"")</f>
        <v>4</v>
      </c>
      <c r="AR83" s="521">
        <f>IFERROR(IF(COUNTIF(AF83:AF92,"")=10,"",IF(AO83="NO",0,IF(COUNTIF(E83:E92,"N/A")&gt;0,SUM(CQ83:CQ92),SUM(CR83:CR92)))),"")</f>
        <v>56090.387499999997</v>
      </c>
      <c r="AS83" s="518">
        <f>IFERROR(IF(OR(COUNTIF(AF83:AF92,"")=10,AQ83="",AR83=""),"",IF(AO83="NO",0,AR83/AQ83)),"")</f>
        <v>14022.596874999999</v>
      </c>
      <c r="AT83" s="207"/>
      <c r="AU83" s="610" t="s">
        <v>899</v>
      </c>
      <c r="AV83" s="542" t="s">
        <v>747</v>
      </c>
      <c r="AW83" s="560" t="s">
        <v>747</v>
      </c>
      <c r="AX83" s="560" t="s">
        <v>1356</v>
      </c>
      <c r="AY83" s="19"/>
      <c r="CB83" s="29" t="str">
        <f>IFERROR(IF(COUNTIF(AF83:AF92,"")=10,"",IF(COUNTIF(E83:E92,"N/A")&gt;0,IF(AF83&gt;=CMEMM1,AF83,0),"N/A")),"")</f>
        <v>N/A</v>
      </c>
      <c r="CC83" s="4"/>
      <c r="CD83" s="4">
        <f>IFERROR(IF(COUNTIF(AF83:AF92,"")=10,"",IF(AF83="","",IF(AF83&gt;=CMEMM1,1,0))),"")</f>
        <v>1</v>
      </c>
      <c r="CE83" s="4" t="str">
        <f>B83&amp;"-0"&amp;1</f>
        <v>P09-01</v>
      </c>
      <c r="CF83" s="4" t="str">
        <f>IFERROR(INDEX('DESEMPATE Y DISCAPACIDAD'!$D$3:$D$450,MATCH(CE83,'DESEMPATE Y DISCAPACIDAD'!$C$3:$C$450,0)),"")</f>
        <v>J FELIPE ARDILA V &amp; CIA SAS</v>
      </c>
      <c r="CG83" s="4">
        <f>IF(OR(CE83="",CF83=""),"",SUMIF(D83:D92,CF83,CD83:CD92))</f>
        <v>1</v>
      </c>
      <c r="CH83" s="4" t="str">
        <f t="shared" si="37"/>
        <v>CUMPLE</v>
      </c>
      <c r="CI83" s="4">
        <f>IF(CF83="","",IF(ISTEXT(CF83),1,0))</f>
        <v>1</v>
      </c>
      <c r="CJ83" s="4" t="str">
        <f>IF(OR(CD83="",CE83="",CF83="",CG83="",CH83="",CI83=""),"",IF(COUNTIF(CH83:CH92,"CUMPLE")=COUNTIF(CI83:CI92,1),"CUMPLE","NO CUMPLE"))</f>
        <v>CUMPLE</v>
      </c>
      <c r="CK83" s="4"/>
      <c r="CL83" s="4">
        <f t="shared" si="66"/>
        <v>1</v>
      </c>
      <c r="CM83" s="4">
        <f t="shared" si="67"/>
        <v>1</v>
      </c>
      <c r="CN83" s="4" t="str">
        <f>IF(OR(CL83="",CM83=""),"",IF(AND(CL83=0,CM83=0),"N/A",IF(AND(CL83=1,CM83=0),"COND. A",IF(AND(CL83=0,CM83=1),"COND. B",IF(AND(CL83=1,CM83=1),"COND. A Y B","")))))</f>
        <v>COND. A Y B</v>
      </c>
      <c r="CO83" s="4" t="str">
        <f>IF(COUNTIF(CN83:CN92,"N/A")=10,"NO CUMPLE",IF(COUNTIF(CN83:CN92,"COND. A Y B")&gt;1,"CUMPLE",IF(AND(COUNTIF(CN83:CN92,"COND. A")&gt;0,COUNTIF(CN83:CN92,"COND. B")&gt;0),"CUMPLE",IF(AND(COUNTIF(CN83:CN92,"COND. A Y B")&gt;0,COUNTIF(CN83:CN92,"COND. A")&gt;0),"CUMPLE",IF(AND(COUNTIF(CN83:CN92,"COND. A Y B")&gt;0,COUNTIF(CN83:CN92,"COND. B")&gt;0),"CUMPLE","NO CUMPLE")))))</f>
        <v>CUMPLE</v>
      </c>
      <c r="CP83" s="4"/>
      <c r="CQ83" s="29" t="str">
        <f t="shared" si="78"/>
        <v>N/A</v>
      </c>
      <c r="CR83" s="29">
        <f t="shared" si="79"/>
        <v>44796.47</v>
      </c>
      <c r="CS83" s="4"/>
    </row>
    <row r="84" spans="1:97" ht="45" customHeight="1">
      <c r="B84" s="481"/>
      <c r="C84" s="118" t="s">
        <v>184</v>
      </c>
      <c r="D84" s="119" t="str">
        <f>+IFERROR(INDEX('DESEMPATE Y DISCAPACIDAD'!$D$3:$D$450,MATCH(C84,'DESEMPATE Y DISCAPACIDAD'!$C$3:$C$450,0)),"")</f>
        <v>INGEOBRAS CONSTRUCCION Y CONSULTORIA SAS - INGEOBRAS SAS</v>
      </c>
      <c r="E84" s="120" t="str">
        <f>IFERROR(IF(D84="","",IF(VLOOKUP(D84,'DESEMPATE Y DISCAPACIDAD'!D$3:$E$450,2,FALSE)=1,"N/A",IF(VLOOKUP(D84,'DESEMPATE Y DISCAPACIDAD'!D$3:$F$450,3,FALSE)="X","SI","NO"))),"")</f>
        <v>NO</v>
      </c>
      <c r="F84" s="148" t="s">
        <v>886</v>
      </c>
      <c r="G84" s="148" t="s">
        <v>660</v>
      </c>
      <c r="H84" s="148" t="s">
        <v>887</v>
      </c>
      <c r="I84" s="148" t="s">
        <v>888</v>
      </c>
      <c r="J84" s="121" t="s">
        <v>74</v>
      </c>
      <c r="K84" s="121" t="s">
        <v>74</v>
      </c>
      <c r="L84" s="121" t="s">
        <v>75</v>
      </c>
      <c r="M84" s="121" t="s">
        <v>75</v>
      </c>
      <c r="N84" s="121" t="str">
        <f t="shared" ref="N84:N92" si="80">IFERROR(IF(OR(J84="",K84=""),"",IF(J84="NO","NO",K84)),"")</f>
        <v>SI</v>
      </c>
      <c r="O84" s="121" t="str">
        <f t="shared" ref="O84:O92" si="81">IFERROR(IF(OR(J84="",L84=""),"",IF(J84="NO","NO",L84)),"")</f>
        <v>NO</v>
      </c>
      <c r="P84" s="121" t="str">
        <f t="shared" ref="P84:P92" si="82">IFERROR(IF(OR(J84="",M84=""),"",IF(J84="NO","NO",M84)),"")</f>
        <v>NO</v>
      </c>
      <c r="Q84" s="121" t="str">
        <f t="shared" si="68"/>
        <v>SI</v>
      </c>
      <c r="R84" s="102">
        <v>0.45</v>
      </c>
      <c r="S84" s="149">
        <v>40805</v>
      </c>
      <c r="T84" s="150">
        <v>41730</v>
      </c>
      <c r="U84" s="121">
        <f t="shared" ref="U84:U92" si="83">IFERROR(IF(T84="","",YEAR(T84)),"")</f>
        <v>2014</v>
      </c>
      <c r="V84" s="124">
        <f>IF(U84=2023,1160000,IFERROR(INDEX(SMMLV!$B$2:$B$101,MATCH(U84,SMMLV!$A$2:$A$101,0)),""))</f>
        <v>616000</v>
      </c>
      <c r="W84" s="117" t="s">
        <v>670</v>
      </c>
      <c r="X84" s="125" t="s">
        <v>671</v>
      </c>
      <c r="Y84" s="125">
        <v>20</v>
      </c>
      <c r="Z84" s="474" t="s">
        <v>74</v>
      </c>
      <c r="AA84" s="475"/>
      <c r="AB84" s="476"/>
      <c r="AC84" s="125" t="str">
        <f t="shared" ref="AC84:AC92" si="84">IFERROR(IF(Y84="","",IF(ISNUMBER(Y84),IF(COUNTIF(Z84,"SI")&gt;0,"SI","NO"),Y84)),"")</f>
        <v>SI</v>
      </c>
      <c r="AD84" s="117" t="str">
        <f t="shared" si="69"/>
        <v>N/A</v>
      </c>
      <c r="AE84" s="117">
        <v>9613.85</v>
      </c>
      <c r="AF84" s="117">
        <f t="shared" si="70"/>
        <v>4326.2325000000001</v>
      </c>
      <c r="AG84" s="470"/>
      <c r="AH84" s="470"/>
      <c r="AI84" s="125" t="str">
        <f t="shared" si="65"/>
        <v>CUMPLE</v>
      </c>
      <c r="AJ84" s="470"/>
      <c r="AK84" s="470"/>
      <c r="AL84" s="472"/>
      <c r="AM84" s="496"/>
      <c r="AN84" s="125" t="s">
        <v>75</v>
      </c>
      <c r="AO84" s="607"/>
      <c r="AP84" s="125" t="s">
        <v>74</v>
      </c>
      <c r="AQ84" s="490"/>
      <c r="AR84" s="522"/>
      <c r="AS84" s="519"/>
      <c r="AT84" s="205"/>
      <c r="AU84" s="611"/>
      <c r="AV84" s="543"/>
      <c r="AW84" s="561"/>
      <c r="AX84" s="561"/>
      <c r="AY84" s="19"/>
      <c r="CB84" s="29" t="str">
        <f>IFERROR(IF(COUNTIF(AF83:AF92,"")=10,"",IF(COUNTIF(E83:E92,"N/A")&gt;0,IF(AF84&gt;=CMEMM1,AF84,0),"N/A")),"")</f>
        <v>N/A</v>
      </c>
      <c r="CC84" s="4"/>
      <c r="CD84" s="4">
        <f>IFERROR(IF(COUNTIF(AF83:AF92,"")=10,"",IF(AF84="","",IF(AF84&gt;=CMEMM1,1,0))),"")</f>
        <v>1</v>
      </c>
      <c r="CE84" s="4" t="str">
        <f>B83&amp;"-0"&amp;2</f>
        <v>P09-02</v>
      </c>
      <c r="CF84" s="4" t="str">
        <f>IFERROR(INDEX('DESEMPATE Y DISCAPACIDAD'!$D$3:$D$450,MATCH(CE84,'DESEMPATE Y DISCAPACIDAD'!$C$3:$C$450,0)),"")</f>
        <v>INGEOBRAS CONSTRUCCION Y CONSULTORIA SAS - INGEOBRAS SAS</v>
      </c>
      <c r="CG84" s="4">
        <f>IF(OR(CE84="",CF84=""),"",SUMIF(D83:D92,CF84,CD83:CD92))</f>
        <v>1</v>
      </c>
      <c r="CH84" s="4" t="str">
        <f t="shared" si="37"/>
        <v>CUMPLE</v>
      </c>
      <c r="CI84" s="4">
        <f t="shared" ref="CI84:CI92" si="85">IF(CF84="","",IF(ISTEXT(CF84),1,0))</f>
        <v>1</v>
      </c>
      <c r="CJ84" s="4"/>
      <c r="CK84" s="4"/>
      <c r="CL84" s="4">
        <f t="shared" si="66"/>
        <v>1</v>
      </c>
      <c r="CM84" s="4">
        <f t="shared" si="67"/>
        <v>0</v>
      </c>
      <c r="CN84" s="4" t="str">
        <f t="shared" ref="CN84:CN92" si="86">IF(OR(CL84="",CM84=""),"",IF(AND(CL84=0,CM84=0),"N/A",IF(AND(CL84=1,CM84=0),"COND. A",IF(AND(CL84=0,CM84=1),"COND. B",IF(AND(CL84=1,CM84=1),"COND. A Y B","")))))</f>
        <v>COND. A</v>
      </c>
      <c r="CO84" s="4"/>
      <c r="CP84" s="4"/>
      <c r="CQ84" s="29" t="str">
        <f t="shared" si="78"/>
        <v>N/A</v>
      </c>
      <c r="CR84" s="29">
        <f t="shared" si="79"/>
        <v>4326.2325000000001</v>
      </c>
      <c r="CS84" s="4"/>
    </row>
    <row r="85" spans="1:97" ht="45" customHeight="1">
      <c r="B85" s="481"/>
      <c r="C85" s="118" t="s">
        <v>246</v>
      </c>
      <c r="D85" s="126" t="str">
        <f>+IFERROR(INDEX('DESEMPATE Y DISCAPACIDAD'!$D$3:$D$450,MATCH(C85,'DESEMPATE Y DISCAPACIDAD'!$C$3:$C$450,0)),"")</f>
        <v>CB INGENIEROS SAS</v>
      </c>
      <c r="E85" s="127" t="str">
        <f>IFERROR(IF(D85="","",IF(VLOOKUP(D85,'DESEMPATE Y DISCAPACIDAD'!D$3:$E$450,2,FALSE)=1,"N/A",IF(VLOOKUP(D85,'DESEMPATE Y DISCAPACIDAD'!D$3:$F$450,3,FALSE)="X","SI","NO"))),"")</f>
        <v>NO</v>
      </c>
      <c r="F85" s="148" t="s">
        <v>741</v>
      </c>
      <c r="G85" s="148" t="s">
        <v>660</v>
      </c>
      <c r="H85" s="148" t="s">
        <v>795</v>
      </c>
      <c r="I85" s="148" t="s">
        <v>796</v>
      </c>
      <c r="J85" s="121" t="s">
        <v>74</v>
      </c>
      <c r="K85" s="121" t="s">
        <v>74</v>
      </c>
      <c r="L85" s="121" t="s">
        <v>75</v>
      </c>
      <c r="M85" s="121" t="s">
        <v>74</v>
      </c>
      <c r="N85" s="125" t="str">
        <f t="shared" si="80"/>
        <v>SI</v>
      </c>
      <c r="O85" s="125" t="str">
        <f t="shared" si="81"/>
        <v>NO</v>
      </c>
      <c r="P85" s="125" t="str">
        <f t="shared" si="82"/>
        <v>SI</v>
      </c>
      <c r="Q85" s="125" t="str">
        <f t="shared" si="68"/>
        <v>SI</v>
      </c>
      <c r="R85" s="102">
        <v>0.2</v>
      </c>
      <c r="S85" s="149">
        <v>40079</v>
      </c>
      <c r="T85" s="150">
        <v>42094</v>
      </c>
      <c r="U85" s="125">
        <f t="shared" si="83"/>
        <v>2015</v>
      </c>
      <c r="V85" s="117">
        <f>IF(U85=2023,1160000,IFERROR(INDEX(SMMLV!$B$2:$B$101,MATCH(U85,SMMLV!$A$2:$A$101,0)),""))</f>
        <v>644350</v>
      </c>
      <c r="W85" s="117" t="s">
        <v>670</v>
      </c>
      <c r="X85" s="125" t="s">
        <v>671</v>
      </c>
      <c r="Y85" s="125">
        <v>76</v>
      </c>
      <c r="Z85" s="474" t="s">
        <v>74</v>
      </c>
      <c r="AA85" s="475"/>
      <c r="AB85" s="476"/>
      <c r="AC85" s="125" t="str">
        <f t="shared" si="84"/>
        <v>SI</v>
      </c>
      <c r="AD85" s="117" t="str">
        <f t="shared" si="69"/>
        <v>N/A</v>
      </c>
      <c r="AE85" s="117">
        <v>21741.25</v>
      </c>
      <c r="AF85" s="117">
        <f t="shared" si="70"/>
        <v>4348.25</v>
      </c>
      <c r="AG85" s="470"/>
      <c r="AH85" s="470"/>
      <c r="AI85" s="125" t="str">
        <f t="shared" si="65"/>
        <v>CUMPLE</v>
      </c>
      <c r="AJ85" s="470"/>
      <c r="AK85" s="470"/>
      <c r="AL85" s="472"/>
      <c r="AM85" s="496"/>
      <c r="AN85" s="125" t="s">
        <v>75</v>
      </c>
      <c r="AO85" s="607"/>
      <c r="AP85" s="125" t="s">
        <v>74</v>
      </c>
      <c r="AQ85" s="490"/>
      <c r="AR85" s="522"/>
      <c r="AS85" s="519"/>
      <c r="AT85" s="205"/>
      <c r="AU85" s="611"/>
      <c r="AV85" s="543"/>
      <c r="AW85" s="561"/>
      <c r="AX85" s="561"/>
      <c r="AY85" s="19"/>
      <c r="CB85" s="29" t="str">
        <f>IFERROR(IF(COUNTIF(AF83:AF92,"")=10,"",IF(COUNTIF(E83:E92,"N/A")&gt;0,IF(AF85&gt;=CMEMM1,AF85,0),"N/A")),"")</f>
        <v>N/A</v>
      </c>
      <c r="CC85" s="4"/>
      <c r="CD85" s="4">
        <f>IFERROR(IF(COUNTIF(AF83:AF92,"")=10,"",IF(AF85="","",IF(AF85&gt;=CMEMM1,1,0))),"")</f>
        <v>1</v>
      </c>
      <c r="CE85" s="4" t="str">
        <f>B83&amp;"-0"&amp;3</f>
        <v>P09-03</v>
      </c>
      <c r="CF85" s="4" t="str">
        <f>IFERROR(INDEX('DESEMPATE Y DISCAPACIDAD'!$D$3:$D$450,MATCH(CE85,'DESEMPATE Y DISCAPACIDAD'!$C$3:$C$450,0)),"")</f>
        <v>CB INGENIEROS SAS</v>
      </c>
      <c r="CG85" s="4">
        <f>IF(OR(CE85="",CF85=""),"",SUMIF(D83:D92,CF85,CD83:CD92))</f>
        <v>1</v>
      </c>
      <c r="CH85" s="4" t="str">
        <f t="shared" si="37"/>
        <v>CUMPLE</v>
      </c>
      <c r="CI85" s="4">
        <f t="shared" si="85"/>
        <v>1</v>
      </c>
      <c r="CJ85" s="4"/>
      <c r="CK85" s="4"/>
      <c r="CL85" s="4">
        <f t="shared" si="66"/>
        <v>1</v>
      </c>
      <c r="CM85" s="4">
        <f t="shared" si="67"/>
        <v>0</v>
      </c>
      <c r="CN85" s="4" t="str">
        <f t="shared" si="86"/>
        <v>COND. A</v>
      </c>
      <c r="CO85" s="4"/>
      <c r="CP85" s="4"/>
      <c r="CQ85" s="29" t="str">
        <f t="shared" si="78"/>
        <v>N/A</v>
      </c>
      <c r="CR85" s="29">
        <f t="shared" si="79"/>
        <v>4348.25</v>
      </c>
      <c r="CS85" s="4"/>
    </row>
    <row r="86" spans="1:97" ht="45" customHeight="1">
      <c r="B86" s="481"/>
      <c r="C86" s="118" t="s">
        <v>184</v>
      </c>
      <c r="D86" s="126" t="str">
        <f>+IFERROR(INDEX('DESEMPATE Y DISCAPACIDAD'!$D$3:$D$450,MATCH(C86,'DESEMPATE Y DISCAPACIDAD'!$C$3:$C$450,0)),"")</f>
        <v>INGEOBRAS CONSTRUCCION Y CONSULTORIA SAS - INGEOBRAS SAS</v>
      </c>
      <c r="E86" s="127" t="str">
        <f>IFERROR(IF(D86="","",IF(VLOOKUP(D86,'DESEMPATE Y DISCAPACIDAD'!D$3:$E$450,2,FALSE)=1,"N/A",IF(VLOOKUP(D86,'DESEMPATE Y DISCAPACIDAD'!D$3:$F$450,3,FALSE)="X","SI","NO"))),"")</f>
        <v>NO</v>
      </c>
      <c r="F86" s="148" t="s">
        <v>889</v>
      </c>
      <c r="G86" s="148" t="s">
        <v>660</v>
      </c>
      <c r="H86" s="148" t="s">
        <v>890</v>
      </c>
      <c r="I86" s="148" t="s">
        <v>891</v>
      </c>
      <c r="J86" s="125" t="s">
        <v>74</v>
      </c>
      <c r="K86" s="125" t="s">
        <v>74</v>
      </c>
      <c r="L86" s="125" t="s">
        <v>75</v>
      </c>
      <c r="M86" s="125" t="s">
        <v>74</v>
      </c>
      <c r="N86" s="125" t="str">
        <f t="shared" si="80"/>
        <v>SI</v>
      </c>
      <c r="O86" s="125" t="str">
        <f t="shared" si="81"/>
        <v>NO</v>
      </c>
      <c r="P86" s="125" t="str">
        <f t="shared" si="82"/>
        <v>SI</v>
      </c>
      <c r="Q86" s="125" t="str">
        <f t="shared" si="68"/>
        <v>SI</v>
      </c>
      <c r="R86" s="102">
        <v>0.7</v>
      </c>
      <c r="S86" s="149">
        <v>41919</v>
      </c>
      <c r="T86" s="150">
        <v>43261</v>
      </c>
      <c r="U86" s="125">
        <f t="shared" si="83"/>
        <v>2018</v>
      </c>
      <c r="V86" s="117">
        <f>IF(U86=2023,1160000,IFERROR(INDEX(SMMLV!$B$2:$B$101,MATCH(U86,SMMLV!$A$2:$A$101,0)),""))</f>
        <v>781242</v>
      </c>
      <c r="W86" s="117" t="s">
        <v>670</v>
      </c>
      <c r="X86" s="125" t="s">
        <v>671</v>
      </c>
      <c r="Y86" s="125">
        <v>37</v>
      </c>
      <c r="Z86" s="474" t="s">
        <v>74</v>
      </c>
      <c r="AA86" s="475"/>
      <c r="AB86" s="476"/>
      <c r="AC86" s="125" t="str">
        <f t="shared" si="84"/>
        <v>SI</v>
      </c>
      <c r="AD86" s="117" t="str">
        <f t="shared" si="69"/>
        <v>N/A</v>
      </c>
      <c r="AE86" s="117">
        <v>3742.05</v>
      </c>
      <c r="AF86" s="117">
        <f t="shared" si="70"/>
        <v>2619.4349999999999</v>
      </c>
      <c r="AG86" s="470"/>
      <c r="AH86" s="470"/>
      <c r="AI86" s="125" t="str">
        <f t="shared" si="65"/>
        <v>NO CUMPLE</v>
      </c>
      <c r="AJ86" s="470"/>
      <c r="AK86" s="470"/>
      <c r="AL86" s="472"/>
      <c r="AM86" s="496"/>
      <c r="AN86" s="125" t="s">
        <v>75</v>
      </c>
      <c r="AO86" s="607"/>
      <c r="AP86" s="125" t="s">
        <v>74</v>
      </c>
      <c r="AQ86" s="490"/>
      <c r="AR86" s="522"/>
      <c r="AS86" s="519"/>
      <c r="AT86" s="209"/>
      <c r="AU86" s="611"/>
      <c r="AV86" s="543"/>
      <c r="AW86" s="561"/>
      <c r="AX86" s="561"/>
      <c r="AY86" s="19"/>
      <c r="CB86" s="29" t="str">
        <f>IFERROR(IF(COUNTIF(AF83:AF92,"")=10,"",IF(COUNTIF(E83:E92,"N/A")&gt;0,IF(AF86&gt;=CMEMM1,AF86,0),"N/A")),"")</f>
        <v>N/A</v>
      </c>
      <c r="CC86" s="4"/>
      <c r="CD86" s="4">
        <f>IFERROR(IF(COUNTIF(AF83:AF92,"")=10,"",IF(AF86="","",IF(AF86&gt;=CMEMM1,1,0))),"")</f>
        <v>0</v>
      </c>
      <c r="CE86" s="4" t="str">
        <f>B83&amp;"-0"&amp;4</f>
        <v>P09-04</v>
      </c>
      <c r="CF86" s="4">
        <f>IFERROR(INDEX('DESEMPATE Y DISCAPACIDAD'!$D$3:$D$450,MATCH(CE86,'DESEMPATE Y DISCAPACIDAD'!$C$3:$C$450,0)),"")</f>
        <v>0</v>
      </c>
      <c r="CG86" s="4">
        <f>IF(OR(CE86="",CF86=""),"",SUMIF(D83:D92,CF86,CD83:CD92))</f>
        <v>0</v>
      </c>
      <c r="CH86" s="4" t="str">
        <f t="shared" si="37"/>
        <v>NO CUMPLE</v>
      </c>
      <c r="CI86" s="4">
        <f t="shared" si="85"/>
        <v>0</v>
      </c>
      <c r="CJ86" s="4"/>
      <c r="CK86" s="4"/>
      <c r="CL86" s="4">
        <f t="shared" si="66"/>
        <v>1</v>
      </c>
      <c r="CM86" s="4">
        <f t="shared" si="67"/>
        <v>0</v>
      </c>
      <c r="CN86" s="4" t="str">
        <f t="shared" si="86"/>
        <v>COND. A</v>
      </c>
      <c r="CO86" s="4"/>
      <c r="CP86" s="4"/>
      <c r="CQ86" s="29" t="str">
        <f t="shared" si="78"/>
        <v>N/A</v>
      </c>
      <c r="CR86" s="29">
        <f t="shared" si="79"/>
        <v>2619.4349999999999</v>
      </c>
      <c r="CS86" s="4"/>
    </row>
    <row r="87" spans="1:97" ht="2" customHeight="1">
      <c r="B87" s="481"/>
      <c r="C87" s="118"/>
      <c r="D87" s="126" t="str">
        <f>+IFERROR(INDEX('DESEMPATE Y DISCAPACIDAD'!$D$3:$D$450,MATCH(C87,'DESEMPATE Y DISCAPACIDAD'!$C$3:$C$450,0)),"")</f>
        <v/>
      </c>
      <c r="E87" s="127" t="str">
        <f>IFERROR(IF(D87="","",IF(VLOOKUP(D87,'DESEMPATE Y DISCAPACIDAD'!D$3:$E$450,2,FALSE)=1,"N/A",IF(VLOOKUP(D87,'DESEMPATE Y DISCAPACIDAD'!D$3:$F$450,3,FALSE)="X","SI","NO"))),"")</f>
        <v/>
      </c>
      <c r="F87" s="148"/>
      <c r="G87" s="148"/>
      <c r="H87" s="148"/>
      <c r="I87" s="148"/>
      <c r="J87" s="125"/>
      <c r="K87" s="181"/>
      <c r="L87" s="181"/>
      <c r="M87" s="181"/>
      <c r="N87" s="125" t="str">
        <f t="shared" si="80"/>
        <v/>
      </c>
      <c r="O87" s="125" t="str">
        <f t="shared" si="81"/>
        <v/>
      </c>
      <c r="P87" s="125" t="str">
        <f t="shared" si="82"/>
        <v/>
      </c>
      <c r="Q87" s="125" t="str">
        <f t="shared" si="68"/>
        <v/>
      </c>
      <c r="R87" s="102"/>
      <c r="S87" s="149"/>
      <c r="T87" s="150"/>
      <c r="U87" s="125" t="str">
        <f t="shared" si="83"/>
        <v/>
      </c>
      <c r="V87" s="117" t="str">
        <f>IF(U87=2023,1160000,IFERROR(INDEX(SMMLV!$B$2:$B$101,MATCH(U87,SMMLV!$A$2:$A$101,0)),""))</f>
        <v/>
      </c>
      <c r="W87" s="117"/>
      <c r="X87" s="125"/>
      <c r="Y87" s="125"/>
      <c r="Z87" s="474"/>
      <c r="AA87" s="475"/>
      <c r="AB87" s="476"/>
      <c r="AC87" s="125" t="str">
        <f t="shared" si="84"/>
        <v/>
      </c>
      <c r="AD87" s="117" t="str">
        <f t="shared" si="69"/>
        <v/>
      </c>
      <c r="AE87" s="117" t="s">
        <v>894</v>
      </c>
      <c r="AF87" s="117" t="str">
        <f t="shared" si="70"/>
        <v/>
      </c>
      <c r="AG87" s="470"/>
      <c r="AH87" s="470"/>
      <c r="AI87" s="125" t="str">
        <f t="shared" si="65"/>
        <v/>
      </c>
      <c r="AJ87" s="470"/>
      <c r="AK87" s="470"/>
      <c r="AL87" s="472"/>
      <c r="AM87" s="496"/>
      <c r="AN87" s="125"/>
      <c r="AO87" s="607"/>
      <c r="AP87" s="125"/>
      <c r="AQ87" s="490"/>
      <c r="AR87" s="522"/>
      <c r="AS87" s="519"/>
      <c r="AT87" s="204"/>
      <c r="AU87" s="611"/>
      <c r="AV87" s="543"/>
      <c r="AW87" s="561"/>
      <c r="AX87" s="561"/>
      <c r="AY87" s="19"/>
      <c r="CB87" s="29" t="str">
        <f>IFERROR(IF(COUNTIF(AF83:AF92,"")=10,"",IF(COUNTIF(E83:E92,"N/A")&gt;0,IF(AF87&gt;=CMEMM1,AF87,0),"N/A")),"")</f>
        <v>N/A</v>
      </c>
      <c r="CC87" s="4"/>
      <c r="CD87" s="4" t="str">
        <f>IFERROR(IF(COUNTIF(AF83:AF92,"")=10,"",IF(AF87="","",IF(AF87&gt;=CMEMM1,1,0))),"")</f>
        <v/>
      </c>
      <c r="CE87" s="4" t="str">
        <f>B83&amp;"-0"&amp;5</f>
        <v>P09-05</v>
      </c>
      <c r="CF87" s="4">
        <f>IFERROR(INDEX('DESEMPATE Y DISCAPACIDAD'!$D$3:$D$450,MATCH(CE87,'DESEMPATE Y DISCAPACIDAD'!$C$3:$C$450,0)),"")</f>
        <v>0</v>
      </c>
      <c r="CG87" s="4">
        <f>IF(OR(CE87="",CF87=""),"",SUMIF(D83:D92,CF87,CD83:CD92))</f>
        <v>0</v>
      </c>
      <c r="CH87" s="4" t="str">
        <f t="shared" si="37"/>
        <v>NO CUMPLE</v>
      </c>
      <c r="CI87" s="4">
        <f t="shared" si="85"/>
        <v>0</v>
      </c>
      <c r="CJ87" s="4"/>
      <c r="CK87" s="4"/>
      <c r="CL87" s="4" t="str">
        <f t="shared" si="66"/>
        <v/>
      </c>
      <c r="CM87" s="4" t="str">
        <f t="shared" si="67"/>
        <v/>
      </c>
      <c r="CN87" s="4" t="str">
        <f t="shared" si="86"/>
        <v/>
      </c>
      <c r="CO87" s="4"/>
      <c r="CP87" s="4"/>
      <c r="CQ87" s="29" t="str">
        <f>IF(OR(AN86="",CB87=""),"",IF(AN86="NO",CB87,0))</f>
        <v>N/A</v>
      </c>
      <c r="CR87" s="29" t="str">
        <f>IF(OR(AN86="",AF87=""),"",IF(AN86="NO",AF87,0))</f>
        <v/>
      </c>
      <c r="CS87" s="4"/>
    </row>
    <row r="88" spans="1:97" ht="2" customHeight="1">
      <c r="B88" s="481"/>
      <c r="C88" s="118"/>
      <c r="D88" s="126" t="str">
        <f>+IFERROR(INDEX('DESEMPATE Y DISCAPACIDAD'!$D$3:$D$450,MATCH(C88,'DESEMPATE Y DISCAPACIDAD'!$C$3:$C$450,0)),"")</f>
        <v/>
      </c>
      <c r="E88" s="127" t="str">
        <f>IFERROR(IF(D88="","",IF(VLOOKUP(D88,'DESEMPATE Y DISCAPACIDAD'!D$3:$E$450,2,FALSE)=1,"N/A",IF(VLOOKUP(D88,'DESEMPATE Y DISCAPACIDAD'!D$3:$F$450,3,FALSE)="X","SI","NO"))),"")</f>
        <v/>
      </c>
      <c r="F88" s="125"/>
      <c r="G88" s="125"/>
      <c r="H88" s="125"/>
      <c r="I88" s="128"/>
      <c r="J88" s="125"/>
      <c r="K88" s="125"/>
      <c r="L88" s="125"/>
      <c r="M88" s="125"/>
      <c r="N88" s="125" t="str">
        <f t="shared" si="80"/>
        <v/>
      </c>
      <c r="O88" s="125" t="str">
        <f t="shared" si="81"/>
        <v/>
      </c>
      <c r="P88" s="125" t="str">
        <f t="shared" si="82"/>
        <v/>
      </c>
      <c r="Q88" s="125" t="str">
        <f t="shared" si="68"/>
        <v/>
      </c>
      <c r="R88" s="68"/>
      <c r="S88" s="129"/>
      <c r="T88" s="129"/>
      <c r="U88" s="125" t="str">
        <f t="shared" si="83"/>
        <v/>
      </c>
      <c r="V88" s="117" t="str">
        <f>IF(U88=2023,1160000,IFERROR(INDEX(SMMLV!$B$2:$B$101,MATCH(U88,SMMLV!$A$2:$A$101,0)),""))</f>
        <v/>
      </c>
      <c r="W88" s="117"/>
      <c r="X88" s="125"/>
      <c r="Y88" s="125"/>
      <c r="Z88" s="474"/>
      <c r="AA88" s="475"/>
      <c r="AB88" s="476"/>
      <c r="AC88" s="125" t="str">
        <f t="shared" si="84"/>
        <v/>
      </c>
      <c r="AD88" s="117" t="str">
        <f t="shared" si="69"/>
        <v/>
      </c>
      <c r="AE88" s="117" t="s">
        <v>894</v>
      </c>
      <c r="AF88" s="117" t="str">
        <f t="shared" si="70"/>
        <v/>
      </c>
      <c r="AG88" s="470"/>
      <c r="AH88" s="470"/>
      <c r="AI88" s="125" t="str">
        <f t="shared" si="65"/>
        <v/>
      </c>
      <c r="AJ88" s="470"/>
      <c r="AK88" s="470"/>
      <c r="AL88" s="472"/>
      <c r="AM88" s="496"/>
      <c r="AN88" s="125"/>
      <c r="AO88" s="607"/>
      <c r="AP88" s="125"/>
      <c r="AQ88" s="490"/>
      <c r="AR88" s="522"/>
      <c r="AS88" s="519"/>
      <c r="AT88" s="204"/>
      <c r="AU88" s="611"/>
      <c r="AV88" s="543"/>
      <c r="AW88" s="561"/>
      <c r="AX88" s="561"/>
      <c r="AY88" s="19"/>
      <c r="CB88" s="29" t="str">
        <f>IFERROR(IF(COUNTIF(AF83:AF92,"")=10,"",IF(COUNTIF(E83:E92,"N/A")&gt;0,IF(AF88&gt;=CMEMM1,AF88,0),"N/A")),"")</f>
        <v>N/A</v>
      </c>
      <c r="CC88" s="4"/>
      <c r="CD88" s="4" t="str">
        <f>IFERROR(IF(COUNTIF(AF83:AF92,"")=10,"",IF(AF88="","",IF(AF88&gt;=CMEMM1,1,0))),"")</f>
        <v/>
      </c>
      <c r="CE88" s="4" t="str">
        <f>B83&amp;"-0"&amp;6</f>
        <v>P09-06</v>
      </c>
      <c r="CF88" s="4">
        <f>IFERROR(INDEX('DESEMPATE Y DISCAPACIDAD'!$D$3:$D$450,MATCH(CE88,'DESEMPATE Y DISCAPACIDAD'!$C$3:$C$450,0)),"")</f>
        <v>0</v>
      </c>
      <c r="CG88" s="4">
        <f>IF(OR(CE88="",CF88=""),"",SUMIF(D83:D92,CF88,CD83:CD92))</f>
        <v>0</v>
      </c>
      <c r="CH88" s="4" t="str">
        <f t="shared" si="37"/>
        <v>NO CUMPLE</v>
      </c>
      <c r="CI88" s="4">
        <f t="shared" si="85"/>
        <v>0</v>
      </c>
      <c r="CJ88" s="4"/>
      <c r="CK88" s="4"/>
      <c r="CL88" s="4" t="str">
        <f t="shared" si="66"/>
        <v/>
      </c>
      <c r="CM88" s="4" t="str">
        <f t="shared" si="67"/>
        <v/>
      </c>
      <c r="CN88" s="4" t="str">
        <f t="shared" si="86"/>
        <v/>
      </c>
      <c r="CO88" s="4"/>
      <c r="CP88" s="4"/>
      <c r="CQ88" s="29" t="str">
        <f t="shared" si="78"/>
        <v/>
      </c>
      <c r="CR88" s="29" t="str">
        <f t="shared" si="79"/>
        <v/>
      </c>
      <c r="CS88" s="4"/>
    </row>
    <row r="89" spans="1:97" ht="2" customHeight="1">
      <c r="B89" s="481"/>
      <c r="C89" s="118"/>
      <c r="D89" s="126" t="str">
        <f>+IFERROR(INDEX('DESEMPATE Y DISCAPACIDAD'!$D$3:$D$450,MATCH(C89,'DESEMPATE Y DISCAPACIDAD'!$C$3:$C$450,0)),"")</f>
        <v/>
      </c>
      <c r="E89" s="127" t="str">
        <f>IFERROR(IF(D89="","",IF(VLOOKUP(D89,'DESEMPATE Y DISCAPACIDAD'!D$3:$E$450,2,FALSE)=1,"N/A",IF(VLOOKUP(D89,'DESEMPATE Y DISCAPACIDAD'!D$3:$F$450,3,FALSE)="X","SI","NO"))),"")</f>
        <v/>
      </c>
      <c r="F89" s="125"/>
      <c r="G89" s="125"/>
      <c r="H89" s="125"/>
      <c r="I89" s="128"/>
      <c r="J89" s="125"/>
      <c r="K89" s="125"/>
      <c r="L89" s="125"/>
      <c r="M89" s="125"/>
      <c r="N89" s="125" t="str">
        <f t="shared" si="80"/>
        <v/>
      </c>
      <c r="O89" s="125" t="str">
        <f t="shared" si="81"/>
        <v/>
      </c>
      <c r="P89" s="125" t="str">
        <f t="shared" si="82"/>
        <v/>
      </c>
      <c r="Q89" s="125" t="str">
        <f t="shared" si="68"/>
        <v/>
      </c>
      <c r="R89" s="68"/>
      <c r="S89" s="129"/>
      <c r="T89" s="129"/>
      <c r="U89" s="125" t="str">
        <f t="shared" si="83"/>
        <v/>
      </c>
      <c r="V89" s="117" t="str">
        <f>IF(U89=2023,1160000,IFERROR(INDEX(SMMLV!$B$2:$B$101,MATCH(U89,SMMLV!$A$2:$A$101,0)),""))</f>
        <v/>
      </c>
      <c r="W89" s="117"/>
      <c r="X89" s="125"/>
      <c r="Y89" s="125"/>
      <c r="Z89" s="474"/>
      <c r="AA89" s="475"/>
      <c r="AB89" s="476"/>
      <c r="AC89" s="125" t="str">
        <f t="shared" si="84"/>
        <v/>
      </c>
      <c r="AD89" s="117" t="str">
        <f t="shared" si="69"/>
        <v/>
      </c>
      <c r="AE89" s="117" t="s">
        <v>894</v>
      </c>
      <c r="AF89" s="117" t="str">
        <f t="shared" si="70"/>
        <v/>
      </c>
      <c r="AG89" s="470"/>
      <c r="AH89" s="470"/>
      <c r="AI89" s="125" t="str">
        <f t="shared" si="65"/>
        <v/>
      </c>
      <c r="AJ89" s="470"/>
      <c r="AK89" s="470"/>
      <c r="AL89" s="472"/>
      <c r="AM89" s="496"/>
      <c r="AN89" s="125"/>
      <c r="AO89" s="607"/>
      <c r="AP89" s="125"/>
      <c r="AQ89" s="490"/>
      <c r="AR89" s="522"/>
      <c r="AS89" s="519"/>
      <c r="AT89" s="204"/>
      <c r="AU89" s="611"/>
      <c r="AV89" s="543"/>
      <c r="AW89" s="561"/>
      <c r="AX89" s="561"/>
      <c r="AY89" s="19"/>
      <c r="CB89" s="29" t="str">
        <f>IFERROR(IF(COUNTIF(AF83:AF92,"")=10,"",IF(COUNTIF(E83:E92,"N/A")&gt;0,IF(AF89&gt;=CMEMM1,AF89,0),"N/A")),"")</f>
        <v>N/A</v>
      </c>
      <c r="CC89" s="4"/>
      <c r="CD89" s="4" t="str">
        <f>IFERROR(IF(COUNTIF(AF83:AF92,"")=10,"",IF(AF89="","",IF(AF89&gt;=CMEMM1,1,0))),"")</f>
        <v/>
      </c>
      <c r="CE89" s="4" t="str">
        <f>B83&amp;"-0"&amp;7</f>
        <v>P09-07</v>
      </c>
      <c r="CF89" s="4" t="str">
        <f>IFERROR(INDEX('DESEMPATE Y DISCAPACIDAD'!$D$3:$D$450,MATCH(CE89,'DESEMPATE Y DISCAPACIDAD'!$C$3:$C$450,0)),"")</f>
        <v/>
      </c>
      <c r="CG89" s="4" t="str">
        <f>IF(OR(CE89="",CF89=""),"",SUMIF(D83:D92,CF89,CD83:CD92))</f>
        <v/>
      </c>
      <c r="CH89" s="4" t="str">
        <f t="shared" si="37"/>
        <v/>
      </c>
      <c r="CI89" s="4" t="str">
        <f t="shared" si="85"/>
        <v/>
      </c>
      <c r="CJ89" s="4"/>
      <c r="CK89" s="4"/>
      <c r="CL89" s="4" t="str">
        <f t="shared" si="66"/>
        <v/>
      </c>
      <c r="CM89" s="4" t="str">
        <f t="shared" si="67"/>
        <v/>
      </c>
      <c r="CN89" s="4" t="str">
        <f t="shared" si="86"/>
        <v/>
      </c>
      <c r="CO89" s="4"/>
      <c r="CP89" s="4"/>
      <c r="CQ89" s="29" t="str">
        <f t="shared" si="78"/>
        <v/>
      </c>
      <c r="CR89" s="29" t="str">
        <f t="shared" si="79"/>
        <v/>
      </c>
      <c r="CS89" s="4"/>
    </row>
    <row r="90" spans="1:97" ht="2" customHeight="1">
      <c r="B90" s="481"/>
      <c r="C90" s="118"/>
      <c r="D90" s="126" t="str">
        <f>+IFERROR(INDEX('DESEMPATE Y DISCAPACIDAD'!$D$3:$D$450,MATCH(C90,'DESEMPATE Y DISCAPACIDAD'!$C$3:$C$450,0)),"")</f>
        <v/>
      </c>
      <c r="E90" s="127" t="str">
        <f>IFERROR(IF(D90="","",IF(VLOOKUP(D90,'DESEMPATE Y DISCAPACIDAD'!D$3:$E$450,2,FALSE)=1,"N/A",IF(VLOOKUP(D90,'DESEMPATE Y DISCAPACIDAD'!D$3:$F$450,3,FALSE)="X","SI","NO"))),"")</f>
        <v/>
      </c>
      <c r="F90" s="125"/>
      <c r="G90" s="125"/>
      <c r="H90" s="125"/>
      <c r="I90" s="128"/>
      <c r="J90" s="125"/>
      <c r="K90" s="125"/>
      <c r="L90" s="125"/>
      <c r="M90" s="125"/>
      <c r="N90" s="125" t="str">
        <f t="shared" si="80"/>
        <v/>
      </c>
      <c r="O90" s="125" t="str">
        <f t="shared" si="81"/>
        <v/>
      </c>
      <c r="P90" s="125" t="str">
        <f t="shared" si="82"/>
        <v/>
      </c>
      <c r="Q90" s="125" t="str">
        <f t="shared" si="68"/>
        <v/>
      </c>
      <c r="R90" s="68"/>
      <c r="S90" s="129"/>
      <c r="T90" s="129"/>
      <c r="U90" s="125" t="str">
        <f t="shared" si="83"/>
        <v/>
      </c>
      <c r="V90" s="117" t="str">
        <f>IF(U90=2023,1160000,IFERROR(INDEX(SMMLV!$B$2:$B$101,MATCH(U90,SMMLV!$A$2:$A$101,0)),""))</f>
        <v/>
      </c>
      <c r="W90" s="117"/>
      <c r="X90" s="125"/>
      <c r="Y90" s="125"/>
      <c r="Z90" s="474"/>
      <c r="AA90" s="475"/>
      <c r="AB90" s="476"/>
      <c r="AC90" s="125" t="str">
        <f t="shared" si="84"/>
        <v/>
      </c>
      <c r="AD90" s="117" t="str">
        <f t="shared" si="69"/>
        <v/>
      </c>
      <c r="AE90" s="117" t="s">
        <v>894</v>
      </c>
      <c r="AF90" s="117" t="str">
        <f t="shared" si="70"/>
        <v/>
      </c>
      <c r="AG90" s="470"/>
      <c r="AH90" s="470"/>
      <c r="AI90" s="125" t="str">
        <f t="shared" si="65"/>
        <v/>
      </c>
      <c r="AJ90" s="470"/>
      <c r="AK90" s="470"/>
      <c r="AL90" s="472"/>
      <c r="AM90" s="496"/>
      <c r="AN90" s="125"/>
      <c r="AO90" s="607"/>
      <c r="AP90" s="125"/>
      <c r="AQ90" s="490"/>
      <c r="AR90" s="522"/>
      <c r="AS90" s="519"/>
      <c r="AT90" s="204"/>
      <c r="AU90" s="611"/>
      <c r="AV90" s="543"/>
      <c r="AW90" s="561"/>
      <c r="AX90" s="561"/>
      <c r="AY90" s="19"/>
      <c r="CB90" s="29" t="str">
        <f>IFERROR(IF(COUNTIF(AF83:AF92,"")=10,"",IF(COUNTIF(E83:E92,"N/A")&gt;0,IF(AF90&gt;=CMEMM1,AF90,0),"N/A")),"")</f>
        <v>N/A</v>
      </c>
      <c r="CC90" s="4"/>
      <c r="CD90" s="4" t="str">
        <f>IFERROR(IF(COUNTIF(AF83:AF92,"")=10,"",IF(AF90="","",IF(AF90&gt;=CMEMM1,1,0))),"")</f>
        <v/>
      </c>
      <c r="CE90" s="4" t="str">
        <f>B83&amp;"-0"&amp;8</f>
        <v>P09-08</v>
      </c>
      <c r="CF90" s="4" t="str">
        <f>IFERROR(INDEX('DESEMPATE Y DISCAPACIDAD'!$D$3:$D$450,MATCH(CE90,'DESEMPATE Y DISCAPACIDAD'!$C$3:$C$450,0)),"")</f>
        <v/>
      </c>
      <c r="CG90" s="4" t="str">
        <f>IF(OR(CE90="",CF90=""),"",SUMIF(D83:D92,CF90,CD83:CD92))</f>
        <v/>
      </c>
      <c r="CH90" s="4" t="str">
        <f t="shared" si="37"/>
        <v/>
      </c>
      <c r="CI90" s="4" t="str">
        <f t="shared" si="85"/>
        <v/>
      </c>
      <c r="CJ90" s="4"/>
      <c r="CK90" s="4"/>
      <c r="CL90" s="4" t="str">
        <f t="shared" si="66"/>
        <v/>
      </c>
      <c r="CM90" s="4" t="str">
        <f t="shared" si="67"/>
        <v/>
      </c>
      <c r="CN90" s="4" t="str">
        <f t="shared" si="86"/>
        <v/>
      </c>
      <c r="CO90" s="4"/>
      <c r="CP90" s="4"/>
      <c r="CQ90" s="29" t="str">
        <f t="shared" si="78"/>
        <v/>
      </c>
      <c r="CR90" s="29" t="str">
        <f t="shared" si="79"/>
        <v/>
      </c>
      <c r="CS90" s="4"/>
    </row>
    <row r="91" spans="1:97" ht="2" customHeight="1">
      <c r="B91" s="481"/>
      <c r="C91" s="118"/>
      <c r="D91" s="126" t="str">
        <f>+IFERROR(INDEX('DESEMPATE Y DISCAPACIDAD'!$D$3:$D$450,MATCH(C91,'DESEMPATE Y DISCAPACIDAD'!$C$3:$C$450,0)),"")</f>
        <v/>
      </c>
      <c r="E91" s="127" t="str">
        <f>IFERROR(IF(D91="","",IF(VLOOKUP(D91,'DESEMPATE Y DISCAPACIDAD'!D$3:$E$450,2,FALSE)=1,"N/A",IF(VLOOKUP(D91,'DESEMPATE Y DISCAPACIDAD'!D$3:$F$450,3,FALSE)="X","SI","NO"))),"")</f>
        <v/>
      </c>
      <c r="F91" s="125"/>
      <c r="G91" s="125"/>
      <c r="H91" s="125"/>
      <c r="I91" s="128"/>
      <c r="J91" s="125"/>
      <c r="K91" s="125"/>
      <c r="L91" s="125"/>
      <c r="M91" s="125"/>
      <c r="N91" s="125" t="str">
        <f t="shared" si="80"/>
        <v/>
      </c>
      <c r="O91" s="125" t="str">
        <f t="shared" si="81"/>
        <v/>
      </c>
      <c r="P91" s="125" t="str">
        <f t="shared" si="82"/>
        <v/>
      </c>
      <c r="Q91" s="125" t="str">
        <f t="shared" si="68"/>
        <v/>
      </c>
      <c r="R91" s="68"/>
      <c r="S91" s="129"/>
      <c r="T91" s="129"/>
      <c r="U91" s="125" t="str">
        <f t="shared" si="83"/>
        <v/>
      </c>
      <c r="V91" s="117" t="str">
        <f>IF(U91=2023,1160000,IFERROR(INDEX(SMMLV!$B$2:$B$101,MATCH(U91,SMMLV!$A$2:$A$101,0)),""))</f>
        <v/>
      </c>
      <c r="W91" s="117"/>
      <c r="X91" s="125"/>
      <c r="Y91" s="125"/>
      <c r="Z91" s="474"/>
      <c r="AA91" s="475"/>
      <c r="AB91" s="476"/>
      <c r="AC91" s="125" t="str">
        <f t="shared" si="84"/>
        <v/>
      </c>
      <c r="AD91" s="117" t="str">
        <f t="shared" si="69"/>
        <v/>
      </c>
      <c r="AE91" s="117" t="s">
        <v>894</v>
      </c>
      <c r="AF91" s="117" t="str">
        <f t="shared" si="70"/>
        <v/>
      </c>
      <c r="AG91" s="470"/>
      <c r="AH91" s="470"/>
      <c r="AI91" s="125" t="str">
        <f t="shared" si="65"/>
        <v/>
      </c>
      <c r="AJ91" s="470"/>
      <c r="AK91" s="470"/>
      <c r="AL91" s="472"/>
      <c r="AM91" s="496"/>
      <c r="AN91" s="125"/>
      <c r="AO91" s="607"/>
      <c r="AP91" s="125"/>
      <c r="AQ91" s="490"/>
      <c r="AR91" s="522"/>
      <c r="AS91" s="519"/>
      <c r="AT91" s="204"/>
      <c r="AU91" s="611"/>
      <c r="AV91" s="543"/>
      <c r="AW91" s="561"/>
      <c r="AX91" s="561"/>
      <c r="AY91" s="19"/>
      <c r="CB91" s="29" t="str">
        <f>IFERROR(IF(COUNTIF(AF83:AF92,"")=10,"",IF(COUNTIF(E83:E92,"N/A")&gt;0,IF(AF91&gt;=CMEMM1,AF91,0),"N/A")),"")</f>
        <v>N/A</v>
      </c>
      <c r="CC91" s="4"/>
      <c r="CD91" s="4" t="str">
        <f>IFERROR(IF(COUNTIF(AF83:AF92,"")=10,"",IF(AF91="","",IF(AF91&gt;=CMEMM1,1,0))),"")</f>
        <v/>
      </c>
      <c r="CE91" s="4" t="str">
        <f>B83&amp;"-0"&amp;9</f>
        <v>P09-09</v>
      </c>
      <c r="CF91" s="4" t="str">
        <f>IFERROR(INDEX('DESEMPATE Y DISCAPACIDAD'!$D$3:$D$450,MATCH(CE91,'DESEMPATE Y DISCAPACIDAD'!$C$3:$C$450,0)),"")</f>
        <v/>
      </c>
      <c r="CG91" s="4" t="str">
        <f>IF(OR(CE91="",CF91=""),"",SUMIF(D83:D92,CF91,CD83:CD92))</f>
        <v/>
      </c>
      <c r="CH91" s="4" t="str">
        <f t="shared" si="37"/>
        <v/>
      </c>
      <c r="CI91" s="4" t="str">
        <f t="shared" si="85"/>
        <v/>
      </c>
      <c r="CJ91" s="4"/>
      <c r="CK91" s="4"/>
      <c r="CL91" s="4" t="str">
        <f t="shared" si="66"/>
        <v/>
      </c>
      <c r="CM91" s="4" t="str">
        <f t="shared" si="67"/>
        <v/>
      </c>
      <c r="CN91" s="4" t="str">
        <f t="shared" si="86"/>
        <v/>
      </c>
      <c r="CO91" s="4"/>
      <c r="CP91" s="4"/>
      <c r="CQ91" s="29" t="str">
        <f t="shared" si="78"/>
        <v/>
      </c>
      <c r="CR91" s="29" t="str">
        <f t="shared" si="79"/>
        <v/>
      </c>
      <c r="CS91" s="4"/>
    </row>
    <row r="92" spans="1:97" ht="2" customHeight="1" thickBot="1">
      <c r="B92" s="482"/>
      <c r="C92" s="130"/>
      <c r="D92" s="131" t="str">
        <f>+IFERROR(INDEX('DESEMPATE Y DISCAPACIDAD'!$D$3:$D$450,MATCH(C92,'DESEMPATE Y DISCAPACIDAD'!$C$3:$C$450,0)),"")</f>
        <v/>
      </c>
      <c r="E92" s="132" t="str">
        <f>IFERROR(IF(D92="","",IF(VLOOKUP(D92,'DESEMPATE Y DISCAPACIDAD'!D$3:$E$450,2,FALSE)=1,"N/A",IF(VLOOKUP(D92,'DESEMPATE Y DISCAPACIDAD'!D$3:$F$450,3,FALSE)="X","SI","NO"))),"")</f>
        <v/>
      </c>
      <c r="F92" s="133"/>
      <c r="G92" s="133"/>
      <c r="H92" s="133"/>
      <c r="I92" s="134"/>
      <c r="J92" s="133"/>
      <c r="K92" s="133"/>
      <c r="L92" s="133"/>
      <c r="M92" s="133"/>
      <c r="N92" s="133" t="str">
        <f t="shared" si="80"/>
        <v/>
      </c>
      <c r="O92" s="133" t="str">
        <f t="shared" si="81"/>
        <v/>
      </c>
      <c r="P92" s="133" t="str">
        <f t="shared" si="82"/>
        <v/>
      </c>
      <c r="Q92" s="133" t="str">
        <f t="shared" si="68"/>
        <v/>
      </c>
      <c r="R92" s="104"/>
      <c r="S92" s="135"/>
      <c r="T92" s="135"/>
      <c r="U92" s="133" t="str">
        <f t="shared" si="83"/>
        <v/>
      </c>
      <c r="V92" s="136" t="str">
        <f>IF(U92=2023,1160000,IFERROR(INDEX(SMMLV!$B$2:$B$101,MATCH(U92,SMMLV!$A$2:$A$101,0)),""))</f>
        <v/>
      </c>
      <c r="W92" s="136"/>
      <c r="X92" s="133"/>
      <c r="Y92" s="133"/>
      <c r="Z92" s="487"/>
      <c r="AA92" s="488"/>
      <c r="AB92" s="489"/>
      <c r="AC92" s="133" t="str">
        <f t="shared" si="84"/>
        <v/>
      </c>
      <c r="AD92" s="136" t="str">
        <f t="shared" si="69"/>
        <v/>
      </c>
      <c r="AE92" s="136" t="s">
        <v>894</v>
      </c>
      <c r="AF92" s="136" t="str">
        <f t="shared" si="70"/>
        <v/>
      </c>
      <c r="AG92" s="471"/>
      <c r="AH92" s="471"/>
      <c r="AI92" s="133" t="str">
        <f t="shared" si="65"/>
        <v/>
      </c>
      <c r="AJ92" s="471"/>
      <c r="AK92" s="471"/>
      <c r="AL92" s="473"/>
      <c r="AM92" s="497"/>
      <c r="AN92" s="133"/>
      <c r="AO92" s="608"/>
      <c r="AP92" s="133"/>
      <c r="AQ92" s="491"/>
      <c r="AR92" s="523"/>
      <c r="AS92" s="520"/>
      <c r="AT92" s="206"/>
      <c r="AU92" s="612"/>
      <c r="AV92" s="544"/>
      <c r="AW92" s="562"/>
      <c r="AX92" s="562"/>
      <c r="AY92" s="19"/>
      <c r="CB92" s="29" t="str">
        <f>IFERROR(IF(COUNTIF(AF83:AF92,"")=10,"",IF(COUNTIF(E83:E92,"N/A")&gt;0,IF(AF92&gt;=CMEMM1,AF92,0),"N/A")),"")</f>
        <v>N/A</v>
      </c>
      <c r="CC92" s="4"/>
      <c r="CD92" s="4" t="str">
        <f>IFERROR(IF(COUNTIF(AF83:AF92,"")=10,"",IF(AF92="","",IF(AF92&gt;=CMEMM1,1,0))),"")</f>
        <v/>
      </c>
      <c r="CE92" s="4" t="str">
        <f>B83&amp;"-"&amp;10</f>
        <v>P09-10</v>
      </c>
      <c r="CF92" s="4" t="str">
        <f>IFERROR(INDEX('DESEMPATE Y DISCAPACIDAD'!$D$3:$D$450,MATCH(CE92,'DESEMPATE Y DISCAPACIDAD'!$C$3:$C$450,0)),"")</f>
        <v/>
      </c>
      <c r="CG92" s="4" t="str">
        <f>IF(OR(CE92="",CF92=""),"",SUMIF(D83:D92,CF92,CD83:CD92))</f>
        <v/>
      </c>
      <c r="CH92" s="4" t="str">
        <f t="shared" si="37"/>
        <v/>
      </c>
      <c r="CI92" s="4" t="str">
        <f t="shared" si="85"/>
        <v/>
      </c>
      <c r="CJ92" s="4"/>
      <c r="CK92" s="4"/>
      <c r="CL92" s="4" t="str">
        <f t="shared" si="66"/>
        <v/>
      </c>
      <c r="CM92" s="4" t="str">
        <f t="shared" si="67"/>
        <v/>
      </c>
      <c r="CN92" s="4" t="str">
        <f t="shared" si="86"/>
        <v/>
      </c>
      <c r="CO92" s="4"/>
      <c r="CP92" s="4"/>
      <c r="CQ92" s="29" t="str">
        <f t="shared" si="78"/>
        <v/>
      </c>
      <c r="CR92" s="29" t="str">
        <f t="shared" si="79"/>
        <v/>
      </c>
      <c r="CS92" s="4"/>
    </row>
    <row r="93" spans="1:97" ht="45" customHeight="1">
      <c r="A93" s="4" t="str">
        <f>"A"&amp;B93</f>
        <v>AP10</v>
      </c>
      <c r="B93" s="480" t="s">
        <v>131</v>
      </c>
      <c r="C93" s="108" t="s">
        <v>185</v>
      </c>
      <c r="D93" s="119" t="str">
        <f>+IFERROR(INDEX('DESEMPATE Y DISCAPACIDAD'!$D$3:$D$450,MATCH(C93,'DESEMPATE Y DISCAPACIDAD'!$C$3:$C$450,0)),"")</f>
        <v>PROYECTOS E INTERVENTORIAS S.A.S.</v>
      </c>
      <c r="E93" s="120" t="str">
        <f>IFERROR(IF(D93="","",IF(VLOOKUP(D93,'DESEMPATE Y DISCAPACIDAD'!D$3:$E$450,2,FALSE)=1,"N/A",IF(VLOOKUP(D93,'DESEMPATE Y DISCAPACIDAD'!D$3:$F$450,3,FALSE)="X","SI","NO"))),"")</f>
        <v>NO</v>
      </c>
      <c r="F93" s="179" t="s">
        <v>940</v>
      </c>
      <c r="G93" s="179" t="s">
        <v>660</v>
      </c>
      <c r="H93" s="179" t="s">
        <v>941</v>
      </c>
      <c r="I93" s="239" t="s">
        <v>942</v>
      </c>
      <c r="J93" s="179" t="s">
        <v>74</v>
      </c>
      <c r="K93" s="606" t="s">
        <v>74</v>
      </c>
      <c r="L93" s="606" t="s">
        <v>74</v>
      </c>
      <c r="M93" s="606" t="s">
        <v>74</v>
      </c>
      <c r="N93" s="121" t="str">
        <f>IFERROR(IF(OR(J93="",K93=""),"",IF(J93="NO","NO",K93)),"")</f>
        <v>SI</v>
      </c>
      <c r="O93" s="121" t="str">
        <f>IFERROR(IF(OR(J93="",L93=""),"",IF(J93="NO","NO",L93)),"")</f>
        <v>SI</v>
      </c>
      <c r="P93" s="121" t="str">
        <f>IFERROR(IF(OR(J93="",M93=""),"",IF(J93="NO","NO",M93)),"")</f>
        <v>SI</v>
      </c>
      <c r="Q93" s="121" t="str">
        <f t="shared" si="68"/>
        <v>SI</v>
      </c>
      <c r="R93" s="103">
        <v>0.7</v>
      </c>
      <c r="S93" s="123">
        <v>42293</v>
      </c>
      <c r="T93" s="123">
        <v>45306</v>
      </c>
      <c r="U93" s="121">
        <f>IFERROR(IF(T93="","",YEAR(T93)),"")</f>
        <v>2024</v>
      </c>
      <c r="V93" s="124">
        <v>1300000</v>
      </c>
      <c r="W93" s="124">
        <v>49232893470.529999</v>
      </c>
      <c r="X93" s="121" t="s">
        <v>671</v>
      </c>
      <c r="Y93" s="121">
        <v>141</v>
      </c>
      <c r="Z93" s="500" t="s">
        <v>74</v>
      </c>
      <c r="AA93" s="501"/>
      <c r="AB93" s="502"/>
      <c r="AC93" s="121" t="str">
        <f>IFERROR(IF(Y93="","",IF(ISNUMBER(Y93),IF(COUNTIF(Z93,"SI")&gt;0,"SI","NO"),Y93)),"")</f>
        <v>SI</v>
      </c>
      <c r="AD93" s="124">
        <f t="shared" si="69"/>
        <v>49232893470.529999</v>
      </c>
      <c r="AE93" s="124">
        <f t="shared" ref="AE93:AE94" si="87">IFERROR(IF(OR(V93="",AD93=""),"",ROUND(AD93/V93,2)),"")</f>
        <v>37871.46</v>
      </c>
      <c r="AF93" s="124">
        <f t="shared" si="70"/>
        <v>26510.021999999997</v>
      </c>
      <c r="AG93" s="486" t="str">
        <f>IFERROR(IF(COUNTIF(AF93:AF102,"")=10,"",IF(COUNTIF(E93:E102,"N/A")&gt;0,IF(SUM(CB93:CB102)&gt;=CMEM1,"CUMPLE","NO CUMPLE"),IF(SUM(AF93:AF102)&gt;=CMEM1,"CUMPLE","NO CUMPLE"))),"")</f>
        <v>CUMPLE</v>
      </c>
      <c r="AH93" s="486" t="str">
        <f>IF(COUNTIF(AF93:AF102,"")=10,"",IF(SUMIF(C93:C102,C93,AF93:AF102)&gt;=CMLM1,"CUMPLE",IF(SUMIF(C93:C102,C94,AF93:AF102)&gt;=CMLM1,"CUMPLE",IF(SUMIF(C93:C102,C95,AF93:AF102)&gt;=CMLM1,"CUMPLE",IF(SUMIF(C93:C102,C96,AF93:AF102)&gt;=CMLM1,"CUMPLE",IF(SUMIF(C93:C102,C97,AF93:AF102)&gt;=CMLM1,"CUMPLE",IF(SUMIF(C93:C102,C98,AF93:AF102)&gt;=CMLM1,"CUMPLE",IF(SUMIF(C93:C102,C99,AF93:AF102)&gt;=CMLM1,"CUMPLE",IF(SUMIF(C93:C102,C100,AF93:AF102)&gt;=CMLM1,"CUMPLE",IF(SUMIF(C93:C102,C101,AF93:AF102)&gt;=CMLM1,"CUMPLE",IF(SUMIF(C93:C102,C102,AF93:AF102)&gt;=CMLM1,"CUMPLE","NO CUMPLE")))))))))))</f>
        <v>CUMPLE</v>
      </c>
      <c r="AI93" s="121" t="str">
        <f t="shared" si="65"/>
        <v>CUMPLE</v>
      </c>
      <c r="AJ93" s="469" t="str">
        <f>IFERROR(IF(COUNTIF(AF93:AF102,"")=10,"",IF(COUNTIF(E93:E102,"N/A")&gt;0,"N/A",CJ93)),"")</f>
        <v>CUMPLE</v>
      </c>
      <c r="AK93" s="469" t="str">
        <f>IFERROR(IF(AND(COUNTIF(N93:N102,"SI")&gt;=1,COUNTIF(O93:O102,"SI")&gt;=1,COUNTIF(P93:P102,"SI")&gt;=1,COUNTIF(J93:J102,"SI")&lt;=10,CO93="CUMPLE"),"CUMPLE","NO CUMPLE"),"")</f>
        <v>CUMPLE</v>
      </c>
      <c r="AL93" s="527" t="s">
        <v>77</v>
      </c>
      <c r="AM93" s="495">
        <f>IFERROR(IF(B93&lt;&gt;"",IF(VLOOKUP(B93,'DESEMPATE Y DISCAPACIDAD'!$A$3:$Q$450,10,FALSE)="","",VLOOKUP(B93,'DESEMPATE Y DISCAPACIDAD'!$A$3:$Q$450,10,FALSE)+6),""),"")</f>
        <v>8</v>
      </c>
      <c r="AN93" s="606" t="s">
        <v>75</v>
      </c>
      <c r="AO93" s="498" t="s">
        <v>74</v>
      </c>
      <c r="AP93" s="606" t="s">
        <v>74</v>
      </c>
      <c r="AQ93" s="498">
        <f>IFERROR(IF(COUNTIF(AP93:AP102,"")=10,"",IF(AO93="NO",0,COUNTIF(AP93:AP102,"SI"))),"")</f>
        <v>4</v>
      </c>
      <c r="AR93" s="599">
        <f>IFERROR(IF(COUNTIF(AF93:AF102,"")=10,"",IF(AO93="NO",0,IF(COUNTIF(E93:E102,"N/A")&gt;0,SUM(CQ93:CQ102),SUM(CR93:CR102)))),"")</f>
        <v>62189.716499999995</v>
      </c>
      <c r="AS93" s="586">
        <f>IFERROR(IF(OR(COUNTIF(AF93:AF102,"")=10,AQ93="",AR93=""),"",IF(AO93="NO",0,AR93/AQ93)),"")</f>
        <v>15547.429124999999</v>
      </c>
      <c r="AT93" s="210"/>
      <c r="AU93" s="613" t="s">
        <v>930</v>
      </c>
      <c r="AV93" s="616" t="s">
        <v>931</v>
      </c>
      <c r="AW93" s="619" t="s">
        <v>1357</v>
      </c>
      <c r="AX93" s="619" t="s">
        <v>1357</v>
      </c>
      <c r="AY93" s="19"/>
      <c r="CB93" s="29" t="str">
        <f>IFERROR(IF(COUNTIF(AF93:AF102,"")=10,"",IF(COUNTIF(E93:E102,"N/A")&gt;0,IF(AF93&gt;=CMEMM1,AF93,0),"N/A")),"")</f>
        <v>N/A</v>
      </c>
      <c r="CC93" s="4"/>
      <c r="CD93" s="4">
        <f>IFERROR(IF(COUNTIF(AF93:AF102,"")=10,"",IF(AF93="","",IF(AF93&gt;=CMEMM1,1,0))),"")</f>
        <v>1</v>
      </c>
      <c r="CE93" s="4" t="str">
        <f>B93&amp;"-0"&amp;1</f>
        <v>P10-01</v>
      </c>
      <c r="CF93" s="4" t="str">
        <f>IFERROR(INDEX('DESEMPATE Y DISCAPACIDAD'!$D$3:$D$450,MATCH(CE93,'DESEMPATE Y DISCAPACIDAD'!$C$3:$C$450,0)),"")</f>
        <v>PROYECTOS E INTERVENTORIAS S.A.S.</v>
      </c>
      <c r="CG93" s="4">
        <f>IF(OR(CE93="",CF93=""),"",SUMIF(D93:D102,CF93,CD93:CD102))</f>
        <v>2</v>
      </c>
      <c r="CH93" s="4" t="str">
        <f t="shared" si="37"/>
        <v>CUMPLE</v>
      </c>
      <c r="CI93" s="4">
        <f>IF(CF93="","",IF(ISTEXT(CF93),1,0))</f>
        <v>1</v>
      </c>
      <c r="CJ93" s="4" t="str">
        <f>IF(OR(CE93="",CF93="",CG93="",CH93="",CI93=""),"",IF(COUNTIF(CH93:CH102,"CUMPLE")=COUNTIF(CI93:CI102,1),"CUMPLE","NO CUMPLE"))</f>
        <v>CUMPLE</v>
      </c>
      <c r="CK93" s="4"/>
      <c r="CL93" s="4">
        <f t="shared" si="66"/>
        <v>1</v>
      </c>
      <c r="CM93" s="4">
        <f t="shared" si="67"/>
        <v>1</v>
      </c>
      <c r="CN93" s="4" t="str">
        <f>IF(OR(CL93="",CM93=""),"",IF(AND(CL93=0,CM93=0),"N/A",IF(AND(CL93=1,CM93=0),"COND. A",IF(AND(CL93=0,CM93=1),"COND. B",IF(AND(CL93=1,CM93=1),"COND. A Y B","")))))</f>
        <v>COND. A Y B</v>
      </c>
      <c r="CO93" s="4" t="str">
        <f>IF(COUNTIF(CN93:CN102,"N/A")=10,"NO CUMPLE",IF(COUNTIF(CN93:CN102,"COND. A Y B")&gt;1,"CUMPLE",IF(AND(COUNTIF(CN93:CN102,"COND. A")&gt;0,COUNTIF(CN93:CN102,"COND. B")&gt;0),"CUMPLE",IF(AND(COUNTIF(CN93:CN102,"COND. A Y B")&gt;0,COUNTIF(CN93:CN102,"COND. A")&gt;0),"CUMPLE",IF(AND(COUNTIF(CN93:CN102,"COND. A Y B")&gt;0,COUNTIF(CN93:CN102,"COND. B")&gt;0),"CUMPLE","NO CUMPLE")))))</f>
        <v>CUMPLE</v>
      </c>
      <c r="CP93" s="4"/>
      <c r="CQ93" s="29" t="str">
        <f t="shared" si="78"/>
        <v>N/A</v>
      </c>
      <c r="CR93" s="29">
        <f t="shared" si="79"/>
        <v>26510.021999999997</v>
      </c>
      <c r="CS93" s="4"/>
    </row>
    <row r="94" spans="1:97" ht="45" customHeight="1">
      <c r="B94" s="481"/>
      <c r="C94" s="118" t="s">
        <v>186</v>
      </c>
      <c r="D94" s="119" t="str">
        <f>+IFERROR(INDEX('DESEMPATE Y DISCAPACIDAD'!$D$3:$D$450,MATCH(C94,'DESEMPATE Y DISCAPACIDAD'!$C$3:$C$450,0)),"")</f>
        <v>INESAS</v>
      </c>
      <c r="E94" s="120" t="str">
        <f>IFERROR(IF(D94="","",IF(VLOOKUP(D94,'DESEMPATE Y DISCAPACIDAD'!D$3:$E$450,2,FALSE)=1,"N/A",IF(VLOOKUP(D94,'DESEMPATE Y DISCAPACIDAD'!D$3:$F$450,3,FALSE)="X","SI","NO"))),"")</f>
        <v>NO</v>
      </c>
      <c r="F94" s="179" t="s">
        <v>940</v>
      </c>
      <c r="G94" s="3" t="s">
        <v>660</v>
      </c>
      <c r="H94" s="179" t="s">
        <v>941</v>
      </c>
      <c r="I94" s="239" t="s">
        <v>942</v>
      </c>
      <c r="J94" s="179" t="s">
        <v>74</v>
      </c>
      <c r="K94" s="575"/>
      <c r="L94" s="575"/>
      <c r="M94" s="575"/>
      <c r="N94" s="121" t="str">
        <f t="shared" ref="N94:N103" si="88">IFERROR(IF(OR(J94="",K94=""),"",IF(J94="NO","NO",K94)),"")</f>
        <v/>
      </c>
      <c r="O94" s="121" t="str">
        <f t="shared" ref="O94:O103" si="89">IFERROR(IF(OR(J94="",L94=""),"",IF(J94="NO","NO",L94)),"")</f>
        <v/>
      </c>
      <c r="P94" s="121" t="str">
        <f t="shared" ref="P94:P103" si="90">IFERROR(IF(OR(J94="",M94=""),"",IF(J94="NO","NO",M94)),"")</f>
        <v/>
      </c>
      <c r="Q94" s="121" t="str">
        <f t="shared" si="68"/>
        <v>SI</v>
      </c>
      <c r="R94" s="103">
        <v>0.3</v>
      </c>
      <c r="S94" s="123">
        <v>42293</v>
      </c>
      <c r="T94" s="123">
        <v>45306</v>
      </c>
      <c r="U94" s="121">
        <f t="shared" ref="U94:U102" si="91">IFERROR(IF(T94="","",YEAR(T94)),"")</f>
        <v>2024</v>
      </c>
      <c r="V94" s="124">
        <v>1300000</v>
      </c>
      <c r="W94" s="117">
        <v>49232893470.529999</v>
      </c>
      <c r="X94" s="125" t="s">
        <v>671</v>
      </c>
      <c r="Y94" s="125">
        <v>49</v>
      </c>
      <c r="Z94" s="474" t="s">
        <v>74</v>
      </c>
      <c r="AA94" s="475"/>
      <c r="AB94" s="476"/>
      <c r="AC94" s="125" t="str">
        <f t="shared" ref="AC94:AC102" si="92">IFERROR(IF(Y94="","",IF(ISNUMBER(Y94),IF(COUNTIF(Z94,"SI")&gt;0,"SI","NO"),Y94)),"")</f>
        <v>SI</v>
      </c>
      <c r="AD94" s="117">
        <f t="shared" si="69"/>
        <v>49232893470.529999</v>
      </c>
      <c r="AE94" s="117">
        <f t="shared" si="87"/>
        <v>37871.46</v>
      </c>
      <c r="AF94" s="117">
        <f t="shared" si="70"/>
        <v>11361.438</v>
      </c>
      <c r="AG94" s="470"/>
      <c r="AH94" s="470"/>
      <c r="AI94" s="125" t="str">
        <f t="shared" si="65"/>
        <v>CUMPLE</v>
      </c>
      <c r="AJ94" s="470"/>
      <c r="AK94" s="470"/>
      <c r="AL94" s="527"/>
      <c r="AM94" s="496"/>
      <c r="AN94" s="575"/>
      <c r="AO94" s="498"/>
      <c r="AP94" s="575"/>
      <c r="AQ94" s="498"/>
      <c r="AR94" s="600"/>
      <c r="AS94" s="587"/>
      <c r="AT94" s="207"/>
      <c r="AU94" s="614"/>
      <c r="AV94" s="617"/>
      <c r="AW94" s="620"/>
      <c r="AX94" s="620"/>
      <c r="AY94" s="19"/>
      <c r="CB94" s="29" t="str">
        <f>IFERROR(IF(COUNTIF(AF93:AF102,"")=10,"",IF(COUNTIF(E93:E102,"N/A")&gt;0,IF(AF94&gt;=CMEMM1,AF94,0),"N/A")),"")</f>
        <v>N/A</v>
      </c>
      <c r="CC94" s="4"/>
      <c r="CD94" s="4">
        <f>IFERROR(IF(COUNTIF(AF93:AF102,"")=10,"",IF(AF94="","",IF(AF94&gt;=CMEMM1,1,0))),"")</f>
        <v>1</v>
      </c>
      <c r="CE94" s="4" t="str">
        <f>B93&amp;"-0"&amp;2</f>
        <v>P10-02</v>
      </c>
      <c r="CF94" s="4" t="str">
        <f>IFERROR(INDEX('DESEMPATE Y DISCAPACIDAD'!$D$3:$D$450,MATCH(CE94,'DESEMPATE Y DISCAPACIDAD'!$C$3:$C$450,0)),"")</f>
        <v>INESAS</v>
      </c>
      <c r="CG94" s="4">
        <f>IF(OR(CE94="",CF94=""),"",SUMIF(D93:D102,CF94,CD93:CD102))</f>
        <v>2</v>
      </c>
      <c r="CH94" s="4" t="str">
        <f t="shared" si="37"/>
        <v>CUMPLE</v>
      </c>
      <c r="CI94" s="4">
        <f t="shared" ref="CI94:CI102" si="93">IF(CF94="","",IF(ISTEXT(CF94),1,0))</f>
        <v>1</v>
      </c>
      <c r="CJ94" s="4"/>
      <c r="CK94" s="4"/>
      <c r="CL94" s="4" t="str">
        <f t="shared" si="66"/>
        <v/>
      </c>
      <c r="CM94" s="4" t="str">
        <f t="shared" si="67"/>
        <v/>
      </c>
      <c r="CN94" s="4" t="str">
        <f t="shared" ref="CN94:CN102" si="94">IF(OR(CL94="",CM94=""),"",IF(AND(CL94=0,CM94=0),"N/A",IF(AND(CL94=1,CM94=0),"COND. A",IF(AND(CL94=0,CM94=1),"COND. B",IF(AND(CL94=1,CM94=1),"COND. A Y B","")))))</f>
        <v/>
      </c>
      <c r="CO94" s="4"/>
      <c r="CP94" s="4"/>
      <c r="CQ94" s="29" t="str">
        <f t="shared" si="78"/>
        <v/>
      </c>
      <c r="CR94" s="29">
        <f>IF(OR(AN93="",AF94=""),"",IF(AN93="NO",AF94,0))</f>
        <v>11361.438</v>
      </c>
      <c r="CS94" s="4"/>
    </row>
    <row r="95" spans="1:97" ht="45" customHeight="1">
      <c r="B95" s="481"/>
      <c r="C95" s="118" t="s">
        <v>185</v>
      </c>
      <c r="D95" s="126" t="str">
        <f>+IFERROR(INDEX('DESEMPATE Y DISCAPACIDAD'!$D$3:$D$450,MATCH(C95,'DESEMPATE Y DISCAPACIDAD'!$C$3:$C$450,0)),"")</f>
        <v>PROYECTOS E INTERVENTORIAS S.A.S.</v>
      </c>
      <c r="E95" s="127" t="str">
        <f>IFERROR(IF(D95="","",IF(VLOOKUP(D95,'DESEMPATE Y DISCAPACIDAD'!D$3:$E$450,2,FALSE)=1,"N/A",IF(VLOOKUP(D95,'DESEMPATE Y DISCAPACIDAD'!D$3:$F$450,3,FALSE)="X","SI","NO"))),"")</f>
        <v>NO</v>
      </c>
      <c r="F95" s="179" t="s">
        <v>687</v>
      </c>
      <c r="G95" s="179" t="s">
        <v>660</v>
      </c>
      <c r="H95" s="179" t="s">
        <v>943</v>
      </c>
      <c r="I95" s="239" t="s">
        <v>944</v>
      </c>
      <c r="J95" s="179" t="s">
        <v>74</v>
      </c>
      <c r="K95" s="121" t="s">
        <v>75</v>
      </c>
      <c r="L95" s="121" t="s">
        <v>75</v>
      </c>
      <c r="M95" s="121" t="s">
        <v>74</v>
      </c>
      <c r="N95" s="125" t="str">
        <f t="shared" si="88"/>
        <v>NO</v>
      </c>
      <c r="O95" s="125" t="str">
        <f t="shared" si="89"/>
        <v>NO</v>
      </c>
      <c r="P95" s="125" t="str">
        <f t="shared" si="90"/>
        <v>SI</v>
      </c>
      <c r="Q95" s="125" t="str">
        <f t="shared" si="68"/>
        <v>SI</v>
      </c>
      <c r="R95" s="68">
        <v>0.7</v>
      </c>
      <c r="S95" s="129">
        <v>39860</v>
      </c>
      <c r="T95" s="129">
        <v>41337</v>
      </c>
      <c r="U95" s="125">
        <f t="shared" si="91"/>
        <v>2013</v>
      </c>
      <c r="V95" s="117">
        <f>IF(U95=2023,1160000,IFERROR(INDEX(SMMLV!$B$2:$B$101,MATCH(U95,SMMLV!$A$2:$A$101,0)),""))</f>
        <v>589500</v>
      </c>
      <c r="W95" s="124" t="s">
        <v>670</v>
      </c>
      <c r="X95" s="121" t="s">
        <v>671</v>
      </c>
      <c r="Y95" s="125">
        <v>70</v>
      </c>
      <c r="Z95" s="474" t="s">
        <v>74</v>
      </c>
      <c r="AA95" s="475"/>
      <c r="AB95" s="476"/>
      <c r="AC95" s="125" t="str">
        <f t="shared" si="92"/>
        <v>SI</v>
      </c>
      <c r="AD95" s="117" t="str">
        <f t="shared" si="69"/>
        <v>N/A</v>
      </c>
      <c r="AE95" s="117">
        <v>22320.54</v>
      </c>
      <c r="AF95" s="117">
        <f t="shared" si="70"/>
        <v>15624.377999999999</v>
      </c>
      <c r="AG95" s="470"/>
      <c r="AH95" s="470"/>
      <c r="AI95" s="125" t="str">
        <f t="shared" si="65"/>
        <v>CUMPLE</v>
      </c>
      <c r="AJ95" s="470"/>
      <c r="AK95" s="470"/>
      <c r="AL95" s="527"/>
      <c r="AM95" s="496"/>
      <c r="AN95" s="3" t="s">
        <v>75</v>
      </c>
      <c r="AO95" s="498"/>
      <c r="AP95" s="3" t="s">
        <v>74</v>
      </c>
      <c r="AQ95" s="498"/>
      <c r="AR95" s="600"/>
      <c r="AS95" s="587"/>
      <c r="AT95" s="207"/>
      <c r="AU95" s="614"/>
      <c r="AV95" s="617"/>
      <c r="AW95" s="620"/>
      <c r="AX95" s="620"/>
      <c r="AY95" s="19"/>
      <c r="CB95" s="29" t="str">
        <f>IFERROR(IF(COUNTIF(AF93:AF102,"")=10,"",IF(COUNTIF(E93:E102,"N/A")&gt;0,IF(AF95&gt;=CMEMM1,AF95,0),"N/A")),"")</f>
        <v>N/A</v>
      </c>
      <c r="CC95" s="4"/>
      <c r="CD95" s="4">
        <f>IFERROR(IF(COUNTIF(AF93:AF102,"")=10,"",IF(AF95="","",IF(AF95&gt;=CMEMM1,1,0))),"")</f>
        <v>1</v>
      </c>
      <c r="CE95" s="4" t="str">
        <f>B93&amp;"-0"&amp;3</f>
        <v>P10-03</v>
      </c>
      <c r="CF95" s="4">
        <f>IFERROR(INDEX('DESEMPATE Y DISCAPACIDAD'!$D$3:$D$450,MATCH(CE95,'DESEMPATE Y DISCAPACIDAD'!$C$3:$C$450,0)),"")</f>
        <v>0</v>
      </c>
      <c r="CG95" s="4">
        <f>IF(OR(CE95="",CF95=""),"",SUMIF(D93:D102,CF95,CD93:CD102))</f>
        <v>0</v>
      </c>
      <c r="CH95" s="4" t="str">
        <f t="shared" si="37"/>
        <v>NO CUMPLE</v>
      </c>
      <c r="CI95" s="4">
        <f t="shared" si="93"/>
        <v>0</v>
      </c>
      <c r="CJ95" s="4"/>
      <c r="CK95" s="4"/>
      <c r="CL95" s="4">
        <f t="shared" si="66"/>
        <v>0</v>
      </c>
      <c r="CM95" s="4">
        <f t="shared" si="67"/>
        <v>0</v>
      </c>
      <c r="CN95" s="4" t="str">
        <f t="shared" si="94"/>
        <v>N/A</v>
      </c>
      <c r="CO95" s="4"/>
      <c r="CP95" s="4"/>
      <c r="CQ95" s="29" t="str">
        <f t="shared" si="78"/>
        <v>N/A</v>
      </c>
      <c r="CR95" s="29">
        <f t="shared" si="79"/>
        <v>15624.377999999999</v>
      </c>
      <c r="CS95" s="4"/>
    </row>
    <row r="96" spans="1:97" ht="45" customHeight="1">
      <c r="B96" s="481"/>
      <c r="C96" s="118" t="s">
        <v>186</v>
      </c>
      <c r="D96" s="126" t="str">
        <f>+IFERROR(INDEX('DESEMPATE Y DISCAPACIDAD'!$D$3:$D$450,MATCH(C96,'DESEMPATE Y DISCAPACIDAD'!$C$3:$C$450,0)),"")</f>
        <v>INESAS</v>
      </c>
      <c r="E96" s="127" t="str">
        <f>IFERROR(IF(D96="","",IF(VLOOKUP(D96,'DESEMPATE Y DISCAPACIDAD'!D$3:$E$450,2,FALSE)=1,"N/A",IF(VLOOKUP(D96,'DESEMPATE Y DISCAPACIDAD'!D$3:$F$450,3,FALSE)="X","SI","NO"))),"")</f>
        <v>NO</v>
      </c>
      <c r="F96" s="125" t="s">
        <v>684</v>
      </c>
      <c r="G96" s="121" t="s">
        <v>660</v>
      </c>
      <c r="H96" s="125" t="s">
        <v>945</v>
      </c>
      <c r="I96" s="128" t="s">
        <v>946</v>
      </c>
      <c r="J96" s="125" t="s">
        <v>74</v>
      </c>
      <c r="K96" s="121" t="s">
        <v>74</v>
      </c>
      <c r="L96" s="121" t="s">
        <v>75</v>
      </c>
      <c r="M96" s="121" t="s">
        <v>74</v>
      </c>
      <c r="N96" s="125" t="str">
        <f t="shared" si="88"/>
        <v>SI</v>
      </c>
      <c r="O96" s="125" t="str">
        <f t="shared" si="89"/>
        <v>NO</v>
      </c>
      <c r="P96" s="125" t="str">
        <f t="shared" si="90"/>
        <v>SI</v>
      </c>
      <c r="Q96" s="125" t="str">
        <f t="shared" si="68"/>
        <v>SI</v>
      </c>
      <c r="R96" s="68">
        <v>0.75</v>
      </c>
      <c r="S96" s="129">
        <v>38343</v>
      </c>
      <c r="T96" s="129">
        <v>40512</v>
      </c>
      <c r="U96" s="125">
        <f t="shared" si="91"/>
        <v>2010</v>
      </c>
      <c r="V96" s="117">
        <f>IF(U96=2023,1160000,IFERROR(INDEX(SMMLV!$B$2:$B$101,MATCH(U96,SMMLV!$A$2:$A$101,0)),""))</f>
        <v>515000</v>
      </c>
      <c r="W96" s="124" t="s">
        <v>670</v>
      </c>
      <c r="X96" s="121" t="s">
        <v>671</v>
      </c>
      <c r="Y96" s="125">
        <v>16</v>
      </c>
      <c r="Z96" s="474" t="s">
        <v>74</v>
      </c>
      <c r="AA96" s="475"/>
      <c r="AB96" s="476"/>
      <c r="AC96" s="125" t="str">
        <f t="shared" si="92"/>
        <v>SI</v>
      </c>
      <c r="AD96" s="117" t="str">
        <f t="shared" si="69"/>
        <v>N/A</v>
      </c>
      <c r="AE96" s="117">
        <v>11108.36</v>
      </c>
      <c r="AF96" s="117">
        <f t="shared" si="70"/>
        <v>8331.27</v>
      </c>
      <c r="AG96" s="470"/>
      <c r="AH96" s="470"/>
      <c r="AI96" s="125" t="str">
        <f t="shared" si="65"/>
        <v>CUMPLE</v>
      </c>
      <c r="AJ96" s="470"/>
      <c r="AK96" s="470"/>
      <c r="AL96" s="527"/>
      <c r="AM96" s="496"/>
      <c r="AN96" s="3" t="s">
        <v>75</v>
      </c>
      <c r="AO96" s="498"/>
      <c r="AP96" s="3" t="s">
        <v>74</v>
      </c>
      <c r="AQ96" s="498"/>
      <c r="AR96" s="600"/>
      <c r="AS96" s="587"/>
      <c r="AT96" s="204"/>
      <c r="AU96" s="614"/>
      <c r="AV96" s="617"/>
      <c r="AW96" s="620"/>
      <c r="AX96" s="620"/>
      <c r="AY96" s="19"/>
      <c r="CB96" s="29" t="str">
        <f>IFERROR(IF(COUNTIF(AF93:AF102,"")=10,"",IF(COUNTIF(E93:E102,"N/A")&gt;0,IF(AF96&gt;=CMEMM1,AF96,0),"N/A")),"")</f>
        <v>N/A</v>
      </c>
      <c r="CC96" s="4"/>
      <c r="CD96" s="4">
        <f>IFERROR(IF(COUNTIF(AF93:AF102,"")=10,"",IF(AF96="","",IF(AF96&gt;=CMEMM1,1,0))),"")</f>
        <v>1</v>
      </c>
      <c r="CE96" s="4" t="str">
        <f>B93&amp;"-0"&amp;4</f>
        <v>P10-04</v>
      </c>
      <c r="CF96" s="4">
        <f>IFERROR(INDEX('DESEMPATE Y DISCAPACIDAD'!$D$3:$D$450,MATCH(CE96,'DESEMPATE Y DISCAPACIDAD'!$C$3:$C$450,0)),"")</f>
        <v>0</v>
      </c>
      <c r="CG96" s="4">
        <f>IF(OR(CE96="",CF96=""),"",SUMIF(D93:D102,CF96,CD93:CD102))</f>
        <v>0</v>
      </c>
      <c r="CH96" s="4" t="str">
        <f t="shared" si="37"/>
        <v>NO CUMPLE</v>
      </c>
      <c r="CI96" s="4">
        <f t="shared" si="93"/>
        <v>0</v>
      </c>
      <c r="CJ96" s="4"/>
      <c r="CK96" s="4"/>
      <c r="CL96" s="4">
        <f t="shared" si="66"/>
        <v>1</v>
      </c>
      <c r="CM96" s="4">
        <f t="shared" si="67"/>
        <v>0</v>
      </c>
      <c r="CN96" s="4" t="str">
        <f t="shared" si="94"/>
        <v>COND. A</v>
      </c>
      <c r="CO96" s="4"/>
      <c r="CP96" s="4"/>
      <c r="CQ96" s="29" t="str">
        <f t="shared" si="78"/>
        <v>N/A</v>
      </c>
      <c r="CR96" s="29">
        <f t="shared" si="79"/>
        <v>8331.27</v>
      </c>
      <c r="CS96" s="4"/>
    </row>
    <row r="97" spans="1:97" ht="45" customHeight="1">
      <c r="B97" s="481"/>
      <c r="C97" s="118" t="s">
        <v>185</v>
      </c>
      <c r="D97" s="126" t="str">
        <f>+IFERROR(INDEX('DESEMPATE Y DISCAPACIDAD'!$D$3:$D$450,MATCH(C97,'DESEMPATE Y DISCAPACIDAD'!$C$3:$C$450,0)),"")</f>
        <v>PROYECTOS E INTERVENTORIAS S.A.S.</v>
      </c>
      <c r="E97" s="127" t="str">
        <f>IFERROR(IF(D97="","",IF(VLOOKUP(D97,'DESEMPATE Y DISCAPACIDAD'!D$3:$E$450,2,FALSE)=1,"N/A",IF(VLOOKUP(D97,'DESEMPATE Y DISCAPACIDAD'!D$3:$F$450,3,FALSE)="X","SI","NO"))),"")</f>
        <v>NO</v>
      </c>
      <c r="F97" s="125" t="s">
        <v>684</v>
      </c>
      <c r="G97" s="125" t="s">
        <v>660</v>
      </c>
      <c r="H97" s="125" t="s">
        <v>947</v>
      </c>
      <c r="I97" s="128" t="s">
        <v>948</v>
      </c>
      <c r="J97" s="125" t="s">
        <v>74</v>
      </c>
      <c r="K97" s="121" t="s">
        <v>74</v>
      </c>
      <c r="L97" s="121" t="s">
        <v>75</v>
      </c>
      <c r="M97" s="121" t="s">
        <v>74</v>
      </c>
      <c r="N97" s="125" t="str">
        <f t="shared" si="88"/>
        <v>SI</v>
      </c>
      <c r="O97" s="125" t="str">
        <f t="shared" si="89"/>
        <v>NO</v>
      </c>
      <c r="P97" s="125" t="str">
        <f t="shared" si="90"/>
        <v>SI</v>
      </c>
      <c r="Q97" s="125" t="str">
        <f t="shared" si="68"/>
        <v>SI</v>
      </c>
      <c r="R97" s="68">
        <v>0.15</v>
      </c>
      <c r="S97" s="129">
        <v>38366</v>
      </c>
      <c r="T97" s="129">
        <v>38866</v>
      </c>
      <c r="U97" s="125">
        <f t="shared" si="91"/>
        <v>2006</v>
      </c>
      <c r="V97" s="117">
        <f>IF(U97=2023,1160000,IFERROR(INDEX(SMMLV!$B$2:$B$101,MATCH(U97,SMMLV!$A$2:$A$101,0)),""))</f>
        <v>408000</v>
      </c>
      <c r="W97" s="124" t="s">
        <v>670</v>
      </c>
      <c r="X97" s="121" t="s">
        <v>671</v>
      </c>
      <c r="Y97" s="125">
        <v>16</v>
      </c>
      <c r="Z97" s="474" t="s">
        <v>74</v>
      </c>
      <c r="AA97" s="475"/>
      <c r="AB97" s="476"/>
      <c r="AC97" s="125" t="str">
        <f t="shared" si="92"/>
        <v>SI</v>
      </c>
      <c r="AD97" s="117" t="str">
        <f t="shared" si="69"/>
        <v>N/A</v>
      </c>
      <c r="AE97" s="117">
        <v>2417.39</v>
      </c>
      <c r="AF97" s="117">
        <f t="shared" si="70"/>
        <v>362.60849999999999</v>
      </c>
      <c r="AG97" s="470"/>
      <c r="AH97" s="470"/>
      <c r="AI97" s="125" t="str">
        <f t="shared" si="65"/>
        <v>NO CUMPLE</v>
      </c>
      <c r="AJ97" s="470"/>
      <c r="AK97" s="470"/>
      <c r="AL97" s="527"/>
      <c r="AM97" s="496"/>
      <c r="AN97" s="3" t="s">
        <v>75</v>
      </c>
      <c r="AO97" s="498"/>
      <c r="AP97" s="3" t="s">
        <v>74</v>
      </c>
      <c r="AQ97" s="498"/>
      <c r="AR97" s="600"/>
      <c r="AS97" s="587"/>
      <c r="AT97" s="204"/>
      <c r="AU97" s="614"/>
      <c r="AV97" s="617"/>
      <c r="AW97" s="620"/>
      <c r="AX97" s="620"/>
      <c r="AY97" s="19"/>
      <c r="CB97" s="29" t="str">
        <f>IFERROR(IF(COUNTIF(AF93:AF102,"")=10,"",IF(COUNTIF(E93:E102,"N/A")&gt;0,IF(AF97&gt;=CMEMM1,AF97,0),"N/A")),"")</f>
        <v>N/A</v>
      </c>
      <c r="CC97" s="4"/>
      <c r="CD97" s="4">
        <f>IFERROR(IF(COUNTIF(AF93:AF102,"")=10,"",IF(AF97="","",IF(AF97&gt;=CMEMM1,1,0))),"")</f>
        <v>0</v>
      </c>
      <c r="CE97" s="4" t="str">
        <f>B93&amp;"-0"&amp;5</f>
        <v>P10-05</v>
      </c>
      <c r="CF97" s="4">
        <f>IFERROR(INDEX('DESEMPATE Y DISCAPACIDAD'!$D$3:$D$450,MATCH(CE97,'DESEMPATE Y DISCAPACIDAD'!$C$3:$C$450,0)),"")</f>
        <v>0</v>
      </c>
      <c r="CG97" s="4">
        <f>IF(OR(CE97="",CF97=""),"",SUMIF(D93:D102,CF97,CD93:CD102))</f>
        <v>0</v>
      </c>
      <c r="CH97" s="4" t="str">
        <f t="shared" si="37"/>
        <v>NO CUMPLE</v>
      </c>
      <c r="CI97" s="4">
        <f t="shared" si="93"/>
        <v>0</v>
      </c>
      <c r="CJ97" s="4"/>
      <c r="CK97" s="4"/>
      <c r="CL97" s="4">
        <f t="shared" si="66"/>
        <v>1</v>
      </c>
      <c r="CM97" s="4">
        <f t="shared" si="67"/>
        <v>0</v>
      </c>
      <c r="CN97" s="4" t="str">
        <f t="shared" si="94"/>
        <v>COND. A</v>
      </c>
      <c r="CO97" s="4"/>
      <c r="CP97" s="4"/>
      <c r="CQ97" s="29" t="str">
        <f t="shared" si="78"/>
        <v>N/A</v>
      </c>
      <c r="CR97" s="29">
        <f t="shared" si="79"/>
        <v>362.60849999999999</v>
      </c>
      <c r="CS97" s="4"/>
    </row>
    <row r="98" spans="1:97" ht="2" customHeight="1">
      <c r="B98" s="481"/>
      <c r="C98" s="118"/>
      <c r="D98" s="126" t="str">
        <f>+IFERROR(INDEX('DESEMPATE Y DISCAPACIDAD'!$D$3:$D$450,MATCH(C98,'DESEMPATE Y DISCAPACIDAD'!$C$3:$C$450,0)),"")</f>
        <v/>
      </c>
      <c r="E98" s="127" t="str">
        <f>IFERROR(IF(D98="","",IF(VLOOKUP(D98,'DESEMPATE Y DISCAPACIDAD'!D$3:$E$450,2,FALSE)=1,"N/A",IF(VLOOKUP(D98,'DESEMPATE Y DISCAPACIDAD'!D$3:$F$450,3,FALSE)="X","SI","NO"))),"")</f>
        <v/>
      </c>
      <c r="F98" s="125"/>
      <c r="G98" s="125"/>
      <c r="H98" s="125"/>
      <c r="I98" s="128"/>
      <c r="J98" s="125"/>
      <c r="K98" s="125"/>
      <c r="L98" s="125"/>
      <c r="M98" s="125"/>
      <c r="N98" s="125" t="str">
        <f t="shared" si="88"/>
        <v/>
      </c>
      <c r="O98" s="125" t="str">
        <f t="shared" si="89"/>
        <v/>
      </c>
      <c r="P98" s="125" t="str">
        <f t="shared" si="90"/>
        <v/>
      </c>
      <c r="Q98" s="125" t="str">
        <f t="shared" si="68"/>
        <v/>
      </c>
      <c r="R98" s="68"/>
      <c r="S98" s="129"/>
      <c r="T98" s="129"/>
      <c r="U98" s="125" t="str">
        <f t="shared" si="91"/>
        <v/>
      </c>
      <c r="V98" s="117" t="str">
        <f>IF(U98=2023,1160000,IFERROR(INDEX(SMMLV!$B$2:$B$101,MATCH(U98,SMMLV!$A$2:$A$101,0)),""))</f>
        <v/>
      </c>
      <c r="W98" s="117"/>
      <c r="X98" s="125"/>
      <c r="Y98" s="125"/>
      <c r="Z98" s="474"/>
      <c r="AA98" s="475"/>
      <c r="AB98" s="476"/>
      <c r="AC98" s="125" t="str">
        <f t="shared" si="92"/>
        <v/>
      </c>
      <c r="AD98" s="117" t="str">
        <f t="shared" si="69"/>
        <v/>
      </c>
      <c r="AE98" s="117" t="s">
        <v>894</v>
      </c>
      <c r="AF98" s="117" t="str">
        <f t="shared" si="70"/>
        <v/>
      </c>
      <c r="AG98" s="470"/>
      <c r="AH98" s="470"/>
      <c r="AI98" s="125" t="str">
        <f t="shared" si="65"/>
        <v/>
      </c>
      <c r="AJ98" s="470"/>
      <c r="AK98" s="470"/>
      <c r="AL98" s="527"/>
      <c r="AM98" s="496"/>
      <c r="AN98" s="3"/>
      <c r="AO98" s="498"/>
      <c r="AP98" s="3"/>
      <c r="AQ98" s="498"/>
      <c r="AR98" s="600"/>
      <c r="AS98" s="587"/>
      <c r="AT98" s="204"/>
      <c r="AU98" s="614"/>
      <c r="AV98" s="617"/>
      <c r="AW98" s="620"/>
      <c r="AX98" s="620"/>
      <c r="AY98" s="19"/>
      <c r="CB98" s="29" t="str">
        <f>IFERROR(IF(COUNTIF(AF93:AF102,"")=10,"",IF(COUNTIF(E93:E102,"N/A")&gt;0,IF(AF98&gt;=CMEMM1,AF98,0),"N/A")),"")</f>
        <v>N/A</v>
      </c>
      <c r="CC98" s="4"/>
      <c r="CD98" s="4" t="str">
        <f>IFERROR(IF(COUNTIF(AF93:AF102,"")=10,"",IF(AF98="","",IF(AF98&gt;=CMEMM1,1,0))),"")</f>
        <v/>
      </c>
      <c r="CE98" s="4" t="str">
        <f>B93&amp;"-0"&amp;6</f>
        <v>P10-06</v>
      </c>
      <c r="CF98" s="4">
        <f>IFERROR(INDEX('DESEMPATE Y DISCAPACIDAD'!$D$3:$D$450,MATCH(CE98,'DESEMPATE Y DISCAPACIDAD'!$C$3:$C$450,0)),"")</f>
        <v>0</v>
      </c>
      <c r="CG98" s="4">
        <f>IF(OR(CE98="",CF98=""),"",SUMIF(D93:D102,CF98,CD93:CD102))</f>
        <v>0</v>
      </c>
      <c r="CH98" s="4" t="str">
        <f t="shared" ref="CH98:CH161" si="95">IF(OR(CE98="",CF98="",CG98=""),"",IF(CG98&gt;0,"CUMPLE","NO CUMPLE"))</f>
        <v>NO CUMPLE</v>
      </c>
      <c r="CI98" s="4">
        <f t="shared" si="93"/>
        <v>0</v>
      </c>
      <c r="CJ98" s="4"/>
      <c r="CK98" s="4"/>
      <c r="CL98" s="4" t="str">
        <f t="shared" si="66"/>
        <v/>
      </c>
      <c r="CM98" s="4" t="str">
        <f t="shared" si="67"/>
        <v/>
      </c>
      <c r="CN98" s="4" t="str">
        <f t="shared" si="94"/>
        <v/>
      </c>
      <c r="CO98" s="4"/>
      <c r="CP98" s="4"/>
      <c r="CQ98" s="29" t="str">
        <f t="shared" si="78"/>
        <v/>
      </c>
      <c r="CR98" s="29" t="str">
        <f t="shared" si="79"/>
        <v/>
      </c>
      <c r="CS98" s="4"/>
    </row>
    <row r="99" spans="1:97" ht="2" customHeight="1">
      <c r="B99" s="481"/>
      <c r="C99" s="118"/>
      <c r="D99" s="126" t="str">
        <f>+IFERROR(INDEX('DESEMPATE Y DISCAPACIDAD'!$D$3:$D$450,MATCH(C99,'DESEMPATE Y DISCAPACIDAD'!$C$3:$C$450,0)),"")</f>
        <v/>
      </c>
      <c r="E99" s="127" t="str">
        <f>IFERROR(IF(D99="","",IF(VLOOKUP(D99,'DESEMPATE Y DISCAPACIDAD'!D$3:$E$450,2,FALSE)=1,"N/A",IF(VLOOKUP(D99,'DESEMPATE Y DISCAPACIDAD'!D$3:$F$450,3,FALSE)="X","SI","NO"))),"")</f>
        <v/>
      </c>
      <c r="F99" s="125"/>
      <c r="G99" s="125"/>
      <c r="H99" s="125"/>
      <c r="I99" s="128"/>
      <c r="J99" s="125"/>
      <c r="K99" s="125"/>
      <c r="L99" s="125"/>
      <c r="M99" s="125"/>
      <c r="N99" s="125" t="str">
        <f t="shared" si="88"/>
        <v/>
      </c>
      <c r="O99" s="125" t="str">
        <f t="shared" si="89"/>
        <v/>
      </c>
      <c r="P99" s="125" t="str">
        <f t="shared" si="90"/>
        <v/>
      </c>
      <c r="Q99" s="125" t="str">
        <f t="shared" si="68"/>
        <v/>
      </c>
      <c r="R99" s="68"/>
      <c r="S99" s="129"/>
      <c r="T99" s="129"/>
      <c r="U99" s="125" t="str">
        <f t="shared" si="91"/>
        <v/>
      </c>
      <c r="V99" s="117" t="str">
        <f>IF(U99=2023,1160000,IFERROR(INDEX(SMMLV!$B$2:$B$101,MATCH(U99,SMMLV!$A$2:$A$101,0)),""))</f>
        <v/>
      </c>
      <c r="W99" s="117"/>
      <c r="X99" s="125"/>
      <c r="Y99" s="125"/>
      <c r="Z99" s="474"/>
      <c r="AA99" s="475"/>
      <c r="AB99" s="476"/>
      <c r="AC99" s="125" t="str">
        <f t="shared" si="92"/>
        <v/>
      </c>
      <c r="AD99" s="117" t="str">
        <f t="shared" si="69"/>
        <v/>
      </c>
      <c r="AE99" s="117" t="s">
        <v>894</v>
      </c>
      <c r="AF99" s="117" t="str">
        <f t="shared" si="70"/>
        <v/>
      </c>
      <c r="AG99" s="470"/>
      <c r="AH99" s="470"/>
      <c r="AI99" s="125" t="str">
        <f t="shared" si="65"/>
        <v/>
      </c>
      <c r="AJ99" s="470"/>
      <c r="AK99" s="470"/>
      <c r="AL99" s="527"/>
      <c r="AM99" s="496"/>
      <c r="AN99" s="3"/>
      <c r="AO99" s="498"/>
      <c r="AP99" s="3"/>
      <c r="AQ99" s="498"/>
      <c r="AR99" s="600"/>
      <c r="AS99" s="587"/>
      <c r="AT99" s="204"/>
      <c r="AU99" s="614"/>
      <c r="AV99" s="617"/>
      <c r="AW99" s="620"/>
      <c r="AX99" s="620"/>
      <c r="AY99" s="19"/>
      <c r="CB99" s="29" t="str">
        <f>IFERROR(IF(COUNTIF(AF93:AF102,"")=10,"",IF(COUNTIF(E93:E102,"N/A")&gt;0,IF(AF99&gt;=CMEMM1,AF99,0),"N/A")),"")</f>
        <v>N/A</v>
      </c>
      <c r="CC99" s="4"/>
      <c r="CD99" s="4" t="str">
        <f>IFERROR(IF(COUNTIF(AF93:AF102,"")=10,"",IF(AF99="","",IF(AF99&gt;=CMEMM1,1,0))),"")</f>
        <v/>
      </c>
      <c r="CE99" s="4" t="str">
        <f>B93&amp;"-0"&amp;7</f>
        <v>P10-07</v>
      </c>
      <c r="CF99" s="4" t="str">
        <f>IFERROR(INDEX('DESEMPATE Y DISCAPACIDAD'!$D$3:$D$450,MATCH(CE99,'DESEMPATE Y DISCAPACIDAD'!$C$3:$C$450,0)),"")</f>
        <v/>
      </c>
      <c r="CG99" s="4" t="str">
        <f>IF(OR(CE99="",CF99=""),"",SUMIF(D93:D102,CF99,CD93:CD102))</f>
        <v/>
      </c>
      <c r="CH99" s="4" t="str">
        <f t="shared" si="95"/>
        <v/>
      </c>
      <c r="CI99" s="4" t="str">
        <f t="shared" si="93"/>
        <v/>
      </c>
      <c r="CJ99" s="4"/>
      <c r="CK99" s="4"/>
      <c r="CL99" s="4" t="str">
        <f t="shared" si="66"/>
        <v/>
      </c>
      <c r="CM99" s="4" t="str">
        <f t="shared" si="67"/>
        <v/>
      </c>
      <c r="CN99" s="4" t="str">
        <f t="shared" si="94"/>
        <v/>
      </c>
      <c r="CO99" s="4"/>
      <c r="CP99" s="4"/>
      <c r="CQ99" s="29" t="str">
        <f t="shared" si="78"/>
        <v/>
      </c>
      <c r="CR99" s="29" t="str">
        <f t="shared" si="79"/>
        <v/>
      </c>
      <c r="CS99" s="4"/>
    </row>
    <row r="100" spans="1:97" ht="2" customHeight="1">
      <c r="B100" s="481"/>
      <c r="C100" s="118"/>
      <c r="D100" s="126" t="str">
        <f>+IFERROR(INDEX('DESEMPATE Y DISCAPACIDAD'!$D$3:$D$450,MATCH(C100,'DESEMPATE Y DISCAPACIDAD'!$C$3:$C$450,0)),"")</f>
        <v/>
      </c>
      <c r="E100" s="127" t="str">
        <f>IFERROR(IF(D100="","",IF(VLOOKUP(D100,'DESEMPATE Y DISCAPACIDAD'!D$3:$E$450,2,FALSE)=1,"N/A",IF(VLOOKUP(D100,'DESEMPATE Y DISCAPACIDAD'!D$3:$F$450,3,FALSE)="X","SI","NO"))),"")</f>
        <v/>
      </c>
      <c r="F100" s="125"/>
      <c r="G100" s="125"/>
      <c r="H100" s="125"/>
      <c r="I100" s="128"/>
      <c r="J100" s="125"/>
      <c r="K100" s="125"/>
      <c r="L100" s="125"/>
      <c r="M100" s="125"/>
      <c r="N100" s="125" t="str">
        <f t="shared" si="88"/>
        <v/>
      </c>
      <c r="O100" s="125" t="str">
        <f t="shared" si="89"/>
        <v/>
      </c>
      <c r="P100" s="125" t="str">
        <f t="shared" si="90"/>
        <v/>
      </c>
      <c r="Q100" s="125" t="str">
        <f t="shared" si="68"/>
        <v/>
      </c>
      <c r="R100" s="68"/>
      <c r="S100" s="129"/>
      <c r="T100" s="129"/>
      <c r="U100" s="125" t="str">
        <f t="shared" si="91"/>
        <v/>
      </c>
      <c r="V100" s="117" t="str">
        <f>IF(U100=2023,1160000,IFERROR(INDEX(SMMLV!$B$2:$B$101,MATCH(U100,SMMLV!$A$2:$A$101,0)),""))</f>
        <v/>
      </c>
      <c r="W100" s="117"/>
      <c r="X100" s="125"/>
      <c r="Y100" s="125"/>
      <c r="Z100" s="474"/>
      <c r="AA100" s="475"/>
      <c r="AB100" s="476"/>
      <c r="AC100" s="125" t="str">
        <f t="shared" si="92"/>
        <v/>
      </c>
      <c r="AD100" s="117" t="str">
        <f t="shared" si="69"/>
        <v/>
      </c>
      <c r="AE100" s="117" t="s">
        <v>894</v>
      </c>
      <c r="AF100" s="117" t="str">
        <f t="shared" si="70"/>
        <v/>
      </c>
      <c r="AG100" s="470"/>
      <c r="AH100" s="470"/>
      <c r="AI100" s="125" t="str">
        <f t="shared" si="65"/>
        <v/>
      </c>
      <c r="AJ100" s="470"/>
      <c r="AK100" s="470"/>
      <c r="AL100" s="527"/>
      <c r="AM100" s="496"/>
      <c r="AN100" s="3"/>
      <c r="AO100" s="498"/>
      <c r="AP100" s="3"/>
      <c r="AQ100" s="498"/>
      <c r="AR100" s="600"/>
      <c r="AS100" s="587"/>
      <c r="AT100" s="204"/>
      <c r="AU100" s="614"/>
      <c r="AV100" s="617"/>
      <c r="AW100" s="620"/>
      <c r="AX100" s="620"/>
      <c r="AY100" s="19"/>
      <c r="CB100" s="29" t="str">
        <f>IFERROR(IF(COUNTIF(AF93:AF102,"")=10,"",IF(COUNTIF(E93:E102,"N/A")&gt;0,IF(AF100&gt;=CMEMM1,AF100,0),"N/A")),"")</f>
        <v>N/A</v>
      </c>
      <c r="CC100" s="4"/>
      <c r="CD100" s="4" t="str">
        <f>IFERROR(IF(COUNTIF(AF93:AF102,"")=10,"",IF(AF100="","",IF(AF100&gt;=CMEMM1,1,0))),"")</f>
        <v/>
      </c>
      <c r="CE100" s="4" t="str">
        <f>B93&amp;"-0"&amp;8</f>
        <v>P10-08</v>
      </c>
      <c r="CF100" s="4" t="str">
        <f>IFERROR(INDEX('DESEMPATE Y DISCAPACIDAD'!$D$3:$D$450,MATCH(CE100,'DESEMPATE Y DISCAPACIDAD'!$C$3:$C$450,0)),"")</f>
        <v/>
      </c>
      <c r="CG100" s="4" t="str">
        <f>IF(OR(CE100="",CF100=""),"",SUMIF(D93:D102,CF100,CD93:CD102))</f>
        <v/>
      </c>
      <c r="CH100" s="4" t="str">
        <f t="shared" si="95"/>
        <v/>
      </c>
      <c r="CI100" s="4" t="str">
        <f t="shared" si="93"/>
        <v/>
      </c>
      <c r="CJ100" s="4"/>
      <c r="CK100" s="4"/>
      <c r="CL100" s="4" t="str">
        <f t="shared" si="66"/>
        <v/>
      </c>
      <c r="CM100" s="4" t="str">
        <f t="shared" si="67"/>
        <v/>
      </c>
      <c r="CN100" s="4" t="str">
        <f t="shared" si="94"/>
        <v/>
      </c>
      <c r="CO100" s="4"/>
      <c r="CP100" s="4"/>
      <c r="CQ100" s="29" t="str">
        <f t="shared" si="78"/>
        <v/>
      </c>
      <c r="CR100" s="29" t="str">
        <f t="shared" si="79"/>
        <v/>
      </c>
      <c r="CS100" s="4"/>
    </row>
    <row r="101" spans="1:97" ht="2" customHeight="1">
      <c r="B101" s="481"/>
      <c r="C101" s="118"/>
      <c r="D101" s="126" t="str">
        <f>+IFERROR(INDEX('DESEMPATE Y DISCAPACIDAD'!$D$3:$D$450,MATCH(C101,'DESEMPATE Y DISCAPACIDAD'!$C$3:$C$450,0)),"")</f>
        <v/>
      </c>
      <c r="E101" s="127" t="str">
        <f>IFERROR(IF(D101="","",IF(VLOOKUP(D101,'DESEMPATE Y DISCAPACIDAD'!D$3:$E$450,2,FALSE)=1,"N/A",IF(VLOOKUP(D101,'DESEMPATE Y DISCAPACIDAD'!D$3:$F$450,3,FALSE)="X","SI","NO"))),"")</f>
        <v/>
      </c>
      <c r="F101" s="125"/>
      <c r="G101" s="125"/>
      <c r="H101" s="125"/>
      <c r="I101" s="128"/>
      <c r="J101" s="125"/>
      <c r="K101" s="125"/>
      <c r="L101" s="125"/>
      <c r="M101" s="125"/>
      <c r="N101" s="125" t="str">
        <f t="shared" si="88"/>
        <v/>
      </c>
      <c r="O101" s="125" t="str">
        <f t="shared" si="89"/>
        <v/>
      </c>
      <c r="P101" s="125" t="str">
        <f t="shared" si="90"/>
        <v/>
      </c>
      <c r="Q101" s="125" t="str">
        <f t="shared" si="68"/>
        <v/>
      </c>
      <c r="R101" s="68"/>
      <c r="S101" s="129"/>
      <c r="T101" s="129"/>
      <c r="U101" s="125" t="str">
        <f t="shared" si="91"/>
        <v/>
      </c>
      <c r="V101" s="117" t="str">
        <f>IF(U101=2023,1160000,IFERROR(INDEX(SMMLV!$B$2:$B$101,MATCH(U101,SMMLV!$A$2:$A$101,0)),""))</f>
        <v/>
      </c>
      <c r="W101" s="117"/>
      <c r="X101" s="125"/>
      <c r="Y101" s="125"/>
      <c r="Z101" s="474"/>
      <c r="AA101" s="475"/>
      <c r="AB101" s="476"/>
      <c r="AC101" s="125" t="str">
        <f t="shared" si="92"/>
        <v/>
      </c>
      <c r="AD101" s="117" t="str">
        <f t="shared" si="69"/>
        <v/>
      </c>
      <c r="AE101" s="117" t="s">
        <v>894</v>
      </c>
      <c r="AF101" s="117" t="str">
        <f t="shared" si="70"/>
        <v/>
      </c>
      <c r="AG101" s="470"/>
      <c r="AH101" s="470"/>
      <c r="AI101" s="125" t="str">
        <f t="shared" si="65"/>
        <v/>
      </c>
      <c r="AJ101" s="470"/>
      <c r="AK101" s="470"/>
      <c r="AL101" s="527"/>
      <c r="AM101" s="496"/>
      <c r="AN101" s="3"/>
      <c r="AO101" s="498"/>
      <c r="AP101" s="3"/>
      <c r="AQ101" s="498"/>
      <c r="AR101" s="600"/>
      <c r="AS101" s="587"/>
      <c r="AT101" s="204"/>
      <c r="AU101" s="614"/>
      <c r="AV101" s="617"/>
      <c r="AW101" s="620"/>
      <c r="AX101" s="620"/>
      <c r="AY101" s="19"/>
      <c r="CB101" s="29" t="str">
        <f>IFERROR(IF(COUNTIF(AF93:AF102,"")=10,"",IF(COUNTIF(E93:E102,"N/A")&gt;0,IF(AF101&gt;=CMEMM1,AF101,0),"N/A")),"")</f>
        <v>N/A</v>
      </c>
      <c r="CC101" s="4"/>
      <c r="CD101" s="4" t="str">
        <f>IFERROR(IF(COUNTIF(AF93:AF102,"")=10,"",IF(AF101="","",IF(AF101&gt;=CMEMM1,1,0))),"")</f>
        <v/>
      </c>
      <c r="CE101" s="4" t="str">
        <f>B93&amp;"-0"&amp;9</f>
        <v>P10-09</v>
      </c>
      <c r="CF101" s="4" t="str">
        <f>IFERROR(INDEX('DESEMPATE Y DISCAPACIDAD'!$D$3:$D$450,MATCH(CE101,'DESEMPATE Y DISCAPACIDAD'!$C$3:$C$450,0)),"")</f>
        <v/>
      </c>
      <c r="CG101" s="4" t="str">
        <f>IF(OR(CE101="",CF101=""),"",SUMIF(D93:D102,CF101,CD93:CD102))</f>
        <v/>
      </c>
      <c r="CH101" s="4" t="str">
        <f t="shared" si="95"/>
        <v/>
      </c>
      <c r="CI101" s="4" t="str">
        <f t="shared" si="93"/>
        <v/>
      </c>
      <c r="CJ101" s="4"/>
      <c r="CK101" s="4"/>
      <c r="CL101" s="4" t="str">
        <f t="shared" si="66"/>
        <v/>
      </c>
      <c r="CM101" s="4" t="str">
        <f t="shared" si="67"/>
        <v/>
      </c>
      <c r="CN101" s="4" t="str">
        <f t="shared" si="94"/>
        <v/>
      </c>
      <c r="CO101" s="4"/>
      <c r="CP101" s="4"/>
      <c r="CQ101" s="29" t="str">
        <f t="shared" si="78"/>
        <v/>
      </c>
      <c r="CR101" s="29" t="str">
        <f t="shared" si="79"/>
        <v/>
      </c>
      <c r="CS101" s="4"/>
    </row>
    <row r="102" spans="1:97" ht="2" customHeight="1" thickBot="1">
      <c r="B102" s="482"/>
      <c r="C102" s="130"/>
      <c r="D102" s="131" t="str">
        <f>+IFERROR(INDEX('DESEMPATE Y DISCAPACIDAD'!$D$3:$D$450,MATCH(C102,'DESEMPATE Y DISCAPACIDAD'!$C$3:$C$450,0)),"")</f>
        <v/>
      </c>
      <c r="E102" s="132" t="str">
        <f>IFERROR(IF(D102="","",IF(VLOOKUP(D102,'DESEMPATE Y DISCAPACIDAD'!D$3:$E$450,2,FALSE)=1,"N/A",IF(VLOOKUP(D102,'DESEMPATE Y DISCAPACIDAD'!D$3:$F$450,3,FALSE)="X","SI","NO"))),"")</f>
        <v/>
      </c>
      <c r="F102" s="133"/>
      <c r="G102" s="133"/>
      <c r="H102" s="133"/>
      <c r="I102" s="134"/>
      <c r="J102" s="133"/>
      <c r="K102" s="133"/>
      <c r="L102" s="133"/>
      <c r="M102" s="133"/>
      <c r="N102" s="133" t="str">
        <f t="shared" si="88"/>
        <v/>
      </c>
      <c r="O102" s="133" t="str">
        <f t="shared" si="89"/>
        <v/>
      </c>
      <c r="P102" s="133" t="str">
        <f t="shared" si="90"/>
        <v/>
      </c>
      <c r="Q102" s="133" t="str">
        <f t="shared" si="68"/>
        <v/>
      </c>
      <c r="R102" s="104"/>
      <c r="S102" s="135"/>
      <c r="T102" s="135"/>
      <c r="U102" s="133" t="str">
        <f t="shared" si="91"/>
        <v/>
      </c>
      <c r="V102" s="136" t="str">
        <f>IF(U102=2023,1160000,IFERROR(INDEX(SMMLV!$B$2:$B$101,MATCH(U102,SMMLV!$A$2:$A$101,0)),""))</f>
        <v/>
      </c>
      <c r="W102" s="136"/>
      <c r="X102" s="133"/>
      <c r="Y102" s="133"/>
      <c r="Z102" s="487"/>
      <c r="AA102" s="488"/>
      <c r="AB102" s="489"/>
      <c r="AC102" s="133" t="str">
        <f t="shared" si="92"/>
        <v/>
      </c>
      <c r="AD102" s="136" t="str">
        <f t="shared" si="69"/>
        <v/>
      </c>
      <c r="AE102" s="136" t="s">
        <v>894</v>
      </c>
      <c r="AF102" s="136" t="str">
        <f t="shared" si="70"/>
        <v/>
      </c>
      <c r="AG102" s="471"/>
      <c r="AH102" s="471"/>
      <c r="AI102" s="133" t="str">
        <f t="shared" si="65"/>
        <v/>
      </c>
      <c r="AJ102" s="471"/>
      <c r="AK102" s="471"/>
      <c r="AL102" s="528"/>
      <c r="AM102" s="497"/>
      <c r="AN102" s="5"/>
      <c r="AO102" s="499"/>
      <c r="AP102" s="5"/>
      <c r="AQ102" s="499"/>
      <c r="AR102" s="601"/>
      <c r="AS102" s="588"/>
      <c r="AT102" s="206"/>
      <c r="AU102" s="615"/>
      <c r="AV102" s="618"/>
      <c r="AW102" s="621"/>
      <c r="AX102" s="621"/>
      <c r="AY102" s="19"/>
      <c r="CB102" s="29" t="str">
        <f>IFERROR(IF(COUNTIF(AF93:AF102,"")=10,"",IF(COUNTIF(E93:E102,"N/A")&gt;0,IF(AF102&gt;=CMEMM1,AF102,0),"N/A")),"")</f>
        <v>N/A</v>
      </c>
      <c r="CC102" s="4"/>
      <c r="CD102" s="4" t="str">
        <f>IFERROR(IF(COUNTIF(AF93:AF102,"")=10,"",IF(AF102="","",IF(AF102&gt;=CMEMM1,1,0))),"")</f>
        <v/>
      </c>
      <c r="CE102" s="4" t="str">
        <f>B93&amp;"-"&amp;10</f>
        <v>P10-10</v>
      </c>
      <c r="CF102" s="4" t="str">
        <f>IFERROR(INDEX('DESEMPATE Y DISCAPACIDAD'!$D$3:$D$450,MATCH(CE102,'DESEMPATE Y DISCAPACIDAD'!$C$3:$C$450,0)),"")</f>
        <v/>
      </c>
      <c r="CG102" s="4" t="str">
        <f>IF(OR(CE102="",CF102=""),"",SUMIF(D93:D102,CF102,CD93:CD102))</f>
        <v/>
      </c>
      <c r="CH102" s="4" t="str">
        <f t="shared" si="95"/>
        <v/>
      </c>
      <c r="CI102" s="4" t="str">
        <f t="shared" si="93"/>
        <v/>
      </c>
      <c r="CJ102" s="4"/>
      <c r="CK102" s="4"/>
      <c r="CL102" s="4" t="str">
        <f t="shared" si="66"/>
        <v/>
      </c>
      <c r="CM102" s="4" t="str">
        <f t="shared" si="67"/>
        <v/>
      </c>
      <c r="CN102" s="4" t="str">
        <f t="shared" si="94"/>
        <v/>
      </c>
      <c r="CO102" s="4"/>
      <c r="CP102" s="4"/>
      <c r="CQ102" s="29" t="str">
        <f t="shared" si="78"/>
        <v/>
      </c>
      <c r="CR102" s="29" t="str">
        <f t="shared" si="79"/>
        <v/>
      </c>
      <c r="CS102" s="4"/>
    </row>
    <row r="103" spans="1:97" ht="45" customHeight="1">
      <c r="A103" s="4" t="str">
        <f>"A"&amp;B103</f>
        <v>AP11</v>
      </c>
      <c r="B103" s="480" t="s">
        <v>132</v>
      </c>
      <c r="C103" s="108" t="s">
        <v>188</v>
      </c>
      <c r="D103" s="119" t="str">
        <f>+IFERROR(INDEX('DESEMPATE Y DISCAPACIDAD'!$D$3:$D$450,MATCH(C103,'DESEMPATE Y DISCAPACIDAD'!$C$3:$C$450,0)),"")</f>
        <v xml:space="preserve">SERVINC SAS </v>
      </c>
      <c r="E103" s="120" t="str">
        <f>IFERROR(IF(D103="","",IF(VLOOKUP(D103,'DESEMPATE Y DISCAPACIDAD'!D$3:$E$450,2,FALSE)=1,"N/A",IF(VLOOKUP(D103,'DESEMPATE Y DISCAPACIDAD'!D$3:$F$450,3,FALSE)="X","SI","NO"))),"")</f>
        <v>NO</v>
      </c>
      <c r="F103" s="179" t="s">
        <v>949</v>
      </c>
      <c r="G103" s="107" t="s">
        <v>660</v>
      </c>
      <c r="H103" s="121" t="s">
        <v>950</v>
      </c>
      <c r="I103" s="122" t="s">
        <v>951</v>
      </c>
      <c r="J103" s="121" t="s">
        <v>74</v>
      </c>
      <c r="K103" s="121" t="s">
        <v>74</v>
      </c>
      <c r="L103" s="121" t="s">
        <v>74</v>
      </c>
      <c r="M103" s="121" t="s">
        <v>74</v>
      </c>
      <c r="N103" s="125" t="str">
        <f t="shared" si="88"/>
        <v>SI</v>
      </c>
      <c r="O103" s="121" t="str">
        <f t="shared" si="89"/>
        <v>SI</v>
      </c>
      <c r="P103" s="125" t="str">
        <f t="shared" si="90"/>
        <v>SI</v>
      </c>
      <c r="Q103" s="121" t="str">
        <f t="shared" si="68"/>
        <v>SI</v>
      </c>
      <c r="R103" s="103">
        <v>0.4</v>
      </c>
      <c r="S103" s="123">
        <v>41075</v>
      </c>
      <c r="T103" s="123">
        <v>43532</v>
      </c>
      <c r="U103" s="121">
        <f>IFERROR(IF(T103="","",YEAR(T103)),"")</f>
        <v>2019</v>
      </c>
      <c r="V103" s="358">
        <f>IF(U103=2023,1160000,IFERROR(INDEX(SMMLV!$B$2:$B$101,MATCH(U103,SMMLV!$A$2:$A$101,0)),""))</f>
        <v>828116</v>
      </c>
      <c r="W103" s="358" t="s">
        <v>670</v>
      </c>
      <c r="X103" s="121" t="s">
        <v>671</v>
      </c>
      <c r="Y103" s="121">
        <v>112</v>
      </c>
      <c r="Z103" s="483" t="s">
        <v>74</v>
      </c>
      <c r="AA103" s="484"/>
      <c r="AB103" s="485"/>
      <c r="AC103" s="121" t="str">
        <f>IFERROR(IF(Y103="","",IF(ISNUMBER(Y103),IF(COUNTIF(Z103,"SI")&gt;0,"SI","NO"),Y103)),"")</f>
        <v>SI</v>
      </c>
      <c r="AD103" s="124" t="str">
        <f t="shared" si="69"/>
        <v>N/A</v>
      </c>
      <c r="AE103" s="124">
        <v>83320.73</v>
      </c>
      <c r="AF103" s="124">
        <f t="shared" si="70"/>
        <v>33328.292000000001</v>
      </c>
      <c r="AG103" s="486" t="str">
        <f>IFERROR(IF(COUNTIF(AF103:AF112,"")=10,"",IF(COUNTIF(E103:E112,"N/A")&gt;0,IF(SUM(CB103:CB112)&gt;=CMEM1,"CUMPLE","NO CUMPLE"),IF(SUM(AF103:AF112)&gt;=CMEM1,"CUMPLE","NO CUMPLE"))),"")</f>
        <v>CUMPLE</v>
      </c>
      <c r="AH103" s="486" t="str">
        <f>IF(COUNTIF(AF103:AF112,"")=10,"",IF(SUMIF(C103:C112,C103,AF103:AF112)&gt;=CMLM1,"CUMPLE",IF(SUMIF(C103:C112,C104,AF103:AF112)&gt;=CMLM1,"CUMPLE",IF(SUMIF(C103:C112,C105,AF103:AF112)&gt;=CMLM1,"CUMPLE",IF(SUMIF(C103:C112,C106,AF103:AF112)&gt;=CMLM1,"CUMPLE",IF(SUMIF(C103:C112,C107,AF103:AF112)&gt;=CMLM1,"CUMPLE",IF(SUMIF(C103:C112,C108,AF103:AF112)&gt;=CMLM1,"CUMPLE",IF(SUMIF(C103:C112,C109,AF103:AF112)&gt;=CMLM1,"CUMPLE",IF(SUMIF(C103:C112,C110,AF103:AF112)&gt;=CMLM1,"CUMPLE",IF(SUMIF(C103:C112,C111,AF103:AF112)&gt;=CMLM1,"CUMPLE",IF(SUMIF(C103:C112,C112,AF103:AF112)&gt;=CMLM1,"CUMPLE","NO CUMPLE")))))))))))</f>
        <v>CUMPLE</v>
      </c>
      <c r="AI103" s="121" t="str">
        <f t="shared" si="65"/>
        <v>CUMPLE</v>
      </c>
      <c r="AJ103" s="469" t="str">
        <f>IFERROR(IF(COUNTIF(AF103:AF112,"")=10,"",IF(COUNTIF(E103:E112,"N/A")&gt;0,"N/A",CJ103)),"")</f>
        <v>CUMPLE</v>
      </c>
      <c r="AK103" s="469" t="str">
        <f>IFERROR(IF(AND(COUNTIF(N103:N112,"SI")&gt;=1,COUNTIF(O103:O112,"SI")&gt;=1,COUNTIF(P103:P112,"SI")&gt;=1,COUNTIF(J103:J112,"SI")&lt;=10,CO103="CUMPLE"),"CUMPLE","NO CUMPLE"),"")</f>
        <v>CUMPLE</v>
      </c>
      <c r="AL103" s="472" t="s">
        <v>77</v>
      </c>
      <c r="AM103" s="495">
        <f>IFERROR(IF(B103&lt;&gt;"",IF(VLOOKUP(B103,'DESEMPATE Y DISCAPACIDAD'!$A$3:$Q$450,10,FALSE)="","",VLOOKUP(B103,'DESEMPATE Y DISCAPACIDAD'!$A$3:$Q$450,10,FALSE)+6),""),"")</f>
        <v>8</v>
      </c>
      <c r="AN103" s="179" t="s">
        <v>75</v>
      </c>
      <c r="AO103" s="498" t="s">
        <v>74</v>
      </c>
      <c r="AP103" s="179" t="s">
        <v>74</v>
      </c>
      <c r="AQ103" s="498">
        <f>IFERROR(IF(COUNTIF(AP103:AP112,"")=10,"",IF(AO103="NO",0,COUNTIF(AP103:AP112,"SI"))),"")</f>
        <v>5</v>
      </c>
      <c r="AR103" s="521">
        <f>IFERROR(IF(COUNTIF(AF103:AF112,"")=10,"",IF(AO103="NO",0,IF(COUNTIF(E103:E112,"N/A")&gt;0,SUM(CQ103:CQ112),SUM(CR103:CR112)))),"")</f>
        <v>76662.647872999994</v>
      </c>
      <c r="AS103" s="518">
        <f>IFERROR(IF(OR(COUNTIF(AF103:AF112,"")=10,AQ103="",AR103=""),"",IF(AO103="NO",0,AR103/AQ103)),"")</f>
        <v>15332.529574599999</v>
      </c>
      <c r="AT103" s="207"/>
      <c r="AU103" s="613" t="s">
        <v>932</v>
      </c>
      <c r="AV103" s="616" t="s">
        <v>931</v>
      </c>
      <c r="AW103" s="619" t="s">
        <v>1357</v>
      </c>
      <c r="AX103" s="619" t="s">
        <v>1357</v>
      </c>
      <c r="AY103" s="19"/>
      <c r="CB103" s="29" t="str">
        <f>IFERROR(IF(COUNTIF(AF103:AF112,"")=10,"",IF(COUNTIF(E103:E112,"N/A")&gt;0,IF(AF103&gt;=CMEMM1,AF103,0),"N/A")),"")</f>
        <v>N/A</v>
      </c>
      <c r="CC103" s="4"/>
      <c r="CD103" s="4">
        <f>IFERROR(IF(COUNTIF(AF103:AF112,"")=10,"",IF(AF103="","",IF(AF103&gt;=CMEMM1,1,0))),"")</f>
        <v>1</v>
      </c>
      <c r="CE103" s="4" t="str">
        <f>B103&amp;"-0"&amp;1</f>
        <v>P11-01</v>
      </c>
      <c r="CF103" s="4" t="str">
        <f>IFERROR(INDEX('DESEMPATE Y DISCAPACIDAD'!$D$3:$D$450,MATCH(CE103,'DESEMPATE Y DISCAPACIDAD'!$C$3:$C$450,0)),"")</f>
        <v xml:space="preserve">SERVINC SAS </v>
      </c>
      <c r="CG103" s="4">
        <f>IF(OR(CE103="",CF103=""),"",SUMIF(D103:D112,CF103,CD103:CD112))</f>
        <v>3</v>
      </c>
      <c r="CH103" s="4" t="str">
        <f t="shared" si="95"/>
        <v>CUMPLE</v>
      </c>
      <c r="CI103" s="4">
        <f>IF(CF103="","",IF(ISTEXT(CF103),1,0))</f>
        <v>1</v>
      </c>
      <c r="CJ103" s="4" t="str">
        <f>IF(OR(CD103="",CE103="",CF103="",CG103="",CH103="",CI103=""),"",IF(COUNTIF(CH103:CH112,"CUMPLE")=COUNTIF(CI103:CI112,1),"CUMPLE","NO CUMPLE"))</f>
        <v>CUMPLE</v>
      </c>
      <c r="CK103" s="4"/>
      <c r="CL103" s="4">
        <f t="shared" si="66"/>
        <v>1</v>
      </c>
      <c r="CM103" s="4">
        <f t="shared" si="67"/>
        <v>1</v>
      </c>
      <c r="CN103" s="4" t="str">
        <f>IF(OR(CL103="",CM103=""),"",IF(AND(CL103=0,CM103=0),"N/A",IF(AND(CL103=1,CM103=0),"COND. A",IF(AND(CL103=0,CM103=1),"COND. B",IF(AND(CL103=1,CM103=1),"COND. A Y B","")))))</f>
        <v>COND. A Y B</v>
      </c>
      <c r="CO103" s="4" t="str">
        <f>IF(COUNTIF(CN103:CN112,"N/A")=10,"NO CUMPLE",IF(COUNTIF(CN103:CN112,"COND. A Y B")&gt;1,"CUMPLE",IF(AND(COUNTIF(CN103:CN112,"COND. A")&gt;0,COUNTIF(CN103:CN112,"COND. B")&gt;0),"CUMPLE",IF(AND(COUNTIF(CN103:CN112,"COND. A Y B")&gt;0,COUNTIF(CN103:CN112,"COND. A")&gt;0),"CUMPLE",IF(AND(COUNTIF(CN103:CN112,"COND. A Y B")&gt;0,COUNTIF(CN103:CN112,"COND. B")&gt;0),"CUMPLE","NO CUMPLE")))))</f>
        <v>CUMPLE</v>
      </c>
      <c r="CP103" s="4"/>
      <c r="CQ103" s="29" t="str">
        <f t="shared" si="78"/>
        <v>N/A</v>
      </c>
      <c r="CR103" s="29">
        <f t="shared" si="79"/>
        <v>33328.292000000001</v>
      </c>
      <c r="CS103" s="4"/>
    </row>
    <row r="104" spans="1:97" ht="34.25" customHeight="1">
      <c r="B104" s="481"/>
      <c r="C104" s="118" t="s">
        <v>188</v>
      </c>
      <c r="D104" s="119" t="str">
        <f>+IFERROR(INDEX('DESEMPATE Y DISCAPACIDAD'!$D$3:$D$450,MATCH(C104,'DESEMPATE Y DISCAPACIDAD'!$C$3:$C$450,0)),"")</f>
        <v xml:space="preserve">SERVINC SAS </v>
      </c>
      <c r="E104" s="120" t="str">
        <f>IFERROR(IF(D104="","",IF(VLOOKUP(D104,'DESEMPATE Y DISCAPACIDAD'!D$3:$E$450,2,FALSE)=1,"N/A",IF(VLOOKUP(D104,'DESEMPATE Y DISCAPACIDAD'!D$3:$F$450,3,FALSE)="X","SI","NO"))),"")</f>
        <v>NO</v>
      </c>
      <c r="F104" s="179" t="s">
        <v>949</v>
      </c>
      <c r="G104" s="125" t="s">
        <v>660</v>
      </c>
      <c r="H104" s="121" t="s">
        <v>952</v>
      </c>
      <c r="I104" s="122" t="s">
        <v>953</v>
      </c>
      <c r="J104" s="121" t="s">
        <v>74</v>
      </c>
      <c r="K104" s="121" t="s">
        <v>74</v>
      </c>
      <c r="L104" s="121" t="s">
        <v>74</v>
      </c>
      <c r="M104" s="121" t="s">
        <v>74</v>
      </c>
      <c r="N104" s="121" t="str">
        <f t="shared" ref="N104:N112" si="96">IFERROR(IF(OR(J104="",K104=""),"",IF(J104="NO","NO",K104)),"")</f>
        <v>SI</v>
      </c>
      <c r="O104" s="121" t="str">
        <f t="shared" ref="O104:O112" si="97">IFERROR(IF(OR(J104="",L104=""),"",IF(J104="NO","NO",L104)),"")</f>
        <v>SI</v>
      </c>
      <c r="P104" s="121" t="str">
        <f t="shared" ref="P104:P112" si="98">IFERROR(IF(OR(J104="",M104=""),"",IF(J104="NO","NO",M104)),"")</f>
        <v>SI</v>
      </c>
      <c r="Q104" s="121" t="str">
        <f t="shared" si="68"/>
        <v>SI</v>
      </c>
      <c r="R104" s="103">
        <v>0.7</v>
      </c>
      <c r="S104" s="123">
        <v>42438</v>
      </c>
      <c r="T104" s="123">
        <v>46150</v>
      </c>
      <c r="U104" s="121">
        <f t="shared" ref="U104:U112" si="99">IFERROR(IF(T104="","",YEAR(T104)),"")</f>
        <v>2026</v>
      </c>
      <c r="V104" s="358" t="str">
        <f>IF(U104=2023,1160000,IFERROR(INDEX(SMMLV!$B$2:$B$101,MATCH(U104,SMMLV!$A$2:$A$101,0)),""))</f>
        <v/>
      </c>
      <c r="W104" s="358">
        <v>49920672966</v>
      </c>
      <c r="X104" s="121" t="s">
        <v>671</v>
      </c>
      <c r="Y104" s="125">
        <v>148</v>
      </c>
      <c r="Z104" s="500" t="s">
        <v>74</v>
      </c>
      <c r="AA104" s="501"/>
      <c r="AB104" s="502"/>
      <c r="AC104" s="125" t="str">
        <f t="shared" ref="AC104:AC112" si="100">IFERROR(IF(Y104="","",IF(ISNUMBER(Y104),IF(COUNTIF(Z104,"SI")&gt;0,"SI","NO"),Y104)),"")</f>
        <v>SI</v>
      </c>
      <c r="AD104" s="117">
        <f t="shared" si="69"/>
        <v>49920672966</v>
      </c>
      <c r="AE104" s="117">
        <v>28511.35439</v>
      </c>
      <c r="AF104" s="117">
        <f t="shared" si="70"/>
        <v>19957.948073</v>
      </c>
      <c r="AG104" s="470"/>
      <c r="AH104" s="470"/>
      <c r="AI104" s="125" t="str">
        <f t="shared" si="65"/>
        <v>CUMPLE</v>
      </c>
      <c r="AJ104" s="470"/>
      <c r="AK104" s="470"/>
      <c r="AL104" s="472"/>
      <c r="AM104" s="496"/>
      <c r="AN104" s="3" t="s">
        <v>75</v>
      </c>
      <c r="AO104" s="498"/>
      <c r="AP104" s="179" t="s">
        <v>74</v>
      </c>
      <c r="AQ104" s="498"/>
      <c r="AR104" s="522"/>
      <c r="AS104" s="519"/>
      <c r="AT104" s="204"/>
      <c r="AU104" s="614"/>
      <c r="AV104" s="617"/>
      <c r="AW104" s="620"/>
      <c r="AX104" s="620"/>
      <c r="AY104" s="19"/>
      <c r="CB104" s="29" t="str">
        <f>IFERROR(IF(COUNTIF(AF103:AF112,"")=10,"",IF(COUNTIF(E103:E112,"N/A")&gt;0,IF(AF104&gt;=CMEMM1,AF104,0),"N/A")),"")</f>
        <v>N/A</v>
      </c>
      <c r="CC104" s="4"/>
      <c r="CD104" s="4">
        <f>IFERROR(IF(COUNTIF(AF103:AF112,"")=10,"",IF(AF104="","",IF(AF104&gt;=CMEMM1,1,0))),"")</f>
        <v>1</v>
      </c>
      <c r="CE104" s="4" t="str">
        <f>B103&amp;"-0"&amp;2</f>
        <v>P11-02</v>
      </c>
      <c r="CF104" s="4" t="str">
        <f>IFERROR(INDEX('DESEMPATE Y DISCAPACIDAD'!$D$3:$D$450,MATCH(CE104,'DESEMPATE Y DISCAPACIDAD'!$C$3:$C$450,0)),"")</f>
        <v xml:space="preserve">UG21 ENGINEERING S.A.S </v>
      </c>
      <c r="CG104" s="4">
        <f>IF(OR(CE104="",CF104=""),"",SUMIF(D103:D112,CF104,CD103:CD112))</f>
        <v>1</v>
      </c>
      <c r="CH104" s="4" t="str">
        <f t="shared" si="95"/>
        <v>CUMPLE</v>
      </c>
      <c r="CI104" s="4">
        <f t="shared" ref="CI104:CI112" si="101">IF(CF104="","",IF(ISTEXT(CF104),1,0))</f>
        <v>1</v>
      </c>
      <c r="CJ104" s="4"/>
      <c r="CK104" s="4"/>
      <c r="CL104" s="4">
        <f t="shared" si="66"/>
        <v>1</v>
      </c>
      <c r="CM104" s="4">
        <f t="shared" si="67"/>
        <v>1</v>
      </c>
      <c r="CN104" s="4" t="str">
        <f t="shared" ref="CN104:CN112" si="102">IF(OR(CL104="",CM104=""),"",IF(AND(CL104=0,CM104=0),"N/A",IF(AND(CL104=1,CM104=0),"COND. A",IF(AND(CL104=0,CM104=1),"COND. B",IF(AND(CL104=1,CM104=1),"COND. A Y B","")))))</f>
        <v>COND. A Y B</v>
      </c>
      <c r="CO104" s="4"/>
      <c r="CP104" s="4"/>
      <c r="CQ104" s="29" t="str">
        <f t="shared" si="78"/>
        <v>N/A</v>
      </c>
      <c r="CR104" s="29">
        <f t="shared" si="79"/>
        <v>19957.948073</v>
      </c>
      <c r="CS104" s="4"/>
    </row>
    <row r="105" spans="1:97" ht="34.25" customHeight="1">
      <c r="B105" s="481"/>
      <c r="C105" s="118" t="s">
        <v>188</v>
      </c>
      <c r="D105" s="119" t="str">
        <f>+IFERROR(INDEX('DESEMPATE Y DISCAPACIDAD'!$D$3:$D$450,MATCH(C105,'DESEMPATE Y DISCAPACIDAD'!$C$3:$C$450,0)),"")</f>
        <v xml:space="preserve">SERVINC SAS </v>
      </c>
      <c r="E105" s="127" t="str">
        <f>IFERROR(IF(D105="","",IF(VLOOKUP(D105,'DESEMPATE Y DISCAPACIDAD'!D$3:$E$450,2,FALSE)=1,"N/A",IF(VLOOKUP(D105,'DESEMPATE Y DISCAPACIDAD'!D$3:$F$450,3,FALSE)="X","SI","NO"))),"")</f>
        <v>NO</v>
      </c>
      <c r="F105" s="3" t="s">
        <v>954</v>
      </c>
      <c r="G105" s="125" t="s">
        <v>660</v>
      </c>
      <c r="H105" s="125" t="s">
        <v>955</v>
      </c>
      <c r="I105" s="128" t="s">
        <v>956</v>
      </c>
      <c r="J105" s="125" t="s">
        <v>74</v>
      </c>
      <c r="K105" s="121" t="s">
        <v>74</v>
      </c>
      <c r="L105" s="121" t="s">
        <v>75</v>
      </c>
      <c r="M105" s="121" t="s">
        <v>74</v>
      </c>
      <c r="N105" s="125" t="str">
        <f t="shared" si="96"/>
        <v>SI</v>
      </c>
      <c r="O105" s="121" t="str">
        <f t="shared" si="97"/>
        <v>NO</v>
      </c>
      <c r="P105" s="125" t="str">
        <f t="shared" si="98"/>
        <v>SI</v>
      </c>
      <c r="Q105" s="125" t="str">
        <f t="shared" si="68"/>
        <v>SI</v>
      </c>
      <c r="R105" s="68">
        <v>1</v>
      </c>
      <c r="S105" s="129">
        <v>39021</v>
      </c>
      <c r="T105" s="129">
        <v>40480</v>
      </c>
      <c r="U105" s="125">
        <f t="shared" si="99"/>
        <v>2010</v>
      </c>
      <c r="V105" s="21">
        <f>IF(U105=2023,1160000,IFERROR(INDEX(SMMLV!$B$2:$B$101,MATCH(U105,SMMLV!$A$2:$A$101,0)),""))</f>
        <v>515000</v>
      </c>
      <c r="W105" s="358" t="s">
        <v>670</v>
      </c>
      <c r="X105" s="121" t="s">
        <v>671</v>
      </c>
      <c r="Y105" s="125">
        <v>19</v>
      </c>
      <c r="Z105" s="474" t="s">
        <v>74</v>
      </c>
      <c r="AA105" s="475"/>
      <c r="AB105" s="476"/>
      <c r="AC105" s="125" t="str">
        <f t="shared" si="100"/>
        <v>SI</v>
      </c>
      <c r="AD105" s="117" t="str">
        <f t="shared" si="69"/>
        <v>N/A</v>
      </c>
      <c r="AE105" s="117">
        <v>10491.31</v>
      </c>
      <c r="AF105" s="117">
        <f t="shared" si="70"/>
        <v>10491.31</v>
      </c>
      <c r="AG105" s="470"/>
      <c r="AH105" s="470"/>
      <c r="AI105" s="125" t="str">
        <f t="shared" si="65"/>
        <v>CUMPLE</v>
      </c>
      <c r="AJ105" s="470"/>
      <c r="AK105" s="470"/>
      <c r="AL105" s="472"/>
      <c r="AM105" s="496"/>
      <c r="AN105" s="3" t="s">
        <v>75</v>
      </c>
      <c r="AO105" s="498"/>
      <c r="AP105" s="179" t="s">
        <v>74</v>
      </c>
      <c r="AQ105" s="498"/>
      <c r="AR105" s="522"/>
      <c r="AS105" s="519"/>
      <c r="AT105" s="204"/>
      <c r="AU105" s="614"/>
      <c r="AV105" s="617"/>
      <c r="AW105" s="620"/>
      <c r="AX105" s="620"/>
      <c r="AY105" s="19"/>
      <c r="CB105" s="29" t="str">
        <f>IFERROR(IF(COUNTIF(AF103:AF112,"")=10,"",IF(COUNTIF(E103:E112,"N/A")&gt;0,IF(AF105&gt;=CMEMM1,AF105,0),"N/A")),"")</f>
        <v>N/A</v>
      </c>
      <c r="CC105" s="4"/>
      <c r="CD105" s="4">
        <f>IFERROR(IF(COUNTIF(AF103:AF112,"")=10,"",IF(AF105="","",IF(AF105&gt;=CMEMM1,1,0))),"")</f>
        <v>1</v>
      </c>
      <c r="CE105" s="4" t="str">
        <f>B103&amp;"-0"&amp;3</f>
        <v>P11-03</v>
      </c>
      <c r="CF105" s="4">
        <f>IFERROR(INDEX('DESEMPATE Y DISCAPACIDAD'!$D$3:$D$450,MATCH(CE105,'DESEMPATE Y DISCAPACIDAD'!$C$3:$C$450,0)),"")</f>
        <v>0</v>
      </c>
      <c r="CG105" s="4">
        <f>IF(OR(CE105="",CF105=""),"",SUMIF(D103:D112,CF105,CD103:CD112))</f>
        <v>0</v>
      </c>
      <c r="CH105" s="4" t="str">
        <f t="shared" si="95"/>
        <v>NO CUMPLE</v>
      </c>
      <c r="CI105" s="4">
        <f t="shared" si="101"/>
        <v>0</v>
      </c>
      <c r="CJ105" s="4"/>
      <c r="CK105" s="4"/>
      <c r="CL105" s="4">
        <f t="shared" si="66"/>
        <v>1</v>
      </c>
      <c r="CM105" s="4">
        <f t="shared" si="67"/>
        <v>0</v>
      </c>
      <c r="CN105" s="4" t="str">
        <f t="shared" si="102"/>
        <v>COND. A</v>
      </c>
      <c r="CO105" s="4"/>
      <c r="CP105" s="4"/>
      <c r="CQ105" s="29" t="str">
        <f t="shared" si="78"/>
        <v>N/A</v>
      </c>
      <c r="CR105" s="29">
        <f t="shared" si="79"/>
        <v>10491.31</v>
      </c>
      <c r="CS105" s="4"/>
    </row>
    <row r="106" spans="1:97" ht="35" customHeight="1">
      <c r="B106" s="481"/>
      <c r="C106" s="118" t="s">
        <v>188</v>
      </c>
      <c r="D106" s="119" t="str">
        <f>+IFERROR(INDEX('DESEMPATE Y DISCAPACIDAD'!$D$3:$D$450,MATCH(C106,'DESEMPATE Y DISCAPACIDAD'!$C$3:$C$450,0)),"")</f>
        <v xml:space="preserve">SERVINC SAS </v>
      </c>
      <c r="E106" s="127" t="str">
        <f>IFERROR(IF(D106="","",IF(VLOOKUP(D106,'DESEMPATE Y DISCAPACIDAD'!D$3:$E$450,2,FALSE)=1,"N/A",IF(VLOOKUP(D106,'DESEMPATE Y DISCAPACIDAD'!D$3:$F$450,3,FALSE)="X","SI","NO"))),"")</f>
        <v>NO</v>
      </c>
      <c r="F106" s="179" t="s">
        <v>957</v>
      </c>
      <c r="G106" s="107" t="s">
        <v>660</v>
      </c>
      <c r="H106" s="125" t="s">
        <v>958</v>
      </c>
      <c r="I106" s="128" t="s">
        <v>959</v>
      </c>
      <c r="J106" s="121" t="s">
        <v>74</v>
      </c>
      <c r="K106" s="121" t="s">
        <v>74</v>
      </c>
      <c r="L106" s="121" t="s">
        <v>74</v>
      </c>
      <c r="M106" s="121" t="s">
        <v>74</v>
      </c>
      <c r="N106" s="125" t="str">
        <f>IFERROR(IF(OR(J106="",K106=""),"",IF(J106="NO","NO",K106)),"")</f>
        <v>SI</v>
      </c>
      <c r="O106" s="121" t="str">
        <f>IFERROR(IF(OR(J106="",L106=""),"",IF(J106="NO","NO",L106)),"")</f>
        <v>SI</v>
      </c>
      <c r="P106" s="125" t="str">
        <f>IFERROR(IF(OR(J106="",M106=""),"",IF(J106="NO","NO",M106)),"")</f>
        <v>SI</v>
      </c>
      <c r="Q106" s="125" t="str">
        <f t="shared" si="68"/>
        <v>SI</v>
      </c>
      <c r="R106" s="68">
        <v>0.27</v>
      </c>
      <c r="S106" s="129">
        <v>41219</v>
      </c>
      <c r="T106" s="129">
        <v>43196</v>
      </c>
      <c r="U106" s="125">
        <f t="shared" si="99"/>
        <v>2018</v>
      </c>
      <c r="V106" s="21">
        <f>IF(U106=2023,1160000,IFERROR(INDEX(SMMLV!$B$2:$B$101,MATCH(U106,SMMLV!$A$2:$A$101,0)),""))</f>
        <v>781242</v>
      </c>
      <c r="W106" s="358" t="s">
        <v>670</v>
      </c>
      <c r="X106" s="121" t="s">
        <v>671</v>
      </c>
      <c r="Y106" s="125">
        <v>115</v>
      </c>
      <c r="Z106" s="474" t="s">
        <v>74</v>
      </c>
      <c r="AA106" s="475"/>
      <c r="AB106" s="476"/>
      <c r="AC106" s="125" t="str">
        <f t="shared" si="100"/>
        <v>SI</v>
      </c>
      <c r="AD106" s="117" t="str">
        <f t="shared" si="69"/>
        <v>N/A</v>
      </c>
      <c r="AE106" s="117">
        <v>10314.14</v>
      </c>
      <c r="AF106" s="117">
        <f t="shared" si="70"/>
        <v>2784.8177999999998</v>
      </c>
      <c r="AG106" s="470"/>
      <c r="AH106" s="470"/>
      <c r="AI106" s="125" t="str">
        <f t="shared" si="65"/>
        <v>NO CUMPLE</v>
      </c>
      <c r="AJ106" s="470"/>
      <c r="AK106" s="470"/>
      <c r="AL106" s="472"/>
      <c r="AM106" s="496"/>
      <c r="AN106" s="3" t="s">
        <v>75</v>
      </c>
      <c r="AO106" s="498"/>
      <c r="AP106" s="179" t="s">
        <v>74</v>
      </c>
      <c r="AQ106" s="498"/>
      <c r="AR106" s="522"/>
      <c r="AS106" s="519"/>
      <c r="AT106" s="204"/>
      <c r="AU106" s="614"/>
      <c r="AV106" s="617"/>
      <c r="AW106" s="620"/>
      <c r="AX106" s="620"/>
      <c r="AY106" s="19"/>
      <c r="CB106" s="29" t="str">
        <f>IFERROR(IF(COUNTIF(AF103:AF112,"")=10,"",IF(COUNTIF(E103:E112,"N/A")&gt;0,IF(AF106&gt;=CMEMM1,AF106,0),"N/A")),"")</f>
        <v>N/A</v>
      </c>
      <c r="CC106" s="4"/>
      <c r="CD106" s="4">
        <f>IFERROR(IF(COUNTIF(AF103:AF112,"")=10,"",IF(AF106="","",IF(AF106&gt;=CMEMM1,1,0))),"")</f>
        <v>0</v>
      </c>
      <c r="CE106" s="4" t="str">
        <f>B103&amp;"-0"&amp;4</f>
        <v>P11-04</v>
      </c>
      <c r="CF106" s="4">
        <f>IFERROR(INDEX('DESEMPATE Y DISCAPACIDAD'!$D$3:$D$450,MATCH(CE106,'DESEMPATE Y DISCAPACIDAD'!$C$3:$C$450,0)),"")</f>
        <v>0</v>
      </c>
      <c r="CG106" s="4">
        <f>IF(OR(CE106="",CF106=""),"",SUMIF(D103:D112,CF106,CD103:CD112))</f>
        <v>0</v>
      </c>
      <c r="CH106" s="4" t="str">
        <f t="shared" si="95"/>
        <v>NO CUMPLE</v>
      </c>
      <c r="CI106" s="4">
        <f t="shared" si="101"/>
        <v>0</v>
      </c>
      <c r="CJ106" s="4"/>
      <c r="CK106" s="4"/>
      <c r="CL106" s="4">
        <f t="shared" si="66"/>
        <v>1</v>
      </c>
      <c r="CM106" s="4">
        <f t="shared" si="67"/>
        <v>1</v>
      </c>
      <c r="CN106" s="4" t="str">
        <f t="shared" si="102"/>
        <v>COND. A Y B</v>
      </c>
      <c r="CO106" s="4"/>
      <c r="CP106" s="4"/>
      <c r="CQ106" s="29" t="str">
        <f t="shared" si="78"/>
        <v>N/A</v>
      </c>
      <c r="CR106" s="29">
        <f t="shared" si="79"/>
        <v>2784.8177999999998</v>
      </c>
      <c r="CS106" s="4"/>
    </row>
    <row r="107" spans="1:97" ht="35" customHeight="1">
      <c r="B107" s="481"/>
      <c r="C107" s="118" t="s">
        <v>187</v>
      </c>
      <c r="D107" s="126" t="str">
        <f>+IFERROR(INDEX('DESEMPATE Y DISCAPACIDAD'!$D$3:$D$450,MATCH(C107,'DESEMPATE Y DISCAPACIDAD'!$C$3:$C$450,0)),"")</f>
        <v xml:space="preserve">UG21 ENGINEERING S.A.S </v>
      </c>
      <c r="E107" s="127" t="str">
        <f>IFERROR(IF(D107="","",IF(VLOOKUP(D107,'DESEMPATE Y DISCAPACIDAD'!D$3:$E$450,2,FALSE)=1,"N/A",IF(VLOOKUP(D107,'DESEMPATE Y DISCAPACIDAD'!D$3:$F$450,3,FALSE)="X","SI","NO"))),"")</f>
        <v>NO</v>
      </c>
      <c r="F107" s="3" t="s">
        <v>960</v>
      </c>
      <c r="G107" s="125" t="s">
        <v>660</v>
      </c>
      <c r="H107" s="125" t="s">
        <v>961</v>
      </c>
      <c r="I107" s="128" t="s">
        <v>962</v>
      </c>
      <c r="J107" s="125" t="s">
        <v>74</v>
      </c>
      <c r="K107" s="125" t="s">
        <v>75</v>
      </c>
      <c r="L107" s="125" t="s">
        <v>75</v>
      </c>
      <c r="M107" s="125" t="s">
        <v>74</v>
      </c>
      <c r="N107" s="125" t="str">
        <f>IFERROR(IF(OR(J107="",K107=""),"",IF(J107="NO","NO",K107)),"")</f>
        <v>NO</v>
      </c>
      <c r="O107" s="121" t="str">
        <f>IFERROR(IF(OR(J107="",L107=""),"",IF(J107="NO","NO",L107)),"")</f>
        <v>NO</v>
      </c>
      <c r="P107" s="125" t="str">
        <f>IFERROR(IF(OR(J107="",M107=""),"",IF(J107="NO","NO",M107)),"")</f>
        <v>SI</v>
      </c>
      <c r="Q107" s="125" t="str">
        <f t="shared" si="68"/>
        <v>SI</v>
      </c>
      <c r="R107" s="68">
        <v>0.4</v>
      </c>
      <c r="S107" s="129">
        <v>41282</v>
      </c>
      <c r="T107" s="129">
        <v>42459</v>
      </c>
      <c r="U107" s="125">
        <f t="shared" si="99"/>
        <v>2016</v>
      </c>
      <c r="V107" s="21">
        <f>IF(U107=2023,1160000,IFERROR(INDEX(SMMLV!$B$2:$B$101,MATCH(U107,SMMLV!$A$2:$A$101,0)),""))</f>
        <v>689455</v>
      </c>
      <c r="W107" s="358" t="s">
        <v>670</v>
      </c>
      <c r="X107" s="121" t="s">
        <v>671</v>
      </c>
      <c r="Y107" s="125">
        <v>76</v>
      </c>
      <c r="Z107" s="474" t="s">
        <v>74</v>
      </c>
      <c r="AA107" s="475"/>
      <c r="AB107" s="476"/>
      <c r="AC107" s="125" t="str">
        <f t="shared" si="100"/>
        <v>SI</v>
      </c>
      <c r="AD107" s="117" t="str">
        <f t="shared" si="69"/>
        <v>N/A</v>
      </c>
      <c r="AE107" s="117">
        <v>25250.7</v>
      </c>
      <c r="AF107" s="117">
        <f t="shared" si="70"/>
        <v>10100.280000000001</v>
      </c>
      <c r="AG107" s="470"/>
      <c r="AH107" s="470"/>
      <c r="AI107" s="125" t="str">
        <f t="shared" si="65"/>
        <v>CUMPLE</v>
      </c>
      <c r="AJ107" s="470"/>
      <c r="AK107" s="470"/>
      <c r="AL107" s="472"/>
      <c r="AM107" s="496"/>
      <c r="AN107" s="3" t="s">
        <v>75</v>
      </c>
      <c r="AO107" s="498"/>
      <c r="AP107" s="3" t="s">
        <v>74</v>
      </c>
      <c r="AQ107" s="498"/>
      <c r="AR107" s="522"/>
      <c r="AS107" s="519"/>
      <c r="AT107" s="207"/>
      <c r="AU107" s="614"/>
      <c r="AV107" s="617"/>
      <c r="AW107" s="620"/>
      <c r="AX107" s="620"/>
      <c r="AY107" s="19"/>
      <c r="CB107" s="29" t="str">
        <f>IFERROR(IF(COUNTIF(AF103:AF112,"")=10,"",IF(COUNTIF(E103:E112,"N/A")&gt;0,IF(AF107&gt;=CMEMM1,AF107,0),"N/A")),"")</f>
        <v>N/A</v>
      </c>
      <c r="CC107" s="4"/>
      <c r="CD107" s="4">
        <f>IFERROR(IF(COUNTIF(AF103:AF112,"")=10,"",IF(AF107="","",IF(AF107&gt;=CMEMM1,1,0))),"")</f>
        <v>1</v>
      </c>
      <c r="CE107" s="4" t="str">
        <f>B103&amp;"-0"&amp;5</f>
        <v>P11-05</v>
      </c>
      <c r="CF107" s="4">
        <f>IFERROR(INDEX('DESEMPATE Y DISCAPACIDAD'!$D$3:$D$450,MATCH(CE107,'DESEMPATE Y DISCAPACIDAD'!$C$3:$C$450,0)),"")</f>
        <v>0</v>
      </c>
      <c r="CG107" s="4">
        <f>IF(OR(CE107="",CF107=""),"",SUMIF(D103:D112,CF107,CD103:CD112))</f>
        <v>0</v>
      </c>
      <c r="CH107" s="4" t="str">
        <f t="shared" si="95"/>
        <v>NO CUMPLE</v>
      </c>
      <c r="CI107" s="4">
        <f t="shared" si="101"/>
        <v>0</v>
      </c>
      <c r="CJ107" s="4"/>
      <c r="CK107" s="4"/>
      <c r="CL107" s="4">
        <f t="shared" si="66"/>
        <v>0</v>
      </c>
      <c r="CM107" s="4">
        <f t="shared" si="67"/>
        <v>0</v>
      </c>
      <c r="CN107" s="4" t="str">
        <f t="shared" si="102"/>
        <v>N/A</v>
      </c>
      <c r="CO107" s="4"/>
      <c r="CP107" s="4"/>
      <c r="CQ107" s="29" t="str">
        <f t="shared" si="78"/>
        <v>N/A</v>
      </c>
      <c r="CR107" s="29">
        <f t="shared" si="79"/>
        <v>10100.280000000001</v>
      </c>
      <c r="CS107" s="4"/>
    </row>
    <row r="108" spans="1:97" ht="2" customHeight="1">
      <c r="B108" s="481"/>
      <c r="C108" s="118"/>
      <c r="D108" s="126" t="str">
        <f>+IFERROR(INDEX('DESEMPATE Y DISCAPACIDAD'!$D$3:$D$450,MATCH(C108,'DESEMPATE Y DISCAPACIDAD'!$C$3:$C$450,0)),"")</f>
        <v/>
      </c>
      <c r="E108" s="127" t="str">
        <f>IFERROR(IF(D108="","",IF(VLOOKUP(D108,'DESEMPATE Y DISCAPACIDAD'!D$3:$E$450,2,FALSE)=1,"N/A",IF(VLOOKUP(D108,'DESEMPATE Y DISCAPACIDAD'!D$3:$F$450,3,FALSE)="X","SI","NO"))),"")</f>
        <v/>
      </c>
      <c r="F108" s="3"/>
      <c r="G108" s="125"/>
      <c r="H108" s="125"/>
      <c r="I108" s="128"/>
      <c r="J108" s="125"/>
      <c r="K108" s="125"/>
      <c r="L108" s="125"/>
      <c r="M108" s="125"/>
      <c r="N108" s="125" t="str">
        <f t="shared" si="96"/>
        <v/>
      </c>
      <c r="O108" s="125" t="str">
        <f t="shared" si="97"/>
        <v/>
      </c>
      <c r="P108" s="125" t="str">
        <f t="shared" si="98"/>
        <v/>
      </c>
      <c r="Q108" s="125" t="str">
        <f t="shared" si="68"/>
        <v/>
      </c>
      <c r="R108" s="68"/>
      <c r="S108" s="129"/>
      <c r="T108" s="129"/>
      <c r="U108" s="125" t="str">
        <f t="shared" si="99"/>
        <v/>
      </c>
      <c r="V108" s="21" t="str">
        <f>IF(U108=2023,1160000,IFERROR(INDEX(SMMLV!$B$2:$B$101,MATCH(U108,SMMLV!$A$2:$A$101,0)),""))</f>
        <v/>
      </c>
      <c r="W108" s="21"/>
      <c r="X108" s="125"/>
      <c r="Y108" s="125"/>
      <c r="Z108" s="474"/>
      <c r="AA108" s="475"/>
      <c r="AB108" s="476"/>
      <c r="AC108" s="125" t="str">
        <f t="shared" si="100"/>
        <v/>
      </c>
      <c r="AD108" s="117" t="str">
        <f t="shared" si="69"/>
        <v/>
      </c>
      <c r="AE108" s="117" t="s">
        <v>894</v>
      </c>
      <c r="AF108" s="117" t="str">
        <f t="shared" si="70"/>
        <v/>
      </c>
      <c r="AG108" s="470"/>
      <c r="AH108" s="470"/>
      <c r="AI108" s="125" t="str">
        <f t="shared" si="65"/>
        <v/>
      </c>
      <c r="AJ108" s="470"/>
      <c r="AK108" s="470"/>
      <c r="AL108" s="472"/>
      <c r="AM108" s="496"/>
      <c r="AN108" s="3"/>
      <c r="AO108" s="498"/>
      <c r="AP108" s="3"/>
      <c r="AQ108" s="498"/>
      <c r="AR108" s="522"/>
      <c r="AS108" s="519"/>
      <c r="AT108" s="204"/>
      <c r="AU108" s="614"/>
      <c r="AV108" s="617"/>
      <c r="AW108" s="620"/>
      <c r="AX108" s="620"/>
      <c r="AY108" s="19"/>
      <c r="CB108" s="29" t="str">
        <f>IFERROR(IF(COUNTIF(AF103:AF112,"")=10,"",IF(COUNTIF(E103:E112,"N/A")&gt;0,IF(AF108&gt;=CMEMM1,AF108,0),"N/A")),"")</f>
        <v>N/A</v>
      </c>
      <c r="CC108" s="4"/>
      <c r="CD108" s="4" t="str">
        <f>IFERROR(IF(COUNTIF(AF103:AF112,"")=10,"",IF(AF108="","",IF(AF108&gt;=CMEMM1,1,0))),"")</f>
        <v/>
      </c>
      <c r="CE108" s="4" t="str">
        <f>B103&amp;"-0"&amp;6</f>
        <v>P11-06</v>
      </c>
      <c r="CF108" s="4">
        <f>IFERROR(INDEX('DESEMPATE Y DISCAPACIDAD'!$D$3:$D$450,MATCH(CE108,'DESEMPATE Y DISCAPACIDAD'!$C$3:$C$450,0)),"")</f>
        <v>0</v>
      </c>
      <c r="CG108" s="4">
        <f>IF(OR(CE108="",CF108=""),"",SUMIF(D103:D112,CF108,CD103:CD112))</f>
        <v>0</v>
      </c>
      <c r="CH108" s="4" t="str">
        <f t="shared" si="95"/>
        <v>NO CUMPLE</v>
      </c>
      <c r="CI108" s="4">
        <f t="shared" si="101"/>
        <v>0</v>
      </c>
      <c r="CJ108" s="4"/>
      <c r="CK108" s="4"/>
      <c r="CL108" s="4" t="str">
        <f t="shared" si="66"/>
        <v/>
      </c>
      <c r="CM108" s="4" t="str">
        <f t="shared" si="67"/>
        <v/>
      </c>
      <c r="CN108" s="4" t="str">
        <f t="shared" si="102"/>
        <v/>
      </c>
      <c r="CO108" s="4"/>
      <c r="CP108" s="4"/>
      <c r="CQ108" s="29" t="str">
        <f t="shared" si="78"/>
        <v/>
      </c>
      <c r="CR108" s="29" t="str">
        <f t="shared" si="79"/>
        <v/>
      </c>
      <c r="CS108" s="4"/>
    </row>
    <row r="109" spans="1:97" ht="2" customHeight="1">
      <c r="B109" s="481"/>
      <c r="C109" s="118"/>
      <c r="D109" s="126" t="str">
        <f>+IFERROR(INDEX('DESEMPATE Y DISCAPACIDAD'!$D$3:$D$450,MATCH(C109,'DESEMPATE Y DISCAPACIDAD'!$C$3:$C$450,0)),"")</f>
        <v/>
      </c>
      <c r="E109" s="127" t="str">
        <f>IFERROR(IF(D109="","",IF(VLOOKUP(D109,'DESEMPATE Y DISCAPACIDAD'!D$3:$E$450,2,FALSE)=1,"N/A",IF(VLOOKUP(D109,'DESEMPATE Y DISCAPACIDAD'!D$3:$F$450,3,FALSE)="X","SI","NO"))),"")</f>
        <v/>
      </c>
      <c r="F109" s="3"/>
      <c r="G109" s="125"/>
      <c r="H109" s="125"/>
      <c r="I109" s="128"/>
      <c r="J109" s="125"/>
      <c r="K109" s="125"/>
      <c r="L109" s="125"/>
      <c r="M109" s="125"/>
      <c r="N109" s="125" t="str">
        <f t="shared" si="96"/>
        <v/>
      </c>
      <c r="O109" s="125" t="str">
        <f t="shared" si="97"/>
        <v/>
      </c>
      <c r="P109" s="125" t="str">
        <f t="shared" si="98"/>
        <v/>
      </c>
      <c r="Q109" s="125" t="str">
        <f t="shared" si="68"/>
        <v/>
      </c>
      <c r="R109" s="68"/>
      <c r="S109" s="129"/>
      <c r="T109" s="129"/>
      <c r="U109" s="125" t="str">
        <f t="shared" si="99"/>
        <v/>
      </c>
      <c r="V109" s="21" t="str">
        <f>IF(U109=2023,1160000,IFERROR(INDEX(SMMLV!$B$2:$B$101,MATCH(U109,SMMLV!$A$2:$A$101,0)),""))</f>
        <v/>
      </c>
      <c r="W109" s="21"/>
      <c r="X109" s="125"/>
      <c r="Y109" s="125"/>
      <c r="Z109" s="474"/>
      <c r="AA109" s="475"/>
      <c r="AB109" s="476"/>
      <c r="AC109" s="125" t="str">
        <f t="shared" si="100"/>
        <v/>
      </c>
      <c r="AD109" s="117" t="str">
        <f t="shared" si="69"/>
        <v/>
      </c>
      <c r="AE109" s="117" t="s">
        <v>894</v>
      </c>
      <c r="AF109" s="117" t="str">
        <f t="shared" si="70"/>
        <v/>
      </c>
      <c r="AG109" s="470"/>
      <c r="AH109" s="470"/>
      <c r="AI109" s="125" t="str">
        <f t="shared" si="65"/>
        <v/>
      </c>
      <c r="AJ109" s="470"/>
      <c r="AK109" s="470"/>
      <c r="AL109" s="472"/>
      <c r="AM109" s="496"/>
      <c r="AN109" s="3"/>
      <c r="AO109" s="498"/>
      <c r="AP109" s="3"/>
      <c r="AQ109" s="498"/>
      <c r="AR109" s="522"/>
      <c r="AS109" s="519"/>
      <c r="AT109" s="204"/>
      <c r="AU109" s="614"/>
      <c r="AV109" s="617"/>
      <c r="AW109" s="620"/>
      <c r="AX109" s="620"/>
      <c r="AY109" s="19"/>
      <c r="CB109" s="29" t="str">
        <f>IFERROR(IF(COUNTIF(AF103:AF112,"")=10,"",IF(COUNTIF(E103:E112,"N/A")&gt;0,IF(AF109&gt;=CMEMM1,AF109,0),"N/A")),"")</f>
        <v>N/A</v>
      </c>
      <c r="CC109" s="4"/>
      <c r="CD109" s="4" t="str">
        <f>IFERROR(IF(COUNTIF(AF103:AF112,"")=10,"",IF(AF109="","",IF(AF109&gt;=CMEMM1,1,0))),"")</f>
        <v/>
      </c>
      <c r="CE109" s="4" t="str">
        <f>B103&amp;"-0"&amp;7</f>
        <v>P11-07</v>
      </c>
      <c r="CF109" s="4" t="str">
        <f>IFERROR(INDEX('DESEMPATE Y DISCAPACIDAD'!$D$3:$D$450,MATCH(CE109,'DESEMPATE Y DISCAPACIDAD'!$C$3:$C$450,0)),"")</f>
        <v/>
      </c>
      <c r="CG109" s="4" t="str">
        <f>IF(OR(CE109="",CF109=""),"",SUMIF(D103:D112,CF109,CD103:CD112))</f>
        <v/>
      </c>
      <c r="CH109" s="4" t="str">
        <f t="shared" si="95"/>
        <v/>
      </c>
      <c r="CI109" s="4" t="str">
        <f t="shared" si="101"/>
        <v/>
      </c>
      <c r="CJ109" s="4"/>
      <c r="CK109" s="4"/>
      <c r="CL109" s="4" t="str">
        <f t="shared" si="66"/>
        <v/>
      </c>
      <c r="CM109" s="4" t="str">
        <f t="shared" si="67"/>
        <v/>
      </c>
      <c r="CN109" s="4" t="str">
        <f t="shared" si="102"/>
        <v/>
      </c>
      <c r="CO109" s="4"/>
      <c r="CP109" s="4"/>
      <c r="CQ109" s="29" t="str">
        <f t="shared" si="78"/>
        <v/>
      </c>
      <c r="CR109" s="29" t="str">
        <f t="shared" si="79"/>
        <v/>
      </c>
      <c r="CS109" s="4"/>
    </row>
    <row r="110" spans="1:97" ht="2" customHeight="1">
      <c r="B110" s="481"/>
      <c r="C110" s="118"/>
      <c r="D110" s="126" t="str">
        <f>+IFERROR(INDEX('DESEMPATE Y DISCAPACIDAD'!$D$3:$D$450,MATCH(C110,'DESEMPATE Y DISCAPACIDAD'!$C$3:$C$450,0)),"")</f>
        <v/>
      </c>
      <c r="E110" s="127" t="str">
        <f>IFERROR(IF(D110="","",IF(VLOOKUP(D110,'DESEMPATE Y DISCAPACIDAD'!D$3:$E$450,2,FALSE)=1,"N/A",IF(VLOOKUP(D110,'DESEMPATE Y DISCAPACIDAD'!D$3:$F$450,3,FALSE)="X","SI","NO"))),"")</f>
        <v/>
      </c>
      <c r="F110" s="3"/>
      <c r="G110" s="125"/>
      <c r="H110" s="125"/>
      <c r="I110" s="128"/>
      <c r="J110" s="125"/>
      <c r="K110" s="125"/>
      <c r="L110" s="125"/>
      <c r="M110" s="125"/>
      <c r="N110" s="125" t="str">
        <f t="shared" si="96"/>
        <v/>
      </c>
      <c r="O110" s="125" t="str">
        <f t="shared" si="97"/>
        <v/>
      </c>
      <c r="P110" s="125" t="str">
        <f t="shared" si="98"/>
        <v/>
      </c>
      <c r="Q110" s="125" t="str">
        <f t="shared" si="68"/>
        <v/>
      </c>
      <c r="R110" s="68"/>
      <c r="S110" s="129"/>
      <c r="T110" s="129"/>
      <c r="U110" s="125" t="str">
        <f t="shared" si="99"/>
        <v/>
      </c>
      <c r="V110" s="21" t="str">
        <f>IF(U110=2023,1160000,IFERROR(INDEX(SMMLV!$B$2:$B$101,MATCH(U110,SMMLV!$A$2:$A$101,0)),""))</f>
        <v/>
      </c>
      <c r="W110" s="21"/>
      <c r="X110" s="125"/>
      <c r="Y110" s="125"/>
      <c r="Z110" s="474"/>
      <c r="AA110" s="475"/>
      <c r="AB110" s="476"/>
      <c r="AC110" s="125" t="str">
        <f t="shared" si="100"/>
        <v/>
      </c>
      <c r="AD110" s="117" t="str">
        <f t="shared" si="69"/>
        <v/>
      </c>
      <c r="AE110" s="117" t="s">
        <v>894</v>
      </c>
      <c r="AF110" s="117" t="str">
        <f t="shared" si="70"/>
        <v/>
      </c>
      <c r="AG110" s="470"/>
      <c r="AH110" s="470"/>
      <c r="AI110" s="125" t="str">
        <f t="shared" si="65"/>
        <v/>
      </c>
      <c r="AJ110" s="470"/>
      <c r="AK110" s="470"/>
      <c r="AL110" s="472"/>
      <c r="AM110" s="496"/>
      <c r="AN110" s="3"/>
      <c r="AO110" s="498"/>
      <c r="AP110" s="3"/>
      <c r="AQ110" s="498"/>
      <c r="AR110" s="522"/>
      <c r="AS110" s="519"/>
      <c r="AT110" s="204"/>
      <c r="AU110" s="614"/>
      <c r="AV110" s="617"/>
      <c r="AW110" s="620"/>
      <c r="AX110" s="620"/>
      <c r="AY110" s="19"/>
      <c r="CB110" s="29" t="str">
        <f>IFERROR(IF(COUNTIF(AF103:AF112,"")=10,"",IF(COUNTIF(E103:E112,"N/A")&gt;0,IF(AF110&gt;=CMEMM1,AF110,0),"N/A")),"")</f>
        <v>N/A</v>
      </c>
      <c r="CC110" s="4"/>
      <c r="CD110" s="4" t="str">
        <f>IFERROR(IF(COUNTIF(AF103:AF112,"")=10,"",IF(AF110="","",IF(AF110&gt;=CMEMM1,1,0))),"")</f>
        <v/>
      </c>
      <c r="CE110" s="4" t="str">
        <f>B103&amp;"-0"&amp;8</f>
        <v>P11-08</v>
      </c>
      <c r="CF110" s="4" t="str">
        <f>IFERROR(INDEX('DESEMPATE Y DISCAPACIDAD'!$D$3:$D$450,MATCH(CE110,'DESEMPATE Y DISCAPACIDAD'!$C$3:$C$450,0)),"")</f>
        <v/>
      </c>
      <c r="CG110" s="4" t="str">
        <f>IF(OR(CE110="",CF110=""),"",SUMIF(D103:D112,CF110,CD103:CD112))</f>
        <v/>
      </c>
      <c r="CH110" s="4" t="str">
        <f t="shared" si="95"/>
        <v/>
      </c>
      <c r="CI110" s="4" t="str">
        <f t="shared" si="101"/>
        <v/>
      </c>
      <c r="CJ110" s="4"/>
      <c r="CK110" s="4"/>
      <c r="CL110" s="4" t="str">
        <f t="shared" si="66"/>
        <v/>
      </c>
      <c r="CM110" s="4" t="str">
        <f t="shared" si="67"/>
        <v/>
      </c>
      <c r="CN110" s="4" t="str">
        <f t="shared" si="102"/>
        <v/>
      </c>
      <c r="CO110" s="4"/>
      <c r="CP110" s="4"/>
      <c r="CQ110" s="29" t="str">
        <f t="shared" si="78"/>
        <v/>
      </c>
      <c r="CR110" s="29" t="str">
        <f t="shared" si="79"/>
        <v/>
      </c>
      <c r="CS110" s="4"/>
    </row>
    <row r="111" spans="1:97" ht="2" customHeight="1">
      <c r="B111" s="481"/>
      <c r="C111" s="118"/>
      <c r="D111" s="126" t="str">
        <f>+IFERROR(INDEX('DESEMPATE Y DISCAPACIDAD'!$D$3:$D$450,MATCH(C111,'DESEMPATE Y DISCAPACIDAD'!$C$3:$C$450,0)),"")</f>
        <v/>
      </c>
      <c r="E111" s="127" t="str">
        <f>IFERROR(IF(D111="","",IF(VLOOKUP(D111,'DESEMPATE Y DISCAPACIDAD'!D$3:$E$450,2,FALSE)=1,"N/A",IF(VLOOKUP(D111,'DESEMPATE Y DISCAPACIDAD'!D$3:$F$450,3,FALSE)="X","SI","NO"))),"")</f>
        <v/>
      </c>
      <c r="F111" s="3"/>
      <c r="G111" s="125"/>
      <c r="H111" s="125"/>
      <c r="I111" s="128"/>
      <c r="J111" s="125"/>
      <c r="K111" s="125"/>
      <c r="L111" s="125"/>
      <c r="M111" s="125"/>
      <c r="N111" s="125" t="str">
        <f t="shared" si="96"/>
        <v/>
      </c>
      <c r="O111" s="125" t="str">
        <f t="shared" si="97"/>
        <v/>
      </c>
      <c r="P111" s="125" t="str">
        <f t="shared" si="98"/>
        <v/>
      </c>
      <c r="Q111" s="125" t="str">
        <f t="shared" si="68"/>
        <v/>
      </c>
      <c r="R111" s="68"/>
      <c r="S111" s="129"/>
      <c r="T111" s="129"/>
      <c r="U111" s="125" t="str">
        <f t="shared" si="99"/>
        <v/>
      </c>
      <c r="V111" s="21" t="str">
        <f>IF(U111=2023,1160000,IFERROR(INDEX(SMMLV!$B$2:$B$101,MATCH(U111,SMMLV!$A$2:$A$101,0)),""))</f>
        <v/>
      </c>
      <c r="W111" s="21"/>
      <c r="X111" s="125"/>
      <c r="Y111" s="125"/>
      <c r="Z111" s="474"/>
      <c r="AA111" s="475"/>
      <c r="AB111" s="476"/>
      <c r="AC111" s="125" t="str">
        <f t="shared" si="100"/>
        <v/>
      </c>
      <c r="AD111" s="117" t="str">
        <f t="shared" si="69"/>
        <v/>
      </c>
      <c r="AE111" s="117" t="s">
        <v>894</v>
      </c>
      <c r="AF111" s="117" t="str">
        <f t="shared" si="70"/>
        <v/>
      </c>
      <c r="AG111" s="470"/>
      <c r="AH111" s="470"/>
      <c r="AI111" s="125" t="str">
        <f t="shared" si="65"/>
        <v/>
      </c>
      <c r="AJ111" s="470"/>
      <c r="AK111" s="470"/>
      <c r="AL111" s="472"/>
      <c r="AM111" s="496"/>
      <c r="AN111" s="3"/>
      <c r="AO111" s="498"/>
      <c r="AP111" s="3"/>
      <c r="AQ111" s="498"/>
      <c r="AR111" s="522"/>
      <c r="AS111" s="519"/>
      <c r="AT111" s="204"/>
      <c r="AU111" s="614"/>
      <c r="AV111" s="617"/>
      <c r="AW111" s="620"/>
      <c r="AX111" s="620"/>
      <c r="AY111" s="19"/>
      <c r="CB111" s="29" t="str">
        <f>IFERROR(IF(COUNTIF(AF103:AF112,"")=10,"",IF(COUNTIF(E103:E112,"N/A")&gt;0,IF(AF111&gt;=CMEMM1,AF111,0),"N/A")),"")</f>
        <v>N/A</v>
      </c>
      <c r="CC111" s="4"/>
      <c r="CD111" s="4" t="str">
        <f>IFERROR(IF(COUNTIF(AF103:AF112,"")=10,"",IF(AF111="","",IF(AF111&gt;=CMEMM1,1,0))),"")</f>
        <v/>
      </c>
      <c r="CE111" s="4" t="str">
        <f>B103&amp;"-0"&amp;9</f>
        <v>P11-09</v>
      </c>
      <c r="CF111" s="4" t="str">
        <f>IFERROR(INDEX('DESEMPATE Y DISCAPACIDAD'!$D$3:$D$450,MATCH(CE111,'DESEMPATE Y DISCAPACIDAD'!$C$3:$C$450,0)),"")</f>
        <v/>
      </c>
      <c r="CG111" s="4" t="str">
        <f>IF(OR(CE111="",CF111=""),"",SUMIF(D103:D112,CF111,CD103:CD112))</f>
        <v/>
      </c>
      <c r="CH111" s="4" t="str">
        <f t="shared" si="95"/>
        <v/>
      </c>
      <c r="CI111" s="4" t="str">
        <f t="shared" si="101"/>
        <v/>
      </c>
      <c r="CJ111" s="4"/>
      <c r="CK111" s="4"/>
      <c r="CL111" s="4" t="str">
        <f t="shared" si="66"/>
        <v/>
      </c>
      <c r="CM111" s="4" t="str">
        <f t="shared" si="67"/>
        <v/>
      </c>
      <c r="CN111" s="4" t="str">
        <f t="shared" si="102"/>
        <v/>
      </c>
      <c r="CO111" s="4"/>
      <c r="CP111" s="4"/>
      <c r="CQ111" s="29" t="str">
        <f t="shared" si="78"/>
        <v/>
      </c>
      <c r="CR111" s="29" t="str">
        <f t="shared" si="79"/>
        <v/>
      </c>
      <c r="CS111" s="4"/>
    </row>
    <row r="112" spans="1:97" ht="2" customHeight="1" thickBot="1">
      <c r="B112" s="482"/>
      <c r="C112" s="130"/>
      <c r="D112" s="131" t="str">
        <f>+IFERROR(INDEX('DESEMPATE Y DISCAPACIDAD'!$D$3:$D$450,MATCH(C112,'DESEMPATE Y DISCAPACIDAD'!$C$3:$C$450,0)),"")</f>
        <v/>
      </c>
      <c r="E112" s="132" t="str">
        <f>IFERROR(IF(D112="","",IF(VLOOKUP(D112,'DESEMPATE Y DISCAPACIDAD'!D$3:$E$450,2,FALSE)=1,"N/A",IF(VLOOKUP(D112,'DESEMPATE Y DISCAPACIDAD'!D$3:$F$450,3,FALSE)="X","SI","NO"))),"")</f>
        <v/>
      </c>
      <c r="F112" s="5"/>
      <c r="G112" s="133"/>
      <c r="H112" s="133"/>
      <c r="I112" s="134"/>
      <c r="J112" s="133"/>
      <c r="K112" s="133"/>
      <c r="L112" s="133"/>
      <c r="M112" s="133"/>
      <c r="N112" s="133" t="str">
        <f t="shared" si="96"/>
        <v/>
      </c>
      <c r="O112" s="133" t="str">
        <f t="shared" si="97"/>
        <v/>
      </c>
      <c r="P112" s="133" t="str">
        <f t="shared" si="98"/>
        <v/>
      </c>
      <c r="Q112" s="133" t="str">
        <f t="shared" si="68"/>
        <v/>
      </c>
      <c r="R112" s="104"/>
      <c r="S112" s="135"/>
      <c r="T112" s="135"/>
      <c r="U112" s="133" t="str">
        <f t="shared" si="99"/>
        <v/>
      </c>
      <c r="V112" s="22" t="str">
        <f>IF(U112=2023,1160000,IFERROR(INDEX(SMMLV!$B$2:$B$101,MATCH(U112,SMMLV!$A$2:$A$101,0)),""))</f>
        <v/>
      </c>
      <c r="W112" s="22"/>
      <c r="X112" s="133"/>
      <c r="Y112" s="133"/>
      <c r="Z112" s="487"/>
      <c r="AA112" s="488"/>
      <c r="AB112" s="489"/>
      <c r="AC112" s="133" t="str">
        <f t="shared" si="100"/>
        <v/>
      </c>
      <c r="AD112" s="136" t="str">
        <f t="shared" si="69"/>
        <v/>
      </c>
      <c r="AE112" s="136" t="s">
        <v>894</v>
      </c>
      <c r="AF112" s="136" t="str">
        <f t="shared" si="70"/>
        <v/>
      </c>
      <c r="AG112" s="471"/>
      <c r="AH112" s="471"/>
      <c r="AI112" s="133" t="str">
        <f t="shared" si="65"/>
        <v/>
      </c>
      <c r="AJ112" s="471"/>
      <c r="AK112" s="471"/>
      <c r="AL112" s="473"/>
      <c r="AM112" s="497"/>
      <c r="AN112" s="5"/>
      <c r="AO112" s="499"/>
      <c r="AP112" s="5"/>
      <c r="AQ112" s="499"/>
      <c r="AR112" s="523"/>
      <c r="AS112" s="520"/>
      <c r="AT112" s="206"/>
      <c r="AU112" s="615"/>
      <c r="AV112" s="618"/>
      <c r="AW112" s="621"/>
      <c r="AX112" s="621"/>
      <c r="AY112" s="19"/>
      <c r="CB112" s="29" t="str">
        <f>IFERROR(IF(COUNTIF(AF103:AF112,"")=10,"",IF(COUNTIF(E103:E112,"N/A")&gt;0,IF(AF112&gt;=CMEMM1,AF112,0),"N/A")),"")</f>
        <v>N/A</v>
      </c>
      <c r="CC112" s="4"/>
      <c r="CD112" s="4" t="str">
        <f>IFERROR(IF(COUNTIF(AF103:AF112,"")=10,"",IF(AF112="","",IF(AF112&gt;=CMEMM1,1,0))),"")</f>
        <v/>
      </c>
      <c r="CE112" s="4" t="str">
        <f>B103&amp;"-"&amp;10</f>
        <v>P11-10</v>
      </c>
      <c r="CF112" s="4" t="str">
        <f>IFERROR(INDEX('DESEMPATE Y DISCAPACIDAD'!$D$3:$D$450,MATCH(CE112,'DESEMPATE Y DISCAPACIDAD'!$C$3:$C$450,0)),"")</f>
        <v/>
      </c>
      <c r="CG112" s="4" t="str">
        <f>IF(OR(CE112="",CF112=""),"",SUMIF(D103:D112,CF112,CD103:CD112))</f>
        <v/>
      </c>
      <c r="CH112" s="4" t="str">
        <f t="shared" si="95"/>
        <v/>
      </c>
      <c r="CI112" s="4" t="str">
        <f t="shared" si="101"/>
        <v/>
      </c>
      <c r="CJ112" s="4"/>
      <c r="CK112" s="4"/>
      <c r="CL112" s="4" t="str">
        <f t="shared" si="66"/>
        <v/>
      </c>
      <c r="CM112" s="4" t="str">
        <f t="shared" si="67"/>
        <v/>
      </c>
      <c r="CN112" s="4" t="str">
        <f t="shared" si="102"/>
        <v/>
      </c>
      <c r="CO112" s="4"/>
      <c r="CP112" s="4"/>
      <c r="CQ112" s="29" t="str">
        <f t="shared" si="78"/>
        <v/>
      </c>
      <c r="CR112" s="29" t="str">
        <f t="shared" si="79"/>
        <v/>
      </c>
      <c r="CS112" s="4"/>
    </row>
    <row r="113" spans="1:97" ht="35" customHeight="1">
      <c r="A113" s="4" t="str">
        <f>"A"&amp;B113</f>
        <v>AP12</v>
      </c>
      <c r="B113" s="480" t="s">
        <v>133</v>
      </c>
      <c r="C113" s="108" t="s">
        <v>189</v>
      </c>
      <c r="D113" s="119" t="str">
        <f>+IFERROR(INDEX('DESEMPATE Y DISCAPACIDAD'!$D$3:$D$450,MATCH(C113,'DESEMPATE Y DISCAPACIDAD'!$C$3:$C$450,0)),"")</f>
        <v>CANJI DISEÑOS E INTERVENTORIAS S.A.S.</v>
      </c>
      <c r="E113" s="120" t="str">
        <f>IFERROR(IF(D113="","",IF(VLOOKUP(D113,'DESEMPATE Y DISCAPACIDAD'!D$3:$E$450,2,FALSE)=1,"N/A",IF(VLOOKUP(D113,'DESEMPATE Y DISCAPACIDAD'!D$3:$F$450,3,FALSE)="X","SI","NO"))),"")</f>
        <v>NO</v>
      </c>
      <c r="F113" s="3" t="s">
        <v>741</v>
      </c>
      <c r="G113" s="121" t="s">
        <v>660</v>
      </c>
      <c r="H113" s="121" t="s">
        <v>963</v>
      </c>
      <c r="I113" s="122" t="s">
        <v>964</v>
      </c>
      <c r="J113" s="121" t="s">
        <v>74</v>
      </c>
      <c r="K113" s="121" t="s">
        <v>74</v>
      </c>
      <c r="L113" s="121" t="s">
        <v>75</v>
      </c>
      <c r="M113" s="121" t="s">
        <v>74</v>
      </c>
      <c r="N113" s="121" t="str">
        <f>IFERROR(IF(OR(J113="",K113=""),"",IF(J113="NO","NO",K113)),"")</f>
        <v>SI</v>
      </c>
      <c r="O113" s="121" t="str">
        <f>IFERROR(IF(OR(J113="",L113=""),"",IF(J113="NO","NO",L113)),"")</f>
        <v>NO</v>
      </c>
      <c r="P113" s="121" t="str">
        <f>IFERROR(IF(OR(J113="",M113=""),"",IF(J113="NO","NO",M113)),"")</f>
        <v>SI</v>
      </c>
      <c r="Q113" s="121" t="str">
        <f t="shared" si="68"/>
        <v>SI</v>
      </c>
      <c r="R113" s="103">
        <v>0.6</v>
      </c>
      <c r="S113" s="123">
        <v>41253</v>
      </c>
      <c r="T113" s="123">
        <v>42916</v>
      </c>
      <c r="U113" s="121">
        <f>IFERROR(IF(T113="","",YEAR(T113)),"")</f>
        <v>2017</v>
      </c>
      <c r="V113" s="358">
        <f>IF(U113=2023,1160000,IFERROR(INDEX(SMMLV!$B$2:$B$101,MATCH(U113,SMMLV!$A$2:$A$101,0)),""))</f>
        <v>737717</v>
      </c>
      <c r="W113" s="358" t="s">
        <v>670</v>
      </c>
      <c r="X113" s="121" t="s">
        <v>671</v>
      </c>
      <c r="Y113" s="121">
        <v>54</v>
      </c>
      <c r="Z113" s="483" t="s">
        <v>74</v>
      </c>
      <c r="AA113" s="484"/>
      <c r="AB113" s="485"/>
      <c r="AC113" s="121" t="str">
        <f>IFERROR(IF(Y113="","",IF(ISNUMBER(Y113),IF(COUNTIF(Z113,"SI")&gt;0,"SI","NO"),Y113)),"")</f>
        <v>SI</v>
      </c>
      <c r="AD113" s="124" t="str">
        <f t="shared" si="69"/>
        <v>N/A</v>
      </c>
      <c r="AE113" s="124">
        <v>12058.11</v>
      </c>
      <c r="AF113" s="124">
        <f t="shared" si="70"/>
        <v>7234.866</v>
      </c>
      <c r="AG113" s="486" t="str">
        <f>IFERROR(IF(COUNTIF(AF113:AF122,"")=10,"",IF(COUNTIF(E113:E122,"N/A")&gt;0,IF(SUM(CB113:CB122)&gt;=CMEM1,"CUMPLE","NO CUMPLE"),IF(SUM(AF113:AF122)&gt;=CMEM1,"CUMPLE","NO CUMPLE"))),"")</f>
        <v>CUMPLE</v>
      </c>
      <c r="AH113" s="486" t="str">
        <f>IF(COUNTIF(AF113:AF122,"")=10,"",IF(SUMIF(C113:C122,C113,AF113:AF122)&gt;=CMLM1,"CUMPLE",IF(SUMIF(C113:C122,C114,AF113:AF122)&gt;=CMLM1,"CUMPLE",IF(SUMIF(C113:C122,C115,AF113:AF122)&gt;=CMLM1,"CUMPLE",IF(SUMIF(C113:C122,C116,AF113:AF122)&gt;=CMLM1,"CUMPLE",IF(SUMIF(C113:C122,C117,AF113:AF122)&gt;=CMLM1,"CUMPLE",IF(SUMIF(C113:C122,C118,AF113:AF122)&gt;=CMLM1,"CUMPLE",IF(SUMIF(C113:C122,C119,AF113:AF122)&gt;=CMLM1,"CUMPLE",IF(SUMIF(C113:C122,C120,AF113:AF122)&gt;=CMLM1,"CUMPLE",IF(SUMIF(C113:C122,C121,AF113:AF122)&gt;=CMLM1,"CUMPLE",IF(SUMIF(C113:C122,C122,AF113:AF122)&gt;=CMLM1,"CUMPLE","NO CUMPLE")))))))))))</f>
        <v>CUMPLE</v>
      </c>
      <c r="AI113" s="121" t="str">
        <f t="shared" si="65"/>
        <v>CUMPLE</v>
      </c>
      <c r="AJ113" s="469" t="str">
        <f>IFERROR(IF(COUNTIF(AF113:AF122,"")=10,"",IF(COUNTIF(E113:E122,"N/A")&gt;0,"N/A",CJ113)),"")</f>
        <v>CUMPLE</v>
      </c>
      <c r="AK113" s="469" t="str">
        <f>IFERROR(IF(AND(COUNTIF(N113:N122,"SI")&gt;=1,COUNTIF(O113:O122,"SI")&gt;=1,COUNTIF(P113:P122,"SI")&gt;=1,COUNTIF(J113:J122,"SI")&lt;=10,CO113="CUMPLE"),"CUMPLE","NO CUMPLE"),"")</f>
        <v>CUMPLE</v>
      </c>
      <c r="AL113" s="472" t="s">
        <v>77</v>
      </c>
      <c r="AM113" s="495">
        <f>IFERROR(IF(B113&lt;&gt;"",IF(VLOOKUP(B113,'DESEMPATE Y DISCAPACIDAD'!$A$3:$Q$450,10,FALSE)="","",VLOOKUP(B113,'DESEMPATE Y DISCAPACIDAD'!$A$3:$Q$450,10,FALSE)+6),""),"")</f>
        <v>8</v>
      </c>
      <c r="AN113" s="125" t="s">
        <v>75</v>
      </c>
      <c r="AO113" s="490" t="s">
        <v>74</v>
      </c>
      <c r="AP113" s="121" t="s">
        <v>74</v>
      </c>
      <c r="AQ113" s="490">
        <f>IFERROR(IF(COUNTIF(AP113:AP122,"")=10,"",IF(AO113="NO",0,COUNTIF(AP113:AP122,"SI"))),"")</f>
        <v>5</v>
      </c>
      <c r="AR113" s="521">
        <f>IFERROR(IF(COUNTIF(AF113:AF122,"")=10,"",IF(AO113="NO",0,IF(COUNTIF(E113:E122,"N/A")&gt;0,SUM(CQ113:CQ122),SUM(CR113:CR122)))),"")</f>
        <v>107969.90160000001</v>
      </c>
      <c r="AS113" s="518">
        <f>IFERROR(IF(OR(COUNTIF(AF113:AF122,"")=10,AQ113="",AR113=""),"",IF(AO113="NO",0,AR113/AQ113)),"")</f>
        <v>21593.980320000002</v>
      </c>
      <c r="AT113" s="207"/>
      <c r="AU113" s="613" t="s">
        <v>933</v>
      </c>
      <c r="AV113" s="616" t="s">
        <v>931</v>
      </c>
      <c r="AW113" s="622" t="s">
        <v>1357</v>
      </c>
      <c r="AX113" s="619" t="s">
        <v>1357</v>
      </c>
      <c r="AY113" s="19"/>
      <c r="CB113" s="29" t="str">
        <f>IFERROR(IF(COUNTIF(AF113:AF122,"")=10,"",IF(COUNTIF(E113:E122,"N/A")&gt;0,IF(AF113&gt;=CMEMM1,AF113,0),"N/A")),"")</f>
        <v>N/A</v>
      </c>
      <c r="CC113" s="4"/>
      <c r="CD113" s="4">
        <f>IFERROR(IF(COUNTIF(AF113:AF122,"")=10,"",IF(AF113="","",IF(AF113&gt;=CMEMM1,1,0))),"")</f>
        <v>1</v>
      </c>
      <c r="CE113" s="4" t="str">
        <f>B113&amp;"-0"&amp;1</f>
        <v>P12-01</v>
      </c>
      <c r="CF113" s="4" t="str">
        <f>IFERROR(INDEX('DESEMPATE Y DISCAPACIDAD'!$D$3:$D$450,MATCH(CE113,'DESEMPATE Y DISCAPACIDAD'!$C$3:$C$450,0)),"")</f>
        <v>CANJI DISEÑOS E INTERVENTORIAS S.A.S.</v>
      </c>
      <c r="CG113" s="4">
        <f>IF(OR(CE113="",CF113=""),"",SUMIF(D113:D122,CF113,CD113:CD122))</f>
        <v>3</v>
      </c>
      <c r="CH113" s="4" t="str">
        <f t="shared" si="95"/>
        <v>CUMPLE</v>
      </c>
      <c r="CI113" s="4">
        <f>IF(CF113="","",IF(ISTEXT(CF113),1,0))</f>
        <v>1</v>
      </c>
      <c r="CJ113" s="4" t="str">
        <f>IF(OR(CD113="",CE113="",CF113="",CG113="",CH113="",CI113=""),"",IF(COUNTIF(CH113:CH122,"CUMPLE")=COUNTIF(CI113:CI122,1),"CUMPLE","NO CUMPLE"))</f>
        <v>CUMPLE</v>
      </c>
      <c r="CK113" s="4"/>
      <c r="CL113" s="4">
        <f t="shared" si="66"/>
        <v>1</v>
      </c>
      <c r="CM113" s="4">
        <f t="shared" si="67"/>
        <v>0</v>
      </c>
      <c r="CN113" s="4" t="str">
        <f>IF(OR(CL113="",CM113=""),"",IF(AND(CL113=0,CM113=0),"N/A",IF(AND(CL113=1,CM113=0),"COND. A",IF(AND(CL113=0,CM113=1),"COND. B",IF(AND(CL113=1,CM113=1),"COND. A Y B","")))))</f>
        <v>COND. A</v>
      </c>
      <c r="CO113" s="4" t="str">
        <f>IF(COUNTIF(CN113:CN122,"N/A")=10,"NO CUMPLE",IF(COUNTIF(CN113:CN122,"COND. A Y B")&gt;1,"CUMPLE",IF(AND(COUNTIF(CN113:CN122,"COND. A")&gt;0,COUNTIF(CN113:CN122,"COND. B")&gt;0),"CUMPLE",IF(AND(COUNTIF(CN113:CN122,"COND. A Y B")&gt;0,COUNTIF(CN113:CN122,"COND. A")&gt;0),"CUMPLE",IF(AND(COUNTIF(CN113:CN122,"COND. A Y B")&gt;0,COUNTIF(CN113:CN122,"COND. B")&gt;0),"CUMPLE","NO CUMPLE")))))</f>
        <v>CUMPLE</v>
      </c>
      <c r="CP113" s="4"/>
      <c r="CQ113" s="29" t="str">
        <f t="shared" si="78"/>
        <v>N/A</v>
      </c>
      <c r="CR113" s="29">
        <f t="shared" si="79"/>
        <v>7234.866</v>
      </c>
      <c r="CS113" s="4"/>
    </row>
    <row r="114" spans="1:97" ht="35" customHeight="1">
      <c r="B114" s="481"/>
      <c r="C114" s="118" t="s">
        <v>189</v>
      </c>
      <c r="D114" s="119" t="str">
        <f>+IFERROR(INDEX('DESEMPATE Y DISCAPACIDAD'!$D$3:$D$450,MATCH(C114,'DESEMPATE Y DISCAPACIDAD'!$C$3:$C$450,0)),"")</f>
        <v>CANJI DISEÑOS E INTERVENTORIAS S.A.S.</v>
      </c>
      <c r="E114" s="120" t="str">
        <f>IFERROR(IF(D114="","",IF(VLOOKUP(D114,'DESEMPATE Y DISCAPACIDAD'!D$3:$E$450,2,FALSE)=1,"N/A",IF(VLOOKUP(D114,'DESEMPATE Y DISCAPACIDAD'!D$3:$F$450,3,FALSE)="X","SI","NO"))),"")</f>
        <v>NO</v>
      </c>
      <c r="F114" s="3" t="s">
        <v>965</v>
      </c>
      <c r="G114" s="121" t="s">
        <v>660</v>
      </c>
      <c r="H114" s="121" t="s">
        <v>966</v>
      </c>
      <c r="I114" s="122" t="s">
        <v>967</v>
      </c>
      <c r="J114" s="121" t="s">
        <v>74</v>
      </c>
      <c r="K114" s="121" t="s">
        <v>74</v>
      </c>
      <c r="L114" s="121" t="s">
        <v>74</v>
      </c>
      <c r="M114" s="121" t="s">
        <v>74</v>
      </c>
      <c r="N114" s="121" t="str">
        <f t="shared" ref="N114:N122" si="103">IFERROR(IF(OR(J114="",K114=""),"",IF(J114="NO","NO",K114)),"")</f>
        <v>SI</v>
      </c>
      <c r="O114" s="121" t="str">
        <f t="shared" ref="O114:O122" si="104">IFERROR(IF(OR(J114="",L114=""),"",IF(J114="NO","NO",L114)),"")</f>
        <v>SI</v>
      </c>
      <c r="P114" s="121" t="str">
        <f t="shared" ref="P114:P122" si="105">IFERROR(IF(OR(J114="",M114=""),"",IF(J114="NO","NO",M114)),"")</f>
        <v>SI</v>
      </c>
      <c r="Q114" s="121" t="str">
        <f t="shared" si="68"/>
        <v>SI</v>
      </c>
      <c r="R114" s="103">
        <v>1</v>
      </c>
      <c r="S114" s="123">
        <v>39909</v>
      </c>
      <c r="T114" s="123">
        <v>41186</v>
      </c>
      <c r="U114" s="121">
        <f t="shared" ref="U114:U122" si="106">IFERROR(IF(T114="","",YEAR(T114)),"")</f>
        <v>2012</v>
      </c>
      <c r="V114" s="358">
        <f>IF(U114=2023,1160000,IFERROR(INDEX(SMMLV!$B$2:$B$101,MATCH(U114,SMMLV!$A$2:$A$101,0)),""))</f>
        <v>566700</v>
      </c>
      <c r="W114" s="358" t="s">
        <v>670</v>
      </c>
      <c r="X114" s="121" t="s">
        <v>671</v>
      </c>
      <c r="Y114" s="125">
        <v>3</v>
      </c>
      <c r="Z114" s="474" t="s">
        <v>74</v>
      </c>
      <c r="AA114" s="475"/>
      <c r="AB114" s="476"/>
      <c r="AC114" s="125" t="str">
        <f t="shared" ref="AC114:AC122" si="107">IFERROR(IF(Y114="","",IF(ISNUMBER(Y114),IF(COUNTIF(Z114,"SI")&gt;0,"SI","NO"),Y114)),"")</f>
        <v>SI</v>
      </c>
      <c r="AD114" s="117" t="str">
        <f t="shared" si="69"/>
        <v>N/A</v>
      </c>
      <c r="AE114" s="117">
        <v>17993.29</v>
      </c>
      <c r="AF114" s="117">
        <f t="shared" si="70"/>
        <v>17993.29</v>
      </c>
      <c r="AG114" s="470"/>
      <c r="AH114" s="470"/>
      <c r="AI114" s="125" t="str">
        <f t="shared" si="65"/>
        <v>CUMPLE</v>
      </c>
      <c r="AJ114" s="470"/>
      <c r="AK114" s="470"/>
      <c r="AL114" s="472"/>
      <c r="AM114" s="496"/>
      <c r="AN114" s="125" t="s">
        <v>75</v>
      </c>
      <c r="AO114" s="490"/>
      <c r="AP114" s="121" t="s">
        <v>74</v>
      </c>
      <c r="AQ114" s="490"/>
      <c r="AR114" s="522"/>
      <c r="AS114" s="519"/>
      <c r="AT114" s="204"/>
      <c r="AU114" s="614"/>
      <c r="AV114" s="617"/>
      <c r="AW114" s="623"/>
      <c r="AX114" s="620"/>
      <c r="AY114" s="19"/>
      <c r="CB114" s="29" t="str">
        <f>IFERROR(IF(COUNTIF(AF113:AF122,"")=10,"",IF(COUNTIF(E113:E122,"N/A")&gt;0,IF(AF114&gt;=CMEMM1,AF114,0),"N/A")),"")</f>
        <v>N/A</v>
      </c>
      <c r="CC114" s="4"/>
      <c r="CD114" s="4">
        <f>IFERROR(IF(COUNTIF(AF113:AF122,"")=10,"",IF(AF114="","",IF(AF114&gt;=CMEMM1,1,0))),"")</f>
        <v>1</v>
      </c>
      <c r="CE114" s="4" t="str">
        <f>B113&amp;"-0"&amp;2</f>
        <v>P12-02</v>
      </c>
      <c r="CF114" s="4" t="str">
        <f>IFERROR(INDEX('DESEMPATE Y DISCAPACIDAD'!$D$3:$D$450,MATCH(CE114,'DESEMPATE Y DISCAPACIDAD'!$C$3:$C$450,0)),"")</f>
        <v>LATINOCONSULT S.A.S.</v>
      </c>
      <c r="CG114" s="4">
        <f>IF(OR(CE114="",CF114=""),"",SUMIF(D113:D122,CF114,CD113:CD122))</f>
        <v>1</v>
      </c>
      <c r="CH114" s="4" t="str">
        <f t="shared" si="95"/>
        <v>CUMPLE</v>
      </c>
      <c r="CI114" s="4">
        <f t="shared" ref="CI114:CI122" si="108">IF(CF114="","",IF(ISTEXT(CF114),1,0))</f>
        <v>1</v>
      </c>
      <c r="CJ114" s="4"/>
      <c r="CK114" s="4"/>
      <c r="CL114" s="4">
        <f t="shared" si="66"/>
        <v>1</v>
      </c>
      <c r="CM114" s="4">
        <f t="shared" si="67"/>
        <v>1</v>
      </c>
      <c r="CN114" s="4" t="str">
        <f t="shared" ref="CN114:CN122" si="109">IF(OR(CL114="",CM114=""),"",IF(AND(CL114=0,CM114=0),"N/A",IF(AND(CL114=1,CM114=0),"COND. A",IF(AND(CL114=0,CM114=1),"COND. B",IF(AND(CL114=1,CM114=1),"COND. A Y B","")))))</f>
        <v>COND. A Y B</v>
      </c>
      <c r="CO114" s="4"/>
      <c r="CP114" s="4"/>
      <c r="CQ114" s="29" t="str">
        <f t="shared" si="78"/>
        <v>N/A</v>
      </c>
      <c r="CR114" s="29">
        <f t="shared" si="79"/>
        <v>17993.29</v>
      </c>
      <c r="CS114" s="4"/>
    </row>
    <row r="115" spans="1:97" ht="35" customHeight="1">
      <c r="B115" s="481"/>
      <c r="C115" s="118" t="s">
        <v>189</v>
      </c>
      <c r="D115" s="126" t="str">
        <f>+IFERROR(INDEX('DESEMPATE Y DISCAPACIDAD'!$D$3:$D$450,MATCH(C115,'DESEMPATE Y DISCAPACIDAD'!$C$3:$C$450,0)),"")</f>
        <v>CANJI DISEÑOS E INTERVENTORIAS S.A.S.</v>
      </c>
      <c r="E115" s="127" t="str">
        <f>IFERROR(IF(D115="","",IF(VLOOKUP(D115,'DESEMPATE Y DISCAPACIDAD'!D$3:$E$450,2,FALSE)=1,"N/A",IF(VLOOKUP(D115,'DESEMPATE Y DISCAPACIDAD'!D$3:$F$450,3,FALSE)="X","SI","NO"))),"")</f>
        <v>NO</v>
      </c>
      <c r="F115" s="3" t="s">
        <v>965</v>
      </c>
      <c r="G115" s="125" t="s">
        <v>660</v>
      </c>
      <c r="H115" s="121" t="s">
        <v>968</v>
      </c>
      <c r="I115" s="128" t="s">
        <v>969</v>
      </c>
      <c r="J115" s="125" t="s">
        <v>74</v>
      </c>
      <c r="K115" s="121" t="s">
        <v>74</v>
      </c>
      <c r="L115" s="121" t="s">
        <v>74</v>
      </c>
      <c r="M115" s="121" t="s">
        <v>74</v>
      </c>
      <c r="N115" s="125" t="str">
        <f t="shared" si="103"/>
        <v>SI</v>
      </c>
      <c r="O115" s="125" t="str">
        <f t="shared" si="104"/>
        <v>SI</v>
      </c>
      <c r="P115" s="125" t="str">
        <f>IFERROR(IF(OR(J115="",M115=""),"",IF(J115="NO","NO",M115)),"")</f>
        <v>SI</v>
      </c>
      <c r="Q115" s="125" t="str">
        <f t="shared" si="68"/>
        <v>SI</v>
      </c>
      <c r="R115" s="68">
        <v>1</v>
      </c>
      <c r="S115" s="129">
        <v>38616</v>
      </c>
      <c r="T115" s="123">
        <v>39930</v>
      </c>
      <c r="U115" s="125">
        <f t="shared" si="106"/>
        <v>2009</v>
      </c>
      <c r="V115" s="21">
        <f>IF(U115=2023,1160000,IFERROR(INDEX(SMMLV!$B$2:$B$101,MATCH(U115,SMMLV!$A$2:$A$101,0)),""))</f>
        <v>496900</v>
      </c>
      <c r="W115" s="358" t="s">
        <v>670</v>
      </c>
      <c r="X115" s="121" t="s">
        <v>671</v>
      </c>
      <c r="Y115" s="125">
        <v>1</v>
      </c>
      <c r="Z115" s="474" t="s">
        <v>74</v>
      </c>
      <c r="AA115" s="475"/>
      <c r="AB115" s="476"/>
      <c r="AC115" s="125" t="str">
        <f t="shared" si="107"/>
        <v>SI</v>
      </c>
      <c r="AD115" s="117" t="str">
        <f t="shared" si="69"/>
        <v>N/A</v>
      </c>
      <c r="AE115" s="117">
        <v>14156.71</v>
      </c>
      <c r="AF115" s="117">
        <f t="shared" si="70"/>
        <v>14156.71</v>
      </c>
      <c r="AG115" s="470"/>
      <c r="AH115" s="470"/>
      <c r="AI115" s="125" t="str">
        <f t="shared" si="65"/>
        <v>CUMPLE</v>
      </c>
      <c r="AJ115" s="470"/>
      <c r="AK115" s="470"/>
      <c r="AL115" s="472"/>
      <c r="AM115" s="496"/>
      <c r="AN115" s="125" t="s">
        <v>75</v>
      </c>
      <c r="AO115" s="490"/>
      <c r="AP115" s="121" t="s">
        <v>74</v>
      </c>
      <c r="AQ115" s="490"/>
      <c r="AR115" s="522"/>
      <c r="AS115" s="519"/>
      <c r="AT115" s="204"/>
      <c r="AU115" s="614"/>
      <c r="AV115" s="617"/>
      <c r="AW115" s="623"/>
      <c r="AX115" s="620"/>
      <c r="AY115" s="19"/>
      <c r="CB115" s="29" t="str">
        <f>IFERROR(IF(COUNTIF(AF113:AF122,"")=10,"",IF(COUNTIF(E113:E122,"N/A")&gt;0,IF(AF115&gt;=CMEMM1,AF115,0),"N/A")),"")</f>
        <v>N/A</v>
      </c>
      <c r="CC115" s="4"/>
      <c r="CD115" s="4">
        <f>IFERROR(IF(COUNTIF(AF113:AF122,"")=10,"",IF(AF115="","",IF(AF115&gt;=CMEMM1,1,0))),"")</f>
        <v>1</v>
      </c>
      <c r="CE115" s="4" t="str">
        <f>B113&amp;"-0"&amp;3</f>
        <v>P12-03</v>
      </c>
      <c r="CF115" s="4" t="str">
        <f>IFERROR(INDEX('DESEMPATE Y DISCAPACIDAD'!$D$3:$D$450,MATCH(CE115,'DESEMPATE Y DISCAPACIDAD'!$C$3:$C$450,0)),"")</f>
        <v>AQUA &amp; TERRA CONSULTORES ASOCIADOS S.A.S.</v>
      </c>
      <c r="CG115" s="4">
        <f>IF(OR(CE115="",CF115=""),"",SUMIF(D113:D122,CF115,CD113:CD122))</f>
        <v>1</v>
      </c>
      <c r="CH115" s="4" t="str">
        <f t="shared" si="95"/>
        <v>CUMPLE</v>
      </c>
      <c r="CI115" s="4">
        <f t="shared" si="108"/>
        <v>1</v>
      </c>
      <c r="CJ115" s="4"/>
      <c r="CK115" s="4"/>
      <c r="CL115" s="4">
        <f t="shared" si="66"/>
        <v>1</v>
      </c>
      <c r="CM115" s="4">
        <f t="shared" si="67"/>
        <v>1</v>
      </c>
      <c r="CN115" s="4" t="str">
        <f t="shared" si="109"/>
        <v>COND. A Y B</v>
      </c>
      <c r="CO115" s="4"/>
      <c r="CP115" s="4"/>
      <c r="CQ115" s="29" t="str">
        <f>IF(OR(AN114="",CB115=""),"",IF(AN114="NO",CB115,0))</f>
        <v>N/A</v>
      </c>
      <c r="CR115" s="29">
        <f>IF(OR(AN114="",AF115=""),"",IF(AN114="NO",AF115,0))</f>
        <v>14156.71</v>
      </c>
      <c r="CS115" s="4"/>
    </row>
    <row r="116" spans="1:97" ht="35" customHeight="1">
      <c r="B116" s="481"/>
      <c r="C116" s="118" t="s">
        <v>270</v>
      </c>
      <c r="D116" s="126" t="str">
        <f>+IFERROR(INDEX('DESEMPATE Y DISCAPACIDAD'!$D$3:$D$450,MATCH(C116,'DESEMPATE Y DISCAPACIDAD'!$C$3:$C$450,0)),"")</f>
        <v>AQUA &amp; TERRA CONSULTORES ASOCIADOS S.A.S.</v>
      </c>
      <c r="E116" s="127" t="str">
        <f>IFERROR(IF(D116="","",IF(VLOOKUP(D116,'DESEMPATE Y DISCAPACIDAD'!D$3:$E$450,2,FALSE)=1,"N/A",IF(VLOOKUP(D116,'DESEMPATE Y DISCAPACIDAD'!D$3:$F$450,3,FALSE)="X","SI","NO"))),"")</f>
        <v>NO</v>
      </c>
      <c r="F116" s="179" t="s">
        <v>970</v>
      </c>
      <c r="G116" s="125" t="s">
        <v>660</v>
      </c>
      <c r="H116" s="125" t="s">
        <v>670</v>
      </c>
      <c r="I116" s="128" t="s">
        <v>971</v>
      </c>
      <c r="J116" s="125" t="s">
        <v>74</v>
      </c>
      <c r="K116" s="121" t="s">
        <v>75</v>
      </c>
      <c r="L116" s="121" t="s">
        <v>75</v>
      </c>
      <c r="M116" s="121" t="s">
        <v>74</v>
      </c>
      <c r="N116" s="125" t="str">
        <f t="shared" si="103"/>
        <v>NO</v>
      </c>
      <c r="O116" s="125" t="str">
        <f t="shared" si="104"/>
        <v>NO</v>
      </c>
      <c r="P116" s="125" t="str">
        <f>IFERROR(IF(OR(J116="",M116=""),"",IF(J116="NO","NO",M116)),"")</f>
        <v>SI</v>
      </c>
      <c r="Q116" s="125" t="str">
        <f t="shared" si="68"/>
        <v>SI</v>
      </c>
      <c r="R116" s="68">
        <v>1</v>
      </c>
      <c r="S116" s="129">
        <v>40422</v>
      </c>
      <c r="T116" s="129">
        <v>41577</v>
      </c>
      <c r="U116" s="125">
        <f t="shared" si="106"/>
        <v>2013</v>
      </c>
      <c r="V116" s="21">
        <f>IF(U116=2023,1160000,IFERROR(INDEX(SMMLV!$B$2:$B$101,MATCH(U116,SMMLV!$A$2:$A$101,0)),""))</f>
        <v>589500</v>
      </c>
      <c r="W116" s="358" t="s">
        <v>670</v>
      </c>
      <c r="X116" s="121" t="s">
        <v>671</v>
      </c>
      <c r="Y116" s="125">
        <v>5</v>
      </c>
      <c r="Z116" s="474" t="s">
        <v>74</v>
      </c>
      <c r="AA116" s="475"/>
      <c r="AB116" s="476"/>
      <c r="AC116" s="125" t="str">
        <f t="shared" si="107"/>
        <v>SI</v>
      </c>
      <c r="AD116" s="117" t="str">
        <f t="shared" si="69"/>
        <v>N/A</v>
      </c>
      <c r="AE116" s="117">
        <v>7429.97</v>
      </c>
      <c r="AF116" s="117">
        <f t="shared" si="70"/>
        <v>7429.97</v>
      </c>
      <c r="AG116" s="470"/>
      <c r="AH116" s="470"/>
      <c r="AI116" s="125" t="str">
        <f t="shared" si="65"/>
        <v>CUMPLE</v>
      </c>
      <c r="AJ116" s="470"/>
      <c r="AK116" s="470"/>
      <c r="AL116" s="472"/>
      <c r="AM116" s="496"/>
      <c r="AN116" s="125" t="s">
        <v>75</v>
      </c>
      <c r="AO116" s="490"/>
      <c r="AP116" s="121" t="s">
        <v>74</v>
      </c>
      <c r="AQ116" s="490"/>
      <c r="AR116" s="522"/>
      <c r="AS116" s="519"/>
      <c r="AT116" s="204"/>
      <c r="AU116" s="614"/>
      <c r="AV116" s="617"/>
      <c r="AW116" s="623"/>
      <c r="AX116" s="620"/>
      <c r="AY116" s="19"/>
      <c r="CB116" s="29" t="str">
        <f>IFERROR(IF(COUNTIF(AF113:AF122,"")=10,"",IF(COUNTIF(E113:E122,"N/A")&gt;0,IF(AF116&gt;=CMEMM1,AF116,0),"N/A")),"")</f>
        <v>N/A</v>
      </c>
      <c r="CC116" s="4"/>
      <c r="CD116" s="4">
        <f>IFERROR(IF(COUNTIF(AF113:AF122,"")=10,"",IF(AF116="","",IF(AF116&gt;=CMEMM1,1,0))),"")</f>
        <v>1</v>
      </c>
      <c r="CE116" s="4" t="str">
        <f>B113&amp;"-0"&amp;4</f>
        <v>P12-04</v>
      </c>
      <c r="CF116" s="4">
        <f>IFERROR(INDEX('DESEMPATE Y DISCAPACIDAD'!$D$3:$D$450,MATCH(CE116,'DESEMPATE Y DISCAPACIDAD'!$C$3:$C$450,0)),"")</f>
        <v>0</v>
      </c>
      <c r="CG116" s="4">
        <f>IF(OR(CE116="",CF116=""),"",SUMIF(D113:D122,CF116,CD113:CD122))</f>
        <v>0</v>
      </c>
      <c r="CH116" s="4" t="str">
        <f t="shared" si="95"/>
        <v>NO CUMPLE</v>
      </c>
      <c r="CI116" s="4">
        <f t="shared" si="108"/>
        <v>0</v>
      </c>
      <c r="CJ116" s="4"/>
      <c r="CK116" s="4"/>
      <c r="CL116" s="4">
        <f t="shared" si="66"/>
        <v>0</v>
      </c>
      <c r="CM116" s="4">
        <f t="shared" si="67"/>
        <v>0</v>
      </c>
      <c r="CN116" s="4" t="str">
        <f t="shared" si="109"/>
        <v>N/A</v>
      </c>
      <c r="CO116" s="4"/>
      <c r="CP116" s="4"/>
      <c r="CQ116" s="29" t="str">
        <f t="shared" ref="CQ116:CQ179" si="110">IF(OR(AN116="",CB116=""),"",IF(AN116="NO",CB116,0))</f>
        <v>N/A</v>
      </c>
      <c r="CR116" s="29">
        <f t="shared" ref="CR116:CR147" si="111">IF(OR(AN116="",AF116=""),"",IF(AN116="NO",AF116,0))</f>
        <v>7429.97</v>
      </c>
      <c r="CS116" s="4"/>
    </row>
    <row r="117" spans="1:97" ht="35" customHeight="1">
      <c r="B117" s="481"/>
      <c r="C117" s="118" t="s">
        <v>269</v>
      </c>
      <c r="D117" s="126" t="str">
        <f>+IFERROR(INDEX('DESEMPATE Y DISCAPACIDAD'!$D$3:$D$450,MATCH(C117,'DESEMPATE Y DISCAPACIDAD'!$C$3:$C$450,0)),"")</f>
        <v>LATINOCONSULT S.A.S.</v>
      </c>
      <c r="E117" s="127" t="str">
        <f>IFERROR(IF(D117="","",IF(VLOOKUP(D117,'DESEMPATE Y DISCAPACIDAD'!D$3:$E$450,2,FALSE)=1,"N/A",IF(VLOOKUP(D117,'DESEMPATE Y DISCAPACIDAD'!D$3:$F$450,3,FALSE)="X","SI","NO"))),"")</f>
        <v>NO</v>
      </c>
      <c r="F117" s="3" t="s">
        <v>972</v>
      </c>
      <c r="G117" s="125" t="s">
        <v>850</v>
      </c>
      <c r="H117" s="125" t="s">
        <v>670</v>
      </c>
      <c r="I117" s="128" t="s">
        <v>973</v>
      </c>
      <c r="J117" s="125" t="s">
        <v>74</v>
      </c>
      <c r="K117" s="121" t="s">
        <v>75</v>
      </c>
      <c r="L117" s="121" t="s">
        <v>75</v>
      </c>
      <c r="M117" s="121" t="s">
        <v>74</v>
      </c>
      <c r="N117" s="125" t="str">
        <f t="shared" si="103"/>
        <v>NO</v>
      </c>
      <c r="O117" s="125" t="str">
        <f t="shared" si="104"/>
        <v>NO</v>
      </c>
      <c r="P117" s="125" t="str">
        <f t="shared" si="105"/>
        <v>SI</v>
      </c>
      <c r="Q117" s="125" t="str">
        <f t="shared" si="68"/>
        <v>SI</v>
      </c>
      <c r="R117" s="68">
        <v>0.34</v>
      </c>
      <c r="S117" s="129">
        <v>39647</v>
      </c>
      <c r="T117" s="129">
        <v>42338</v>
      </c>
      <c r="U117" s="125">
        <f t="shared" si="106"/>
        <v>2015</v>
      </c>
      <c r="V117" s="21">
        <f>IF(U117=2023,1160000,IFERROR(INDEX(SMMLV!$B$2:$B$101,MATCH(U117,SMMLV!$A$2:$A$101,0)),""))</f>
        <v>644350</v>
      </c>
      <c r="W117" s="358" t="s">
        <v>670</v>
      </c>
      <c r="X117" s="121" t="s">
        <v>671</v>
      </c>
      <c r="Y117" s="125">
        <v>6</v>
      </c>
      <c r="Z117" s="474" t="s">
        <v>74</v>
      </c>
      <c r="AA117" s="475"/>
      <c r="AB117" s="476"/>
      <c r="AC117" s="125" t="str">
        <f t="shared" si="107"/>
        <v>SI</v>
      </c>
      <c r="AD117" s="117" t="str">
        <f t="shared" si="69"/>
        <v>N/A</v>
      </c>
      <c r="AE117" s="117">
        <v>179867.84</v>
      </c>
      <c r="AF117" s="117">
        <f t="shared" si="70"/>
        <v>61155.065600000002</v>
      </c>
      <c r="AG117" s="470"/>
      <c r="AH117" s="470"/>
      <c r="AI117" s="125" t="str">
        <f t="shared" si="65"/>
        <v>CUMPLE</v>
      </c>
      <c r="AJ117" s="470"/>
      <c r="AK117" s="470"/>
      <c r="AL117" s="472"/>
      <c r="AM117" s="496"/>
      <c r="AN117" s="125" t="s">
        <v>75</v>
      </c>
      <c r="AO117" s="490"/>
      <c r="AP117" s="121" t="s">
        <v>74</v>
      </c>
      <c r="AQ117" s="490"/>
      <c r="AR117" s="522"/>
      <c r="AS117" s="519"/>
      <c r="AT117" s="204"/>
      <c r="AU117" s="614"/>
      <c r="AV117" s="617"/>
      <c r="AW117" s="623"/>
      <c r="AX117" s="620"/>
      <c r="AY117" s="19"/>
      <c r="CB117" s="29" t="str">
        <f>IFERROR(IF(COUNTIF(AF113:AF122,"")=10,"",IF(COUNTIF(E113:E122,"N/A")&gt;0,IF(AF117&gt;=CMEMM1,AF117,0),"N/A")),"")</f>
        <v>N/A</v>
      </c>
      <c r="CC117" s="4"/>
      <c r="CD117" s="4">
        <f>IFERROR(IF(COUNTIF(AF113:AF122,"")=10,"",IF(AF117="","",IF(AF117&gt;=CMEMM1,1,0))),"")</f>
        <v>1</v>
      </c>
      <c r="CE117" s="4" t="str">
        <f>B113&amp;"-0"&amp;5</f>
        <v>P12-05</v>
      </c>
      <c r="CF117" s="4">
        <f>IFERROR(INDEX('DESEMPATE Y DISCAPACIDAD'!$D$3:$D$450,MATCH(CE117,'DESEMPATE Y DISCAPACIDAD'!$C$3:$C$450,0)),"")</f>
        <v>0</v>
      </c>
      <c r="CG117" s="4">
        <f>IF(OR(CE117="",CF117=""),"",SUMIF(D113:D122,CF117,CD113:CD122))</f>
        <v>0</v>
      </c>
      <c r="CH117" s="4" t="str">
        <f t="shared" si="95"/>
        <v>NO CUMPLE</v>
      </c>
      <c r="CI117" s="4">
        <f t="shared" si="108"/>
        <v>0</v>
      </c>
      <c r="CJ117" s="4"/>
      <c r="CK117" s="4"/>
      <c r="CL117" s="4">
        <f t="shared" si="66"/>
        <v>0</v>
      </c>
      <c r="CM117" s="4">
        <f t="shared" si="67"/>
        <v>0</v>
      </c>
      <c r="CN117" s="4" t="str">
        <f t="shared" si="109"/>
        <v>N/A</v>
      </c>
      <c r="CO117" s="4"/>
      <c r="CP117" s="4"/>
      <c r="CQ117" s="29" t="str">
        <f t="shared" si="110"/>
        <v>N/A</v>
      </c>
      <c r="CR117" s="29">
        <f t="shared" si="111"/>
        <v>61155.065600000002</v>
      </c>
      <c r="CS117" s="4"/>
    </row>
    <row r="118" spans="1:97" ht="2" customHeight="1">
      <c r="B118" s="481"/>
      <c r="C118" s="118"/>
      <c r="D118" s="126" t="str">
        <f>+IFERROR(INDEX('DESEMPATE Y DISCAPACIDAD'!$D$3:$D$450,MATCH(C118,'DESEMPATE Y DISCAPACIDAD'!$C$3:$C$450,0)),"")</f>
        <v/>
      </c>
      <c r="E118" s="127" t="str">
        <f>IFERROR(IF(D118="","",IF(VLOOKUP(D118,'DESEMPATE Y DISCAPACIDAD'!D$3:$E$450,2,FALSE)=1,"N/A",IF(VLOOKUP(D118,'DESEMPATE Y DISCAPACIDAD'!D$3:$F$450,3,FALSE)="X","SI","NO"))),"")</f>
        <v/>
      </c>
      <c r="F118" s="3"/>
      <c r="G118" s="125"/>
      <c r="H118" s="125"/>
      <c r="I118" s="128"/>
      <c r="J118" s="125"/>
      <c r="K118" s="125"/>
      <c r="L118" s="125"/>
      <c r="M118" s="125"/>
      <c r="N118" s="125" t="str">
        <f t="shared" si="103"/>
        <v/>
      </c>
      <c r="O118" s="125" t="str">
        <f t="shared" si="104"/>
        <v/>
      </c>
      <c r="P118" s="125" t="str">
        <f t="shared" si="105"/>
        <v/>
      </c>
      <c r="Q118" s="125" t="str">
        <f t="shared" si="68"/>
        <v/>
      </c>
      <c r="R118" s="68"/>
      <c r="S118" s="129"/>
      <c r="T118" s="129"/>
      <c r="U118" s="125" t="str">
        <f t="shared" si="106"/>
        <v/>
      </c>
      <c r="V118" s="21" t="str">
        <f>IF(U118=2023,1160000,IFERROR(INDEX(SMMLV!$B$2:$B$101,MATCH(U118,SMMLV!$A$2:$A$101,0)),""))</f>
        <v/>
      </c>
      <c r="W118" s="21"/>
      <c r="X118" s="125"/>
      <c r="Y118" s="125"/>
      <c r="Z118" s="474"/>
      <c r="AA118" s="475"/>
      <c r="AB118" s="476"/>
      <c r="AC118" s="125" t="str">
        <f t="shared" si="107"/>
        <v/>
      </c>
      <c r="AD118" s="117" t="str">
        <f t="shared" si="69"/>
        <v/>
      </c>
      <c r="AE118" s="117" t="s">
        <v>894</v>
      </c>
      <c r="AF118" s="117" t="str">
        <f t="shared" si="70"/>
        <v/>
      </c>
      <c r="AG118" s="470"/>
      <c r="AH118" s="470"/>
      <c r="AI118" s="125" t="str">
        <f t="shared" si="65"/>
        <v/>
      </c>
      <c r="AJ118" s="470"/>
      <c r="AK118" s="470"/>
      <c r="AL118" s="472"/>
      <c r="AM118" s="496"/>
      <c r="AN118" s="125"/>
      <c r="AO118" s="490"/>
      <c r="AP118" s="125"/>
      <c r="AQ118" s="490"/>
      <c r="AR118" s="522"/>
      <c r="AS118" s="519"/>
      <c r="AT118" s="204"/>
      <c r="AU118" s="614"/>
      <c r="AV118" s="617"/>
      <c r="AW118" s="623"/>
      <c r="AX118" s="620"/>
      <c r="AY118" s="19"/>
      <c r="CB118" s="29" t="str">
        <f>IFERROR(IF(COUNTIF(AF113:AF122,"")=10,"",IF(COUNTIF(E113:E122,"N/A")&gt;0,IF(AF118&gt;=CMEMM1,AF118,0),"N/A")),"")</f>
        <v>N/A</v>
      </c>
      <c r="CC118" s="4"/>
      <c r="CD118" s="4" t="str">
        <f>IFERROR(IF(COUNTIF(AF113:AF122,"")=10,"",IF(AF118="","",IF(AF118&gt;=CMEMM1,1,0))),"")</f>
        <v/>
      </c>
      <c r="CE118" s="4" t="str">
        <f>B113&amp;"-0"&amp;6</f>
        <v>P12-06</v>
      </c>
      <c r="CF118" s="4">
        <f>IFERROR(INDEX('DESEMPATE Y DISCAPACIDAD'!$D$3:$D$450,MATCH(CE118,'DESEMPATE Y DISCAPACIDAD'!$C$3:$C$450,0)),"")</f>
        <v>0</v>
      </c>
      <c r="CG118" s="4">
        <f>IF(OR(CE118="",CF118=""),"",SUMIF(D113:D122,CF118,CD113:CD122))</f>
        <v>0</v>
      </c>
      <c r="CH118" s="4" t="str">
        <f t="shared" si="95"/>
        <v>NO CUMPLE</v>
      </c>
      <c r="CI118" s="4">
        <f t="shared" si="108"/>
        <v>0</v>
      </c>
      <c r="CJ118" s="4"/>
      <c r="CK118" s="4"/>
      <c r="CL118" s="4" t="str">
        <f t="shared" si="66"/>
        <v/>
      </c>
      <c r="CM118" s="4" t="str">
        <f t="shared" si="67"/>
        <v/>
      </c>
      <c r="CN118" s="4" t="str">
        <f t="shared" si="109"/>
        <v/>
      </c>
      <c r="CO118" s="4"/>
      <c r="CP118" s="4"/>
      <c r="CQ118" s="29" t="str">
        <f t="shared" si="110"/>
        <v/>
      </c>
      <c r="CR118" s="29" t="str">
        <f t="shared" si="111"/>
        <v/>
      </c>
      <c r="CS118" s="4"/>
    </row>
    <row r="119" spans="1:97" ht="2" customHeight="1">
      <c r="B119" s="481"/>
      <c r="C119" s="118"/>
      <c r="D119" s="126" t="str">
        <f>+IFERROR(INDEX('DESEMPATE Y DISCAPACIDAD'!$D$3:$D$450,MATCH(C119,'DESEMPATE Y DISCAPACIDAD'!$C$3:$C$450,0)),"")</f>
        <v/>
      </c>
      <c r="E119" s="127" t="str">
        <f>IFERROR(IF(D119="","",IF(VLOOKUP(D119,'DESEMPATE Y DISCAPACIDAD'!D$3:$E$450,2,FALSE)=1,"N/A",IF(VLOOKUP(D119,'DESEMPATE Y DISCAPACIDAD'!D$3:$F$450,3,FALSE)="X","SI","NO"))),"")</f>
        <v/>
      </c>
      <c r="F119" s="3"/>
      <c r="G119" s="125"/>
      <c r="H119" s="125"/>
      <c r="I119" s="128"/>
      <c r="J119" s="125"/>
      <c r="K119" s="121"/>
      <c r="L119" s="121"/>
      <c r="M119" s="121"/>
      <c r="N119" s="125" t="str">
        <f t="shared" si="103"/>
        <v/>
      </c>
      <c r="O119" s="125" t="str">
        <f t="shared" si="104"/>
        <v/>
      </c>
      <c r="P119" s="125" t="str">
        <f t="shared" si="105"/>
        <v/>
      </c>
      <c r="Q119" s="125" t="str">
        <f t="shared" si="68"/>
        <v/>
      </c>
      <c r="R119" s="68"/>
      <c r="S119" s="129"/>
      <c r="T119" s="129"/>
      <c r="U119" s="125" t="str">
        <f t="shared" si="106"/>
        <v/>
      </c>
      <c r="V119" s="21" t="str">
        <f>IF(U119=2023,1160000,IFERROR(INDEX(SMMLV!$B$2:$B$101,MATCH(U119,SMMLV!$A$2:$A$101,0)),""))</f>
        <v/>
      </c>
      <c r="W119" s="21"/>
      <c r="X119" s="125"/>
      <c r="Y119" s="125"/>
      <c r="Z119" s="474"/>
      <c r="AA119" s="475"/>
      <c r="AB119" s="476"/>
      <c r="AC119" s="125" t="str">
        <f t="shared" si="107"/>
        <v/>
      </c>
      <c r="AD119" s="117" t="str">
        <f t="shared" si="69"/>
        <v/>
      </c>
      <c r="AE119" s="117" t="s">
        <v>894</v>
      </c>
      <c r="AF119" s="117" t="str">
        <f t="shared" si="70"/>
        <v/>
      </c>
      <c r="AG119" s="470"/>
      <c r="AH119" s="470"/>
      <c r="AI119" s="125" t="str">
        <f t="shared" si="65"/>
        <v/>
      </c>
      <c r="AJ119" s="470"/>
      <c r="AK119" s="470"/>
      <c r="AL119" s="472"/>
      <c r="AM119" s="496"/>
      <c r="AN119" s="125"/>
      <c r="AO119" s="490"/>
      <c r="AP119" s="125"/>
      <c r="AQ119" s="490"/>
      <c r="AR119" s="522"/>
      <c r="AS119" s="519"/>
      <c r="AT119" s="204"/>
      <c r="AU119" s="614"/>
      <c r="AV119" s="617"/>
      <c r="AW119" s="623"/>
      <c r="AX119" s="620"/>
      <c r="AY119" s="19"/>
      <c r="CB119" s="29" t="str">
        <f>IFERROR(IF(COUNTIF(AF113:AF122,"")=10,"",IF(COUNTIF(E113:E122,"N/A")&gt;0,IF(AF119&gt;=CMEMM1,AF119,0),"N/A")),"")</f>
        <v>N/A</v>
      </c>
      <c r="CC119" s="4"/>
      <c r="CD119" s="4" t="str">
        <f>IFERROR(IF(COUNTIF(AF113:AF122,"")=10,"",IF(AF119="","",IF(AF119&gt;=CMEMM1,1,0))),"")</f>
        <v/>
      </c>
      <c r="CE119" s="4" t="str">
        <f>B113&amp;"-0"&amp;7</f>
        <v>P12-07</v>
      </c>
      <c r="CF119" s="4" t="str">
        <f>IFERROR(INDEX('DESEMPATE Y DISCAPACIDAD'!$D$3:$D$450,MATCH(CE119,'DESEMPATE Y DISCAPACIDAD'!$C$3:$C$450,0)),"")</f>
        <v/>
      </c>
      <c r="CG119" s="4" t="str">
        <f>IF(OR(CE119="",CF119=""),"",SUMIF(D113:D122,CF119,CD113:CD122))</f>
        <v/>
      </c>
      <c r="CH119" s="4" t="str">
        <f t="shared" si="95"/>
        <v/>
      </c>
      <c r="CI119" s="4" t="str">
        <f t="shared" si="108"/>
        <v/>
      </c>
      <c r="CJ119" s="4"/>
      <c r="CK119" s="4"/>
      <c r="CL119" s="4" t="str">
        <f t="shared" si="66"/>
        <v/>
      </c>
      <c r="CM119" s="4" t="str">
        <f t="shared" si="67"/>
        <v/>
      </c>
      <c r="CN119" s="4" t="str">
        <f t="shared" si="109"/>
        <v/>
      </c>
      <c r="CO119" s="4"/>
      <c r="CP119" s="4"/>
      <c r="CQ119" s="29" t="str">
        <f t="shared" si="110"/>
        <v/>
      </c>
      <c r="CR119" s="29" t="str">
        <f t="shared" si="111"/>
        <v/>
      </c>
      <c r="CS119" s="4"/>
    </row>
    <row r="120" spans="1:97" ht="2" customHeight="1">
      <c r="B120" s="481"/>
      <c r="C120" s="118"/>
      <c r="D120" s="126" t="str">
        <f>+IFERROR(INDEX('DESEMPATE Y DISCAPACIDAD'!$D$3:$D$450,MATCH(C120,'DESEMPATE Y DISCAPACIDAD'!$C$3:$C$450,0)),"")</f>
        <v/>
      </c>
      <c r="E120" s="127" t="str">
        <f>IFERROR(IF(D120="","",IF(VLOOKUP(D120,'DESEMPATE Y DISCAPACIDAD'!D$3:$E$450,2,FALSE)=1,"N/A",IF(VLOOKUP(D120,'DESEMPATE Y DISCAPACIDAD'!D$3:$F$450,3,FALSE)="X","SI","NO"))),"")</f>
        <v/>
      </c>
      <c r="F120" s="3"/>
      <c r="G120" s="125"/>
      <c r="H120" s="125"/>
      <c r="I120" s="128"/>
      <c r="J120" s="125"/>
      <c r="K120" s="125"/>
      <c r="L120" s="125"/>
      <c r="M120" s="125"/>
      <c r="N120" s="125" t="str">
        <f t="shared" si="103"/>
        <v/>
      </c>
      <c r="O120" s="125" t="str">
        <f t="shared" si="104"/>
        <v/>
      </c>
      <c r="P120" s="125" t="str">
        <f t="shared" si="105"/>
        <v/>
      </c>
      <c r="Q120" s="125" t="str">
        <f t="shared" si="68"/>
        <v/>
      </c>
      <c r="R120" s="68"/>
      <c r="S120" s="129"/>
      <c r="T120" s="129"/>
      <c r="U120" s="125" t="str">
        <f t="shared" si="106"/>
        <v/>
      </c>
      <c r="V120" s="21" t="str">
        <f>IF(U120=2023,1160000,IFERROR(INDEX(SMMLV!$B$2:$B$101,MATCH(U120,SMMLV!$A$2:$A$101,0)),""))</f>
        <v/>
      </c>
      <c r="W120" s="21"/>
      <c r="X120" s="125"/>
      <c r="Y120" s="125"/>
      <c r="Z120" s="474"/>
      <c r="AA120" s="475"/>
      <c r="AB120" s="476"/>
      <c r="AC120" s="125" t="str">
        <f t="shared" si="107"/>
        <v/>
      </c>
      <c r="AD120" s="117" t="str">
        <f t="shared" si="69"/>
        <v/>
      </c>
      <c r="AE120" s="117" t="s">
        <v>894</v>
      </c>
      <c r="AF120" s="117" t="str">
        <f t="shared" si="70"/>
        <v/>
      </c>
      <c r="AG120" s="470"/>
      <c r="AH120" s="470"/>
      <c r="AI120" s="125" t="str">
        <f t="shared" si="65"/>
        <v/>
      </c>
      <c r="AJ120" s="470"/>
      <c r="AK120" s="470"/>
      <c r="AL120" s="472"/>
      <c r="AM120" s="496"/>
      <c r="AN120" s="125"/>
      <c r="AO120" s="490"/>
      <c r="AP120" s="125"/>
      <c r="AQ120" s="490"/>
      <c r="AR120" s="522"/>
      <c r="AS120" s="519"/>
      <c r="AT120" s="204"/>
      <c r="AU120" s="614"/>
      <c r="AV120" s="617"/>
      <c r="AW120" s="623"/>
      <c r="AX120" s="620"/>
      <c r="AY120" s="19"/>
      <c r="CB120" s="29" t="str">
        <f>IFERROR(IF(COUNTIF(AF113:AF122,"")=10,"",IF(COUNTIF(E113:E122,"N/A")&gt;0,IF(AF120&gt;=CMEMM1,AF120,0),"N/A")),"")</f>
        <v>N/A</v>
      </c>
      <c r="CC120" s="4"/>
      <c r="CD120" s="4" t="str">
        <f>IFERROR(IF(COUNTIF(AF113:AF122,"")=10,"",IF(AF120="","",IF(AF120&gt;=CMEMM1,1,0))),"")</f>
        <v/>
      </c>
      <c r="CE120" s="4" t="str">
        <f>B113&amp;"-0"&amp;8</f>
        <v>P12-08</v>
      </c>
      <c r="CF120" s="4" t="str">
        <f>IFERROR(INDEX('DESEMPATE Y DISCAPACIDAD'!$D$3:$D$450,MATCH(CE120,'DESEMPATE Y DISCAPACIDAD'!$C$3:$C$450,0)),"")</f>
        <v/>
      </c>
      <c r="CG120" s="4" t="str">
        <f>IF(OR(CE120="",CF120=""),"",SUMIF(D113:D122,CF120,CD113:CD122))</f>
        <v/>
      </c>
      <c r="CH120" s="4" t="str">
        <f t="shared" si="95"/>
        <v/>
      </c>
      <c r="CI120" s="4" t="str">
        <f t="shared" si="108"/>
        <v/>
      </c>
      <c r="CJ120" s="4"/>
      <c r="CK120" s="4"/>
      <c r="CL120" s="4" t="str">
        <f t="shared" si="66"/>
        <v/>
      </c>
      <c r="CM120" s="4" t="str">
        <f t="shared" si="67"/>
        <v/>
      </c>
      <c r="CN120" s="4" t="str">
        <f t="shared" si="109"/>
        <v/>
      </c>
      <c r="CO120" s="4"/>
      <c r="CP120" s="4"/>
      <c r="CQ120" s="29" t="str">
        <f t="shared" si="110"/>
        <v/>
      </c>
      <c r="CR120" s="29" t="str">
        <f t="shared" si="111"/>
        <v/>
      </c>
      <c r="CS120" s="4"/>
    </row>
    <row r="121" spans="1:97" ht="2" customHeight="1">
      <c r="B121" s="481"/>
      <c r="C121" s="118"/>
      <c r="D121" s="126" t="str">
        <f>+IFERROR(INDEX('DESEMPATE Y DISCAPACIDAD'!$D$3:$D$450,MATCH(C121,'DESEMPATE Y DISCAPACIDAD'!$C$3:$C$450,0)),"")</f>
        <v/>
      </c>
      <c r="E121" s="127" t="str">
        <f>IFERROR(IF(D121="","",IF(VLOOKUP(D121,'DESEMPATE Y DISCAPACIDAD'!D$3:$E$450,2,FALSE)=1,"N/A",IF(VLOOKUP(D121,'DESEMPATE Y DISCAPACIDAD'!D$3:$F$450,3,FALSE)="X","SI","NO"))),"")</f>
        <v/>
      </c>
      <c r="F121" s="3"/>
      <c r="G121" s="125"/>
      <c r="H121" s="125"/>
      <c r="I121" s="128"/>
      <c r="J121" s="125"/>
      <c r="K121" s="125"/>
      <c r="L121" s="125"/>
      <c r="M121" s="125"/>
      <c r="N121" s="125" t="str">
        <f t="shared" si="103"/>
        <v/>
      </c>
      <c r="O121" s="125" t="str">
        <f t="shared" si="104"/>
        <v/>
      </c>
      <c r="P121" s="125" t="str">
        <f t="shared" si="105"/>
        <v/>
      </c>
      <c r="Q121" s="125" t="str">
        <f t="shared" si="68"/>
        <v/>
      </c>
      <c r="R121" s="68"/>
      <c r="S121" s="129"/>
      <c r="T121" s="129"/>
      <c r="U121" s="125" t="str">
        <f t="shared" si="106"/>
        <v/>
      </c>
      <c r="V121" s="21" t="str">
        <f>IF(U121=2023,1160000,IFERROR(INDEX(SMMLV!$B$2:$B$101,MATCH(U121,SMMLV!$A$2:$A$101,0)),""))</f>
        <v/>
      </c>
      <c r="W121" s="21"/>
      <c r="X121" s="125"/>
      <c r="Y121" s="125"/>
      <c r="Z121" s="474"/>
      <c r="AA121" s="475"/>
      <c r="AB121" s="476"/>
      <c r="AC121" s="125" t="str">
        <f t="shared" si="107"/>
        <v/>
      </c>
      <c r="AD121" s="117" t="str">
        <f t="shared" si="69"/>
        <v/>
      </c>
      <c r="AE121" s="117" t="s">
        <v>894</v>
      </c>
      <c r="AF121" s="117" t="str">
        <f t="shared" si="70"/>
        <v/>
      </c>
      <c r="AG121" s="470"/>
      <c r="AH121" s="470"/>
      <c r="AI121" s="125" t="str">
        <f t="shared" si="65"/>
        <v/>
      </c>
      <c r="AJ121" s="470"/>
      <c r="AK121" s="470"/>
      <c r="AL121" s="472"/>
      <c r="AM121" s="496"/>
      <c r="AN121" s="125"/>
      <c r="AO121" s="490"/>
      <c r="AP121" s="125"/>
      <c r="AQ121" s="490"/>
      <c r="AR121" s="522"/>
      <c r="AS121" s="519"/>
      <c r="AT121" s="204"/>
      <c r="AU121" s="614"/>
      <c r="AV121" s="617"/>
      <c r="AW121" s="623"/>
      <c r="AX121" s="620"/>
      <c r="AY121" s="19"/>
      <c r="CB121" s="29" t="str">
        <f>IFERROR(IF(COUNTIF(AF113:AF122,"")=10,"",IF(COUNTIF(E113:E122,"N/A")&gt;0,IF(AF121&gt;=CMEMM1,AF121,0),"N/A")),"")</f>
        <v>N/A</v>
      </c>
      <c r="CC121" s="4"/>
      <c r="CD121" s="4" t="str">
        <f>IFERROR(IF(COUNTIF(AF113:AF122,"")=10,"",IF(AF121="","",IF(AF121&gt;=CMEMM1,1,0))),"")</f>
        <v/>
      </c>
      <c r="CE121" s="4" t="str">
        <f>B113&amp;"-0"&amp;9</f>
        <v>P12-09</v>
      </c>
      <c r="CF121" s="4" t="str">
        <f>IFERROR(INDEX('DESEMPATE Y DISCAPACIDAD'!$D$3:$D$450,MATCH(CE121,'DESEMPATE Y DISCAPACIDAD'!$C$3:$C$450,0)),"")</f>
        <v/>
      </c>
      <c r="CG121" s="4" t="str">
        <f>IF(OR(CE121="",CF121=""),"",SUMIF(D113:D122,CF121,CD113:CD122))</f>
        <v/>
      </c>
      <c r="CH121" s="4" t="str">
        <f t="shared" si="95"/>
        <v/>
      </c>
      <c r="CI121" s="4" t="str">
        <f t="shared" si="108"/>
        <v/>
      </c>
      <c r="CJ121" s="4"/>
      <c r="CK121" s="4"/>
      <c r="CL121" s="4" t="str">
        <f t="shared" si="66"/>
        <v/>
      </c>
      <c r="CM121" s="4" t="str">
        <f t="shared" si="67"/>
        <v/>
      </c>
      <c r="CN121" s="4" t="str">
        <f t="shared" si="109"/>
        <v/>
      </c>
      <c r="CO121" s="4"/>
      <c r="CP121" s="4"/>
      <c r="CQ121" s="29" t="str">
        <f t="shared" si="110"/>
        <v/>
      </c>
      <c r="CR121" s="29" t="str">
        <f t="shared" si="111"/>
        <v/>
      </c>
      <c r="CS121" s="4"/>
    </row>
    <row r="122" spans="1:97" ht="2" customHeight="1" thickBot="1">
      <c r="B122" s="482"/>
      <c r="C122" s="130"/>
      <c r="D122" s="131" t="str">
        <f>+IFERROR(INDEX('DESEMPATE Y DISCAPACIDAD'!$D$3:$D$450,MATCH(C122,'DESEMPATE Y DISCAPACIDAD'!$C$3:$C$450,0)),"")</f>
        <v/>
      </c>
      <c r="E122" s="132" t="str">
        <f>IFERROR(IF(D122="","",IF(VLOOKUP(D122,'DESEMPATE Y DISCAPACIDAD'!D$3:$E$450,2,FALSE)=1,"N/A",IF(VLOOKUP(D122,'DESEMPATE Y DISCAPACIDAD'!D$3:$F$450,3,FALSE)="X","SI","NO"))),"")</f>
        <v/>
      </c>
      <c r="F122" s="5"/>
      <c r="G122" s="133"/>
      <c r="H122" s="133"/>
      <c r="I122" s="134"/>
      <c r="J122" s="133"/>
      <c r="K122" s="133"/>
      <c r="L122" s="133"/>
      <c r="M122" s="133"/>
      <c r="N122" s="133" t="str">
        <f t="shared" si="103"/>
        <v/>
      </c>
      <c r="O122" s="133" t="str">
        <f t="shared" si="104"/>
        <v/>
      </c>
      <c r="P122" s="133" t="str">
        <f t="shared" si="105"/>
        <v/>
      </c>
      <c r="Q122" s="133" t="str">
        <f t="shared" si="68"/>
        <v/>
      </c>
      <c r="R122" s="104"/>
      <c r="S122" s="135"/>
      <c r="T122" s="135"/>
      <c r="U122" s="133" t="str">
        <f t="shared" si="106"/>
        <v/>
      </c>
      <c r="V122" s="22" t="str">
        <f>IF(U122=2023,1160000,IFERROR(INDEX(SMMLV!$B$2:$B$101,MATCH(U122,SMMLV!$A$2:$A$101,0)),""))</f>
        <v/>
      </c>
      <c r="W122" s="22"/>
      <c r="X122" s="133"/>
      <c r="Y122" s="133"/>
      <c r="Z122" s="487"/>
      <c r="AA122" s="488"/>
      <c r="AB122" s="489"/>
      <c r="AC122" s="133" t="str">
        <f t="shared" si="107"/>
        <v/>
      </c>
      <c r="AD122" s="136" t="str">
        <f t="shared" si="69"/>
        <v/>
      </c>
      <c r="AE122" s="136" t="s">
        <v>894</v>
      </c>
      <c r="AF122" s="136" t="str">
        <f t="shared" si="70"/>
        <v/>
      </c>
      <c r="AG122" s="471"/>
      <c r="AH122" s="471"/>
      <c r="AI122" s="133" t="str">
        <f t="shared" si="65"/>
        <v/>
      </c>
      <c r="AJ122" s="471"/>
      <c r="AK122" s="471"/>
      <c r="AL122" s="473"/>
      <c r="AM122" s="497"/>
      <c r="AN122" s="133"/>
      <c r="AO122" s="491"/>
      <c r="AP122" s="133"/>
      <c r="AQ122" s="491"/>
      <c r="AR122" s="523"/>
      <c r="AS122" s="520"/>
      <c r="AT122" s="206"/>
      <c r="AU122" s="615"/>
      <c r="AV122" s="618"/>
      <c r="AW122" s="624"/>
      <c r="AX122" s="621"/>
      <c r="AY122" s="19"/>
      <c r="CB122" s="29" t="str">
        <f>IFERROR(IF(COUNTIF(AF113:AF122,"")=10,"",IF(COUNTIF(E113:E122,"N/A")&gt;0,IF(AF122&gt;=CMEMM1,AF122,0),"N/A")),"")</f>
        <v>N/A</v>
      </c>
      <c r="CC122" s="4"/>
      <c r="CD122" s="4" t="str">
        <f>IFERROR(IF(COUNTIF(AF113:AF122,"")=10,"",IF(AF122="","",IF(AF122&gt;=CMEMM1,1,0))),"")</f>
        <v/>
      </c>
      <c r="CE122" s="4" t="str">
        <f>B113&amp;"-"&amp;10</f>
        <v>P12-10</v>
      </c>
      <c r="CF122" s="4" t="str">
        <f>IFERROR(INDEX('DESEMPATE Y DISCAPACIDAD'!$D$3:$D$450,MATCH(CE122,'DESEMPATE Y DISCAPACIDAD'!$C$3:$C$450,0)),"")</f>
        <v/>
      </c>
      <c r="CG122" s="4" t="str">
        <f>IF(OR(CE122="",CF122=""),"",SUMIF(D113:D122,CF122,CD113:CD122))</f>
        <v/>
      </c>
      <c r="CH122" s="4" t="str">
        <f t="shared" si="95"/>
        <v/>
      </c>
      <c r="CI122" s="4" t="str">
        <f t="shared" si="108"/>
        <v/>
      </c>
      <c r="CJ122" s="4"/>
      <c r="CK122" s="4"/>
      <c r="CL122" s="4" t="str">
        <f t="shared" si="66"/>
        <v/>
      </c>
      <c r="CM122" s="4" t="str">
        <f t="shared" si="67"/>
        <v/>
      </c>
      <c r="CN122" s="4" t="str">
        <f t="shared" si="109"/>
        <v/>
      </c>
      <c r="CO122" s="4"/>
      <c r="CP122" s="4"/>
      <c r="CQ122" s="29" t="str">
        <f t="shared" si="110"/>
        <v/>
      </c>
      <c r="CR122" s="29" t="str">
        <f t="shared" si="111"/>
        <v/>
      </c>
      <c r="CS122" s="4"/>
    </row>
    <row r="123" spans="1:97" ht="35" customHeight="1">
      <c r="A123" s="4" t="str">
        <f>"A"&amp;B123</f>
        <v>AP13</v>
      </c>
      <c r="B123" s="480" t="s">
        <v>134</v>
      </c>
      <c r="C123" s="118" t="s">
        <v>190</v>
      </c>
      <c r="D123" s="119" t="str">
        <f>+IFERROR(INDEX('DESEMPATE Y DISCAPACIDAD'!$D$3:$D$450,MATCH(C123,'DESEMPATE Y DISCAPACIDAD'!$C$3:$C$450,0)),"")</f>
        <v>CAL Y MAYOR COLOMBIA S.A.S.</v>
      </c>
      <c r="E123" s="120" t="str">
        <f>IFERROR(IF(D123="","",IF(VLOOKUP(D123,'DESEMPATE Y DISCAPACIDAD'!D$3:$E$450,2,FALSE)=1,"N/A",IF(VLOOKUP(D123,'DESEMPATE Y DISCAPACIDAD'!D$3:$F$450,3,FALSE)="X","SI","NO"))),"")</f>
        <v>NO</v>
      </c>
      <c r="F123" s="179" t="s">
        <v>687</v>
      </c>
      <c r="G123" s="121" t="s">
        <v>660</v>
      </c>
      <c r="H123" s="121" t="s">
        <v>974</v>
      </c>
      <c r="I123" s="122" t="s">
        <v>975</v>
      </c>
      <c r="J123" s="125" t="s">
        <v>74</v>
      </c>
      <c r="K123" s="121" t="s">
        <v>74</v>
      </c>
      <c r="L123" s="121" t="s">
        <v>75</v>
      </c>
      <c r="M123" s="121" t="s">
        <v>74</v>
      </c>
      <c r="N123" s="121" t="str">
        <f>IFERROR(IF(OR(J123="",K123=""),"",IF(J123="NO","NO",K123)),"")</f>
        <v>SI</v>
      </c>
      <c r="O123" s="121" t="str">
        <f>IFERROR(IF(OR(J123="",L123=""),"",IF(J123="NO","NO",L123)),"")</f>
        <v>NO</v>
      </c>
      <c r="P123" s="121" t="str">
        <f>IFERROR(IF(OR(J123="",M123=""),"",IF(J123="NO","NO",M123)),"")</f>
        <v>SI</v>
      </c>
      <c r="Q123" s="121" t="str">
        <f t="shared" si="68"/>
        <v>SI</v>
      </c>
      <c r="R123" s="103">
        <v>1</v>
      </c>
      <c r="S123" s="123">
        <v>39860</v>
      </c>
      <c r="T123" s="123">
        <v>41365</v>
      </c>
      <c r="U123" s="121">
        <f>IFERROR(IF(T123="","",YEAR(T123)),"")</f>
        <v>2013</v>
      </c>
      <c r="V123" s="358">
        <f>IF(U123=2023,1160000,IFERROR(INDEX(SMMLV!$B$2:$B$101,MATCH(U123,SMMLV!$A$2:$A$101,0)),""))</f>
        <v>589500</v>
      </c>
      <c r="W123" s="358" t="s">
        <v>670</v>
      </c>
      <c r="X123" s="121" t="s">
        <v>671</v>
      </c>
      <c r="Y123" s="148">
        <v>92</v>
      </c>
      <c r="Z123" s="500" t="s">
        <v>74</v>
      </c>
      <c r="AA123" s="501"/>
      <c r="AB123" s="502"/>
      <c r="AC123" s="121" t="str">
        <f>IFERROR(IF(Y123="","",IF(ISNUMBER(Y123),IF(COUNTIF(Z123,"SI")&gt;0,"SI","NO"),Y123)),"")</f>
        <v>SI</v>
      </c>
      <c r="AD123" s="124" t="str">
        <f t="shared" si="69"/>
        <v>N/A</v>
      </c>
      <c r="AE123" s="124">
        <v>18735.03</v>
      </c>
      <c r="AF123" s="124">
        <f t="shared" si="70"/>
        <v>18735.03</v>
      </c>
      <c r="AG123" s="486" t="str">
        <f>IFERROR(IF(COUNTIF(AF123:AF132,"")=10,"",IF(COUNTIF(E123:E132,"N/A")&gt;0,IF(SUM(CB123:CB132)&gt;=CMEM1,"CUMPLE","NO CUMPLE"),IF(SUM(AF123:AF132)&gt;=CMEM1,"CUMPLE","NO CUMPLE"))),"")</f>
        <v>CUMPLE</v>
      </c>
      <c r="AH123" s="486" t="str">
        <f>IF(COUNTIF(AF123:AF132,"")=10,"",IF(SUMIF(C123:C132,C123,AF123:AF132)&gt;=CMLM1,"CUMPLE",IF(SUMIF(C123:C132,C124,AF123:AF132)&gt;=CMLM1,"CUMPLE",IF(SUMIF(C123:C132,C125,AF123:AF132)&gt;=CMLM1,"CUMPLE",IF(SUMIF(C123:C132,C126,AF123:AF132)&gt;=CMLM1,"CUMPLE",IF(SUMIF(C123:C132,C127,AF123:AF132)&gt;=CMLM1,"CUMPLE",IF(SUMIF(C123:C132,C128,AF123:AF132)&gt;=CMLM1,"CUMPLE",IF(SUMIF(C123:C132,C129,AF123:AF132)&gt;=CMLM1,"CUMPLE",IF(SUMIF(C123:C132,C130,AF123:AF132)&gt;=CMLM1,"CUMPLE",IF(SUMIF(C123:C132,C131,AF123:AF132)&gt;=CMLM1,"CUMPLE",IF(SUMIF(C123:C132,C132,AF123:AF132)&gt;=CMLM1,"CUMPLE","NO CUMPLE")))))))))))</f>
        <v>CUMPLE</v>
      </c>
      <c r="AI123" s="121" t="str">
        <f t="shared" ref="AI123:AI152" si="112">IFERROR(IF(AF123="","",IF(AF123&gt;=CMEMM1,"CUMPLE","NO CUMPLE")),"")</f>
        <v>CUMPLE</v>
      </c>
      <c r="AJ123" s="469" t="str">
        <f>IFERROR(IF(COUNTIF(AF123:AF132,"")=10,"",IF(COUNTIF(E123:E132,"N/A")&gt;0,"N/A",CJ123)),"")</f>
        <v>CUMPLE</v>
      </c>
      <c r="AK123" s="469" t="str">
        <f>IFERROR(IF(AND(COUNTIF(N123:N132,"SI")&gt;=1,COUNTIF(O123:O132,"SI")&gt;=1,COUNTIF(P123:P132,"SI")&gt;=1,COUNTIF(J123:J132,"SI")&lt;=10,CO123="CUMPLE"),"CUMPLE","NO CUMPLE"),"")</f>
        <v>CUMPLE</v>
      </c>
      <c r="AL123" s="472" t="s">
        <v>77</v>
      </c>
      <c r="AM123" s="495">
        <f>IFERROR(IF(B123&lt;&gt;"",IF(VLOOKUP(B123,'DESEMPATE Y DISCAPACIDAD'!$A$3:$Q$450,10,FALSE)="","",VLOOKUP(B123,'DESEMPATE Y DISCAPACIDAD'!$A$3:$Q$450,10,FALSE)+6),""),"")</f>
        <v>8</v>
      </c>
      <c r="AN123" s="121" t="s">
        <v>75</v>
      </c>
      <c r="AO123" s="490" t="s">
        <v>74</v>
      </c>
      <c r="AP123" s="121" t="s">
        <v>74</v>
      </c>
      <c r="AQ123" s="490">
        <f>IFERROR(IF(COUNTIF(AP123:AP132,"")=10,"",IF(AO123="NO",0,COUNTIF(AP123:AP132,"SI"))),"")</f>
        <v>4</v>
      </c>
      <c r="AR123" s="521">
        <f>IFERROR(IF(COUNTIF(AF123:AF132,"")=10,"",IF(AO123="NO",0,IF(COUNTIF(E123:E132,"N/A")&gt;0,SUM(CQ123:CQ132),SUM(CR123:CR132)))),"")</f>
        <v>68742.820000000007</v>
      </c>
      <c r="AS123" s="518">
        <f>IFERROR(IF(OR(COUNTIF(AF123:AF132,"")=10,AQ123="",AR123=""),"",IF(AO123="NO",0,AR123/AQ123)),"")</f>
        <v>17185.705000000002</v>
      </c>
      <c r="AT123" s="204"/>
      <c r="AU123" s="614" t="s">
        <v>934</v>
      </c>
      <c r="AV123" s="616" t="s">
        <v>931</v>
      </c>
      <c r="AW123" s="619" t="s">
        <v>1357</v>
      </c>
      <c r="AX123" s="619" t="s">
        <v>1357</v>
      </c>
      <c r="AY123" s="19"/>
      <c r="CB123" s="29" t="str">
        <f>IFERROR(IF(COUNTIF(AF123:AF132,"")=10,"",IF(COUNTIF(E123:E132,"N/A")&gt;0,IF(AF123&gt;=CMEMM1,AF123,0),"N/A")),"")</f>
        <v>N/A</v>
      </c>
      <c r="CC123" s="4"/>
      <c r="CD123" s="4">
        <f>IFERROR(IF(COUNTIF(AF123:AF132,"")=10,"",IF(AF123="","",IF(AF123&gt;=CMEMM1,1,0))),"")</f>
        <v>1</v>
      </c>
      <c r="CE123" s="4" t="str">
        <f>B123&amp;"-0"&amp;1</f>
        <v>P13-01</v>
      </c>
      <c r="CF123" s="4" t="str">
        <f>IFERROR(INDEX('DESEMPATE Y DISCAPACIDAD'!$D$3:$D$450,MATCH(CE123,'DESEMPATE Y DISCAPACIDAD'!$C$3:$C$450,0)),"")</f>
        <v>CAL Y MAYOR COLOMBIA S.A.S.</v>
      </c>
      <c r="CG123" s="4">
        <f>IF(OR(CE123="",CF123=""),"",SUMIF(D123:D132,CF123,CD123:CD132))</f>
        <v>3</v>
      </c>
      <c r="CH123" s="4" t="str">
        <f t="shared" si="95"/>
        <v>CUMPLE</v>
      </c>
      <c r="CI123" s="4">
        <f>IF(CF123="","",IF(ISTEXT(CF123),1,0))</f>
        <v>1</v>
      </c>
      <c r="CJ123" s="4" t="str">
        <f>IF(OR(CD123="",CE123="",CF123="",CG123="",CH123="",CI123=""),"",IF(COUNTIF(CH123:CH132,"CUMPLE")=COUNTIF(CI123:CI132,1),"CUMPLE","NO CUMPLE"))</f>
        <v>CUMPLE</v>
      </c>
      <c r="CK123" s="4"/>
      <c r="CL123" s="4">
        <f t="shared" si="66"/>
        <v>1</v>
      </c>
      <c r="CM123" s="4">
        <f t="shared" si="67"/>
        <v>0</v>
      </c>
      <c r="CN123" s="4" t="str">
        <f>IF(OR(CL123="",CM123=""),"",IF(AND(CL123=0,CM123=0),"N/A",IF(AND(CL123=1,CM123=0),"COND. A",IF(AND(CL123=0,CM123=1),"COND. B",IF(AND(CL123=1,CM123=1),"COND. A Y B","")))))</f>
        <v>COND. A</v>
      </c>
      <c r="CO123" s="4" t="str">
        <f>IF(COUNTIF(CN123:CN132,"N/A")=10,"NO CUMPLE",IF(COUNTIF(CN123:CN132,"COND. A Y B")&gt;1,"CUMPLE",IF(AND(COUNTIF(CN123:CN132,"COND. A")&gt;0,COUNTIF(CN123:CN132,"COND. B")&gt;0),"CUMPLE",IF(AND(COUNTIF(CN123:CN132,"COND. A Y B")&gt;0,COUNTIF(CN123:CN132,"COND. A")&gt;0),"CUMPLE",IF(AND(COUNTIF(CN123:CN132,"COND. A Y B")&gt;0,COUNTIF(CN123:CN132,"COND. B")&gt;0),"CUMPLE","NO CUMPLE")))))</f>
        <v>CUMPLE</v>
      </c>
      <c r="CP123" s="4"/>
      <c r="CQ123" s="29" t="str">
        <f t="shared" si="110"/>
        <v>N/A</v>
      </c>
      <c r="CR123" s="29">
        <f t="shared" si="111"/>
        <v>18735.03</v>
      </c>
      <c r="CS123" s="4"/>
    </row>
    <row r="124" spans="1:97" ht="35" customHeight="1">
      <c r="B124" s="481"/>
      <c r="C124" s="118" t="s">
        <v>190</v>
      </c>
      <c r="D124" s="119" t="str">
        <f>+IFERROR(INDEX('DESEMPATE Y DISCAPACIDAD'!$D$3:$D$450,MATCH(C124,'DESEMPATE Y DISCAPACIDAD'!$C$3:$C$450,0)),"")</f>
        <v>CAL Y MAYOR COLOMBIA S.A.S.</v>
      </c>
      <c r="E124" s="120" t="str">
        <f>IFERROR(IF(D124="","",IF(VLOOKUP(D124,'DESEMPATE Y DISCAPACIDAD'!D$3:$E$450,2,FALSE)=1,"N/A",IF(VLOOKUP(D124,'DESEMPATE Y DISCAPACIDAD'!D$3:$F$450,3,FALSE)="X","SI","NO"))),"")</f>
        <v>NO</v>
      </c>
      <c r="F124" s="179" t="s">
        <v>976</v>
      </c>
      <c r="G124" s="121" t="s">
        <v>660</v>
      </c>
      <c r="H124" s="125" t="s">
        <v>977</v>
      </c>
      <c r="I124" s="122" t="s">
        <v>978</v>
      </c>
      <c r="J124" s="121" t="s">
        <v>74</v>
      </c>
      <c r="K124" s="121" t="s">
        <v>74</v>
      </c>
      <c r="L124" s="121" t="s">
        <v>74</v>
      </c>
      <c r="M124" s="121" t="s">
        <v>75</v>
      </c>
      <c r="N124" s="121" t="str">
        <f t="shared" ref="N124:N132" si="113">IFERROR(IF(OR(J124="",K124=""),"",IF(J124="NO","NO",K124)),"")</f>
        <v>SI</v>
      </c>
      <c r="O124" s="121" t="str">
        <f t="shared" ref="O124:O132" si="114">IFERROR(IF(OR(J124="",L124=""),"",IF(J124="NO","NO",L124)),"")</f>
        <v>SI</v>
      </c>
      <c r="P124" s="121" t="str">
        <f t="shared" ref="P124:P132" si="115">IFERROR(IF(OR(J124="",M124=""),"",IF(J124="NO","NO",M124)),"")</f>
        <v>NO</v>
      </c>
      <c r="Q124" s="121" t="str">
        <f t="shared" si="68"/>
        <v>SI</v>
      </c>
      <c r="R124" s="103">
        <v>0.7</v>
      </c>
      <c r="S124" s="123">
        <v>41394</v>
      </c>
      <c r="T124" s="123">
        <v>42421</v>
      </c>
      <c r="U124" s="121">
        <f t="shared" ref="U124:U132" si="116">IFERROR(IF(T124="","",YEAR(T124)),"")</f>
        <v>2016</v>
      </c>
      <c r="V124" s="358">
        <f>IF(U124=2023,1160000,IFERROR(INDEX(SMMLV!$B$2:$B$101,MATCH(U124,SMMLV!$A$2:$A$101,0)),""))</f>
        <v>689455</v>
      </c>
      <c r="W124" s="358" t="s">
        <v>670</v>
      </c>
      <c r="X124" s="121" t="s">
        <v>671</v>
      </c>
      <c r="Y124" s="148">
        <v>121</v>
      </c>
      <c r="Z124" s="474" t="s">
        <v>74</v>
      </c>
      <c r="AA124" s="475"/>
      <c r="AB124" s="476"/>
      <c r="AC124" s="125" t="str">
        <f t="shared" ref="AC124:AC132" si="117">IFERROR(IF(Y124="","",IF(ISNUMBER(Y124),IF(COUNTIF(Z124,"SI")&gt;0,"SI","NO"),Y124)),"")</f>
        <v>SI</v>
      </c>
      <c r="AD124" s="117" t="str">
        <f t="shared" si="69"/>
        <v>N/A</v>
      </c>
      <c r="AE124" s="117">
        <v>8482.5</v>
      </c>
      <c r="AF124" s="117">
        <f t="shared" si="70"/>
        <v>5937.75</v>
      </c>
      <c r="AG124" s="470"/>
      <c r="AH124" s="470"/>
      <c r="AI124" s="125" t="str">
        <f t="shared" si="112"/>
        <v>CUMPLE</v>
      </c>
      <c r="AJ124" s="470"/>
      <c r="AK124" s="470"/>
      <c r="AL124" s="472"/>
      <c r="AM124" s="496"/>
      <c r="AN124" s="125" t="s">
        <v>75</v>
      </c>
      <c r="AO124" s="490"/>
      <c r="AP124" s="125" t="s">
        <v>74</v>
      </c>
      <c r="AQ124" s="490"/>
      <c r="AR124" s="522"/>
      <c r="AS124" s="519"/>
      <c r="AT124" s="202"/>
      <c r="AU124" s="614"/>
      <c r="AV124" s="617"/>
      <c r="AW124" s="620"/>
      <c r="AX124" s="620"/>
      <c r="AY124" s="19"/>
      <c r="CB124" s="29" t="str">
        <f>IFERROR(IF(COUNTIF(AF123:AF132,"")=10,"",IF(COUNTIF(E123:E132,"N/A")&gt;0,IF(AF124&gt;=CMEMM1,AF124,0),"N/A")),"")</f>
        <v>N/A</v>
      </c>
      <c r="CC124" s="4"/>
      <c r="CD124" s="4">
        <f>IFERROR(IF(COUNTIF(AF123:AF132,"")=10,"",IF(AF124="","",IF(AF124&gt;=CMEMM1,1,0))),"")</f>
        <v>1</v>
      </c>
      <c r="CE124" s="4" t="str">
        <f>B123&amp;"-0"&amp;2</f>
        <v>P13-02</v>
      </c>
      <c r="CF124" s="4" t="str">
        <f>IFERROR(INDEX('DESEMPATE Y DISCAPACIDAD'!$D$3:$D$450,MATCH(CE124,'DESEMPATE Y DISCAPACIDAD'!$C$3:$C$450,0)),"")</f>
        <v>CPS INFRAESTRUCTURAS MOVILIDAD Y MEDIO AMBIENTE SL SUCURSAL COLOMBIA</v>
      </c>
      <c r="CG124" s="4">
        <f>IF(OR(CE124="",CF124=""),"",SUMIF(D123:D132,CF124,CD123:CD132))</f>
        <v>1</v>
      </c>
      <c r="CH124" s="4" t="str">
        <f t="shared" si="95"/>
        <v>CUMPLE</v>
      </c>
      <c r="CI124" s="4">
        <f t="shared" ref="CI124:CI132" si="118">IF(CF124="","",IF(ISTEXT(CF124),1,0))</f>
        <v>1</v>
      </c>
      <c r="CJ124" s="4"/>
      <c r="CK124" s="4"/>
      <c r="CL124" s="4">
        <f t="shared" si="66"/>
        <v>1</v>
      </c>
      <c r="CM124" s="4">
        <f t="shared" si="67"/>
        <v>1</v>
      </c>
      <c r="CN124" s="4" t="str">
        <f t="shared" ref="CN124:CN132" si="119">IF(OR(CL124="",CM124=""),"",IF(AND(CL124=0,CM124=0),"N/A",IF(AND(CL124=1,CM124=0),"COND. A",IF(AND(CL124=0,CM124=1),"COND. B",IF(AND(CL124=1,CM124=1),"COND. A Y B","")))))</f>
        <v>COND. A Y B</v>
      </c>
      <c r="CO124" s="4"/>
      <c r="CP124" s="4"/>
      <c r="CQ124" s="29" t="str">
        <f t="shared" si="110"/>
        <v>N/A</v>
      </c>
      <c r="CR124" s="29">
        <f t="shared" si="111"/>
        <v>5937.75</v>
      </c>
      <c r="CS124" s="4"/>
    </row>
    <row r="125" spans="1:97" ht="35" customHeight="1">
      <c r="B125" s="481"/>
      <c r="C125" s="118" t="s">
        <v>190</v>
      </c>
      <c r="D125" s="126" t="str">
        <f>+IFERROR(INDEX('DESEMPATE Y DISCAPACIDAD'!$D$3:$D$450,MATCH(C125,'DESEMPATE Y DISCAPACIDAD'!$C$3:$C$450,0)),"")</f>
        <v>CAL Y MAYOR COLOMBIA S.A.S.</v>
      </c>
      <c r="E125" s="127" t="str">
        <f>IFERROR(IF(D125="","",IF(VLOOKUP(D125,'DESEMPATE Y DISCAPACIDAD'!D$3:$E$450,2,FALSE)=1,"N/A",IF(VLOOKUP(D125,'DESEMPATE Y DISCAPACIDAD'!D$3:$F$450,3,FALSE)="X","SI","NO"))),"")</f>
        <v>NO</v>
      </c>
      <c r="F125" s="3" t="s">
        <v>979</v>
      </c>
      <c r="G125" s="121" t="s">
        <v>980</v>
      </c>
      <c r="H125" s="125" t="s">
        <v>981</v>
      </c>
      <c r="I125" s="128" t="s">
        <v>982</v>
      </c>
      <c r="J125" s="125" t="s">
        <v>74</v>
      </c>
      <c r="K125" s="125" t="s">
        <v>75</v>
      </c>
      <c r="L125" s="125" t="s">
        <v>75</v>
      </c>
      <c r="M125" s="125" t="s">
        <v>74</v>
      </c>
      <c r="N125" s="125" t="str">
        <f t="shared" si="113"/>
        <v>NO</v>
      </c>
      <c r="O125" s="125" t="str">
        <f t="shared" si="114"/>
        <v>NO</v>
      </c>
      <c r="P125" s="125" t="str">
        <f t="shared" si="115"/>
        <v>SI</v>
      </c>
      <c r="Q125" s="125" t="str">
        <f t="shared" si="68"/>
        <v>SI</v>
      </c>
      <c r="R125" s="68">
        <v>1</v>
      </c>
      <c r="S125" s="129">
        <v>40724</v>
      </c>
      <c r="T125" s="129">
        <v>42766</v>
      </c>
      <c r="U125" s="125">
        <f t="shared" si="116"/>
        <v>2017</v>
      </c>
      <c r="V125" s="21">
        <f>IF(U125=2023,1160000,IFERROR(INDEX(SMMLV!$B$2:$B$101,MATCH(U125,SMMLV!$A$2:$A$101,0)),""))</f>
        <v>737717</v>
      </c>
      <c r="W125" s="358" t="s">
        <v>670</v>
      </c>
      <c r="X125" s="121" t="s">
        <v>671</v>
      </c>
      <c r="Y125" s="148">
        <v>130</v>
      </c>
      <c r="Z125" s="474" t="s">
        <v>74</v>
      </c>
      <c r="AA125" s="475"/>
      <c r="AB125" s="476"/>
      <c r="AC125" s="125" t="str">
        <f t="shared" si="117"/>
        <v>SI</v>
      </c>
      <c r="AD125" s="117" t="str">
        <f t="shared" si="69"/>
        <v>N/A</v>
      </c>
      <c r="AE125" s="117">
        <v>39129.11</v>
      </c>
      <c r="AF125" s="117">
        <f t="shared" si="70"/>
        <v>39129.11</v>
      </c>
      <c r="AG125" s="470"/>
      <c r="AH125" s="470"/>
      <c r="AI125" s="125" t="str">
        <f t="shared" si="112"/>
        <v>CUMPLE</v>
      </c>
      <c r="AJ125" s="470"/>
      <c r="AK125" s="470"/>
      <c r="AL125" s="472"/>
      <c r="AM125" s="496"/>
      <c r="AN125" s="125" t="s">
        <v>75</v>
      </c>
      <c r="AO125" s="490"/>
      <c r="AP125" s="125" t="s">
        <v>74</v>
      </c>
      <c r="AQ125" s="490"/>
      <c r="AR125" s="522"/>
      <c r="AS125" s="519"/>
      <c r="AT125" s="204"/>
      <c r="AU125" s="614"/>
      <c r="AV125" s="617"/>
      <c r="AW125" s="620"/>
      <c r="AX125" s="620"/>
      <c r="AY125" s="19"/>
      <c r="CB125" s="29" t="str">
        <f>IFERROR(IF(COUNTIF(AF123:AF132,"")=10,"",IF(COUNTIF(E123:E132,"N/A")&gt;0,IF(AF125&gt;=CMEMM1,AF125,0),"N/A")),"")</f>
        <v>N/A</v>
      </c>
      <c r="CC125" s="4"/>
      <c r="CD125" s="4">
        <f>IFERROR(IF(COUNTIF(AF123:AF132,"")=10,"",IF(AF125="","",IF(AF125&gt;=CMEMM1,1,0))),"")</f>
        <v>1</v>
      </c>
      <c r="CE125" s="4" t="str">
        <f>B123&amp;"-0"&amp;3</f>
        <v>P13-03</v>
      </c>
      <c r="CF125" s="4">
        <f>IFERROR(INDEX('DESEMPATE Y DISCAPACIDAD'!$D$3:$D$450,MATCH(CE125,'DESEMPATE Y DISCAPACIDAD'!$C$3:$C$450,0)),"")</f>
        <v>0</v>
      </c>
      <c r="CG125" s="4">
        <f>IF(OR(CE125="",CF125=""),"",SUMIF(D123:D132,CF125,CD123:CD132))</f>
        <v>0</v>
      </c>
      <c r="CH125" s="4" t="str">
        <f t="shared" si="95"/>
        <v>NO CUMPLE</v>
      </c>
      <c r="CI125" s="4">
        <f t="shared" si="118"/>
        <v>0</v>
      </c>
      <c r="CJ125" s="4"/>
      <c r="CK125" s="4"/>
      <c r="CL125" s="4">
        <f t="shared" si="66"/>
        <v>0</v>
      </c>
      <c r="CM125" s="4">
        <f t="shared" si="67"/>
        <v>0</v>
      </c>
      <c r="CN125" s="4" t="str">
        <f t="shared" si="119"/>
        <v>N/A</v>
      </c>
      <c r="CO125" s="4"/>
      <c r="CP125" s="4"/>
      <c r="CQ125" s="29" t="str">
        <f t="shared" si="110"/>
        <v>N/A</v>
      </c>
      <c r="CR125" s="29">
        <f t="shared" si="111"/>
        <v>39129.11</v>
      </c>
      <c r="CS125" s="4"/>
    </row>
    <row r="126" spans="1:97" ht="35" customHeight="1">
      <c r="B126" s="481"/>
      <c r="C126" s="118" t="s">
        <v>212</v>
      </c>
      <c r="D126" s="126" t="str">
        <f>+IFERROR(INDEX('DESEMPATE Y DISCAPACIDAD'!$D$3:$D$450,MATCH(C126,'DESEMPATE Y DISCAPACIDAD'!$C$3:$C$450,0)),"")</f>
        <v>CPS INFRAESTRUCTURAS MOVILIDAD Y MEDIO AMBIENTE SL SUCURSAL COLOMBIA</v>
      </c>
      <c r="E126" s="127" t="str">
        <f>IFERROR(IF(D126="","",IF(VLOOKUP(D126,'DESEMPATE Y DISCAPACIDAD'!D$3:$E$450,2,FALSE)=1,"N/A",IF(VLOOKUP(D126,'DESEMPATE Y DISCAPACIDAD'!D$3:$F$450,3,FALSE)="X","SI","NO"))),"")</f>
        <v>NO</v>
      </c>
      <c r="F126" s="3" t="s">
        <v>983</v>
      </c>
      <c r="G126" s="125" t="s">
        <v>736</v>
      </c>
      <c r="H126" s="125" t="s">
        <v>670</v>
      </c>
      <c r="I126" s="128" t="s">
        <v>984</v>
      </c>
      <c r="J126" s="125" t="s">
        <v>74</v>
      </c>
      <c r="K126" s="125" t="s">
        <v>75</v>
      </c>
      <c r="L126" s="125" t="s">
        <v>75</v>
      </c>
      <c r="M126" s="125" t="s">
        <v>74</v>
      </c>
      <c r="N126" s="125" t="str">
        <f t="shared" si="113"/>
        <v>NO</v>
      </c>
      <c r="O126" s="125" t="str">
        <f t="shared" si="114"/>
        <v>NO</v>
      </c>
      <c r="P126" s="125" t="str">
        <f t="shared" si="115"/>
        <v>SI</v>
      </c>
      <c r="Q126" s="125" t="str">
        <f t="shared" si="68"/>
        <v>SI</v>
      </c>
      <c r="R126" s="68">
        <v>1</v>
      </c>
      <c r="S126" s="129">
        <v>38107</v>
      </c>
      <c r="T126" s="129">
        <v>40747</v>
      </c>
      <c r="U126" s="125">
        <f t="shared" si="116"/>
        <v>2011</v>
      </c>
      <c r="V126" s="21">
        <f>IF(U126=2023,1160000,IFERROR(INDEX(SMMLV!$B$2:$B$101,MATCH(U126,SMMLV!$A$2:$A$101,0)),""))</f>
        <v>535600</v>
      </c>
      <c r="W126" s="358" t="s">
        <v>670</v>
      </c>
      <c r="X126" s="121" t="s">
        <v>671</v>
      </c>
      <c r="Y126" s="148">
        <v>9</v>
      </c>
      <c r="Z126" s="474" t="s">
        <v>74</v>
      </c>
      <c r="AA126" s="475"/>
      <c r="AB126" s="476"/>
      <c r="AC126" s="125" t="str">
        <f t="shared" si="117"/>
        <v>SI</v>
      </c>
      <c r="AD126" s="117" t="str">
        <f t="shared" si="69"/>
        <v>N/A</v>
      </c>
      <c r="AE126" s="117">
        <v>4940.93</v>
      </c>
      <c r="AF126" s="117">
        <f t="shared" si="70"/>
        <v>4940.93</v>
      </c>
      <c r="AG126" s="470"/>
      <c r="AH126" s="470"/>
      <c r="AI126" s="125" t="str">
        <f t="shared" si="112"/>
        <v>CUMPLE</v>
      </c>
      <c r="AJ126" s="470"/>
      <c r="AK126" s="470"/>
      <c r="AL126" s="472"/>
      <c r="AM126" s="496"/>
      <c r="AN126" s="125" t="s">
        <v>75</v>
      </c>
      <c r="AO126" s="490"/>
      <c r="AP126" s="125" t="s">
        <v>74</v>
      </c>
      <c r="AQ126" s="490"/>
      <c r="AR126" s="522"/>
      <c r="AS126" s="519"/>
      <c r="AT126" s="204"/>
      <c r="AU126" s="614"/>
      <c r="AV126" s="617"/>
      <c r="AW126" s="620"/>
      <c r="AX126" s="620"/>
      <c r="AY126" s="19"/>
      <c r="CB126" s="29" t="str">
        <f>IFERROR(IF(COUNTIF(AF123:AF132,"")=10,"",IF(COUNTIF(E123:E132,"N/A")&gt;0,IF(AF126&gt;=CMEMM1,AF126,0),"N/A")),"")</f>
        <v>N/A</v>
      </c>
      <c r="CC126" s="4"/>
      <c r="CD126" s="4">
        <f>IFERROR(IF(COUNTIF(AF123:AF132,"")=10,"",IF(AF126="","",IF(AF126&gt;=CMEMM1,1,0))),"")</f>
        <v>1</v>
      </c>
      <c r="CE126" s="4" t="str">
        <f>B123&amp;"-0"&amp;4</f>
        <v>P13-04</v>
      </c>
      <c r="CF126" s="4">
        <f>IFERROR(INDEX('DESEMPATE Y DISCAPACIDAD'!$D$3:$D$450,MATCH(CE126,'DESEMPATE Y DISCAPACIDAD'!$C$3:$C$450,0)),"")</f>
        <v>0</v>
      </c>
      <c r="CG126" s="4">
        <f>IF(OR(CE126="",CF126=""),"",SUMIF(D123:D132,CF126,CD123:CD132))</f>
        <v>0</v>
      </c>
      <c r="CH126" s="4" t="str">
        <f t="shared" si="95"/>
        <v>NO CUMPLE</v>
      </c>
      <c r="CI126" s="4">
        <f t="shared" si="118"/>
        <v>0</v>
      </c>
      <c r="CJ126" s="4"/>
      <c r="CK126" s="4"/>
      <c r="CL126" s="4">
        <f t="shared" si="66"/>
        <v>0</v>
      </c>
      <c r="CM126" s="4">
        <f t="shared" si="67"/>
        <v>0</v>
      </c>
      <c r="CN126" s="4" t="str">
        <f t="shared" si="119"/>
        <v>N/A</v>
      </c>
      <c r="CO126" s="4"/>
      <c r="CP126" s="4"/>
      <c r="CQ126" s="29" t="str">
        <f t="shared" si="110"/>
        <v>N/A</v>
      </c>
      <c r="CR126" s="29">
        <f t="shared" si="111"/>
        <v>4940.93</v>
      </c>
      <c r="CS126" s="4"/>
    </row>
    <row r="127" spans="1:97" ht="2" customHeight="1">
      <c r="B127" s="481"/>
      <c r="C127" s="118"/>
      <c r="D127" s="126" t="str">
        <f>+IFERROR(INDEX('DESEMPATE Y DISCAPACIDAD'!$D$3:$D$450,MATCH(C127,'DESEMPATE Y DISCAPACIDAD'!$C$3:$C$450,0)),"")</f>
        <v/>
      </c>
      <c r="E127" s="127" t="str">
        <f>IFERROR(IF(D127="","",IF(VLOOKUP(D127,'DESEMPATE Y DISCAPACIDAD'!D$3:$E$450,2,FALSE)=1,"N/A",IF(VLOOKUP(D127,'DESEMPATE Y DISCAPACIDAD'!D$3:$F$450,3,FALSE)="X","SI","NO"))),"")</f>
        <v/>
      </c>
      <c r="F127" s="3"/>
      <c r="G127" s="125"/>
      <c r="H127" s="125"/>
      <c r="I127" s="128"/>
      <c r="J127" s="125"/>
      <c r="K127" s="125"/>
      <c r="L127" s="125"/>
      <c r="M127" s="125"/>
      <c r="N127" s="125" t="str">
        <f t="shared" si="113"/>
        <v/>
      </c>
      <c r="O127" s="125" t="str">
        <f t="shared" si="114"/>
        <v/>
      </c>
      <c r="P127" s="125" t="str">
        <f t="shared" si="115"/>
        <v/>
      </c>
      <c r="Q127" s="125" t="str">
        <f t="shared" si="68"/>
        <v/>
      </c>
      <c r="R127" s="68"/>
      <c r="S127" s="129"/>
      <c r="T127" s="129"/>
      <c r="U127" s="125" t="str">
        <f t="shared" si="116"/>
        <v/>
      </c>
      <c r="V127" s="21" t="str">
        <f>IF(U127=2023,1160000,IFERROR(INDEX(SMMLV!$B$2:$B$101,MATCH(U127,SMMLV!$A$2:$A$101,0)),""))</f>
        <v/>
      </c>
      <c r="W127" s="21"/>
      <c r="X127" s="125"/>
      <c r="Y127" s="125"/>
      <c r="Z127" s="474"/>
      <c r="AA127" s="475"/>
      <c r="AB127" s="476"/>
      <c r="AC127" s="125" t="str">
        <f t="shared" si="117"/>
        <v/>
      </c>
      <c r="AD127" s="117" t="str">
        <f t="shared" si="69"/>
        <v/>
      </c>
      <c r="AE127" s="117" t="s">
        <v>894</v>
      </c>
      <c r="AF127" s="117" t="str">
        <f t="shared" ref="AF127:AF152" si="120">IFERROR(IF(OR(J127="",J127="NO"),"",IF(AND(J127="SI",Q127="SI"),IFERROR(AE127*R127,""),"")),"")</f>
        <v/>
      </c>
      <c r="AG127" s="470"/>
      <c r="AH127" s="470"/>
      <c r="AI127" s="125" t="str">
        <f t="shared" si="112"/>
        <v/>
      </c>
      <c r="AJ127" s="470"/>
      <c r="AK127" s="470"/>
      <c r="AL127" s="472"/>
      <c r="AM127" s="496"/>
      <c r="AN127" s="125"/>
      <c r="AO127" s="490"/>
      <c r="AP127" s="125"/>
      <c r="AQ127" s="490"/>
      <c r="AR127" s="522"/>
      <c r="AS127" s="519"/>
      <c r="AT127" s="204"/>
      <c r="AU127" s="614"/>
      <c r="AV127" s="617"/>
      <c r="AW127" s="620"/>
      <c r="AX127" s="620"/>
      <c r="AY127" s="19"/>
      <c r="CB127" s="29" t="str">
        <f>IFERROR(IF(COUNTIF(AF123:AF132,"")=10,"",IF(COUNTIF(E123:E132,"N/A")&gt;0,IF(AF127&gt;=CMEMM1,AF127,0),"N/A")),"")</f>
        <v>N/A</v>
      </c>
      <c r="CC127" s="4"/>
      <c r="CD127" s="4" t="str">
        <f>IFERROR(IF(COUNTIF(AF123:AF132,"")=10,"",IF(AF127="","",IF(AF127&gt;=CMEMM1,1,0))),"")</f>
        <v/>
      </c>
      <c r="CE127" s="4" t="str">
        <f>B123&amp;"-0"&amp;5</f>
        <v>P13-05</v>
      </c>
      <c r="CF127" s="4">
        <f>IFERROR(INDEX('DESEMPATE Y DISCAPACIDAD'!$D$3:$D$450,MATCH(CE127,'DESEMPATE Y DISCAPACIDAD'!$C$3:$C$450,0)),"")</f>
        <v>0</v>
      </c>
      <c r="CG127" s="4">
        <f>IF(OR(CE127="",CF127=""),"",SUMIF(D123:D132,CF127,CD123:CD132))</f>
        <v>0</v>
      </c>
      <c r="CH127" s="4" t="str">
        <f t="shared" si="95"/>
        <v>NO CUMPLE</v>
      </c>
      <c r="CI127" s="4">
        <f t="shared" si="118"/>
        <v>0</v>
      </c>
      <c r="CJ127" s="4"/>
      <c r="CK127" s="4"/>
      <c r="CL127" s="4" t="str">
        <f t="shared" si="66"/>
        <v/>
      </c>
      <c r="CM127" s="4" t="str">
        <f t="shared" si="67"/>
        <v/>
      </c>
      <c r="CN127" s="4" t="str">
        <f t="shared" si="119"/>
        <v/>
      </c>
      <c r="CO127" s="4"/>
      <c r="CP127" s="4"/>
      <c r="CQ127" s="29" t="str">
        <f t="shared" si="110"/>
        <v/>
      </c>
      <c r="CR127" s="29" t="str">
        <f t="shared" si="111"/>
        <v/>
      </c>
      <c r="CS127" s="4"/>
    </row>
    <row r="128" spans="1:97" ht="2" customHeight="1">
      <c r="B128" s="481"/>
      <c r="C128" s="118"/>
      <c r="D128" s="126" t="str">
        <f>+IFERROR(INDEX('DESEMPATE Y DISCAPACIDAD'!$D$3:$D$450,MATCH(C128,'DESEMPATE Y DISCAPACIDAD'!$C$3:$C$450,0)),"")</f>
        <v/>
      </c>
      <c r="E128" s="127" t="str">
        <f>IFERROR(IF(D128="","",IF(VLOOKUP(D128,'DESEMPATE Y DISCAPACIDAD'!D$3:$E$450,2,FALSE)=1,"N/A",IF(VLOOKUP(D128,'DESEMPATE Y DISCAPACIDAD'!D$3:$F$450,3,FALSE)="X","SI","NO"))),"")</f>
        <v/>
      </c>
      <c r="F128" s="3"/>
      <c r="G128" s="125"/>
      <c r="H128" s="125"/>
      <c r="I128" s="128"/>
      <c r="J128" s="125"/>
      <c r="K128" s="125"/>
      <c r="L128" s="125"/>
      <c r="M128" s="125"/>
      <c r="N128" s="125" t="str">
        <f t="shared" si="113"/>
        <v/>
      </c>
      <c r="O128" s="125" t="str">
        <f t="shared" si="114"/>
        <v/>
      </c>
      <c r="P128" s="125" t="str">
        <f t="shared" si="115"/>
        <v/>
      </c>
      <c r="Q128" s="125" t="str">
        <f t="shared" si="68"/>
        <v/>
      </c>
      <c r="R128" s="68"/>
      <c r="S128" s="129"/>
      <c r="T128" s="129"/>
      <c r="U128" s="125" t="str">
        <f t="shared" si="116"/>
        <v/>
      </c>
      <c r="V128" s="21" t="str">
        <f>IF(U128=2023,1160000,IFERROR(INDEX(SMMLV!$B$2:$B$101,MATCH(U128,SMMLV!$A$2:$A$101,0)),""))</f>
        <v/>
      </c>
      <c r="W128" s="21"/>
      <c r="X128" s="125"/>
      <c r="Y128" s="125"/>
      <c r="Z128" s="474"/>
      <c r="AA128" s="475"/>
      <c r="AB128" s="476"/>
      <c r="AC128" s="125" t="str">
        <f t="shared" si="117"/>
        <v/>
      </c>
      <c r="AD128" s="117" t="str">
        <f t="shared" si="69"/>
        <v/>
      </c>
      <c r="AE128" s="117" t="s">
        <v>894</v>
      </c>
      <c r="AF128" s="117" t="str">
        <f t="shared" si="120"/>
        <v/>
      </c>
      <c r="AG128" s="470"/>
      <c r="AH128" s="470"/>
      <c r="AI128" s="125" t="str">
        <f t="shared" si="112"/>
        <v/>
      </c>
      <c r="AJ128" s="470"/>
      <c r="AK128" s="470"/>
      <c r="AL128" s="472"/>
      <c r="AM128" s="496"/>
      <c r="AN128" s="125"/>
      <c r="AO128" s="490"/>
      <c r="AP128" s="125"/>
      <c r="AQ128" s="490"/>
      <c r="AR128" s="522"/>
      <c r="AS128" s="519"/>
      <c r="AT128" s="204"/>
      <c r="AU128" s="614"/>
      <c r="AV128" s="617"/>
      <c r="AW128" s="620"/>
      <c r="AX128" s="620"/>
      <c r="AY128" s="19"/>
      <c r="CB128" s="29" t="str">
        <f>IFERROR(IF(COUNTIF(AF123:AF132,"")=10,"",IF(COUNTIF(E123:E132,"N/A")&gt;0,IF(AF128&gt;=CMEMM1,AF128,0),"N/A")),"")</f>
        <v>N/A</v>
      </c>
      <c r="CC128" s="4"/>
      <c r="CD128" s="4" t="str">
        <f>IFERROR(IF(COUNTIF(AF123:AF132,"")=10,"",IF(AF128="","",IF(AF128&gt;=CMEMM1,1,0))),"")</f>
        <v/>
      </c>
      <c r="CE128" s="4" t="str">
        <f>B123&amp;"-0"&amp;6</f>
        <v>P13-06</v>
      </c>
      <c r="CF128" s="4">
        <f>IFERROR(INDEX('DESEMPATE Y DISCAPACIDAD'!$D$3:$D$450,MATCH(CE128,'DESEMPATE Y DISCAPACIDAD'!$C$3:$C$450,0)),"")</f>
        <v>0</v>
      </c>
      <c r="CG128" s="4">
        <f>IF(OR(CE128="",CF128=""),"",SUMIF(D123:D132,CF128,CD123:CD132))</f>
        <v>0</v>
      </c>
      <c r="CH128" s="4" t="str">
        <f t="shared" si="95"/>
        <v>NO CUMPLE</v>
      </c>
      <c r="CI128" s="4">
        <f t="shared" si="118"/>
        <v>0</v>
      </c>
      <c r="CJ128" s="4"/>
      <c r="CK128" s="4"/>
      <c r="CL128" s="4" t="str">
        <f t="shared" si="66"/>
        <v/>
      </c>
      <c r="CM128" s="4" t="str">
        <f t="shared" si="67"/>
        <v/>
      </c>
      <c r="CN128" s="4" t="str">
        <f t="shared" si="119"/>
        <v/>
      </c>
      <c r="CO128" s="4"/>
      <c r="CP128" s="4"/>
      <c r="CQ128" s="29" t="str">
        <f t="shared" si="110"/>
        <v/>
      </c>
      <c r="CR128" s="29" t="str">
        <f t="shared" si="111"/>
        <v/>
      </c>
      <c r="CS128" s="4"/>
    </row>
    <row r="129" spans="1:97" ht="2" customHeight="1">
      <c r="B129" s="481"/>
      <c r="C129" s="118"/>
      <c r="D129" s="126" t="str">
        <f>+IFERROR(INDEX('DESEMPATE Y DISCAPACIDAD'!$D$3:$D$450,MATCH(C129,'DESEMPATE Y DISCAPACIDAD'!$C$3:$C$450,0)),"")</f>
        <v/>
      </c>
      <c r="E129" s="127" t="str">
        <f>IFERROR(IF(D129="","",IF(VLOOKUP(D129,'DESEMPATE Y DISCAPACIDAD'!D$3:$E$450,2,FALSE)=1,"N/A",IF(VLOOKUP(D129,'DESEMPATE Y DISCAPACIDAD'!D$3:$F$450,3,FALSE)="X","SI","NO"))),"")</f>
        <v/>
      </c>
      <c r="F129" s="3"/>
      <c r="G129" s="125"/>
      <c r="H129" s="125"/>
      <c r="I129" s="128"/>
      <c r="J129" s="125"/>
      <c r="K129" s="125"/>
      <c r="L129" s="125"/>
      <c r="M129" s="125"/>
      <c r="N129" s="125" t="str">
        <f t="shared" si="113"/>
        <v/>
      </c>
      <c r="O129" s="125" t="str">
        <f t="shared" si="114"/>
        <v/>
      </c>
      <c r="P129" s="125" t="str">
        <f t="shared" si="115"/>
        <v/>
      </c>
      <c r="Q129" s="125" t="str">
        <f t="shared" si="68"/>
        <v/>
      </c>
      <c r="R129" s="68"/>
      <c r="S129" s="129"/>
      <c r="T129" s="129"/>
      <c r="U129" s="125" t="str">
        <f t="shared" si="116"/>
        <v/>
      </c>
      <c r="V129" s="21" t="str">
        <f>IF(U129=2023,1160000,IFERROR(INDEX(SMMLV!$B$2:$B$101,MATCH(U129,SMMLV!$A$2:$A$101,0)),""))</f>
        <v/>
      </c>
      <c r="W129" s="21"/>
      <c r="X129" s="125"/>
      <c r="Y129" s="125"/>
      <c r="Z129" s="474"/>
      <c r="AA129" s="475"/>
      <c r="AB129" s="476"/>
      <c r="AC129" s="125" t="str">
        <f t="shared" si="117"/>
        <v/>
      </c>
      <c r="AD129" s="117" t="str">
        <f t="shared" si="69"/>
        <v/>
      </c>
      <c r="AE129" s="117" t="s">
        <v>894</v>
      </c>
      <c r="AF129" s="117" t="str">
        <f t="shared" si="120"/>
        <v/>
      </c>
      <c r="AG129" s="470"/>
      <c r="AH129" s="470"/>
      <c r="AI129" s="125" t="str">
        <f t="shared" si="112"/>
        <v/>
      </c>
      <c r="AJ129" s="470"/>
      <c r="AK129" s="470"/>
      <c r="AL129" s="472"/>
      <c r="AM129" s="496"/>
      <c r="AN129" s="125"/>
      <c r="AO129" s="490"/>
      <c r="AP129" s="125"/>
      <c r="AQ129" s="490"/>
      <c r="AR129" s="522"/>
      <c r="AS129" s="519"/>
      <c r="AT129" s="204"/>
      <c r="AU129" s="614"/>
      <c r="AV129" s="617"/>
      <c r="AW129" s="620"/>
      <c r="AX129" s="620"/>
      <c r="AY129" s="19"/>
      <c r="CB129" s="29" t="str">
        <f>IFERROR(IF(COUNTIF(AF123:AF132,"")=10,"",IF(COUNTIF(E123:E132,"N/A")&gt;0,IF(AF129&gt;=CMEMM1,AF129,0),"N/A")),"")</f>
        <v>N/A</v>
      </c>
      <c r="CC129" s="4"/>
      <c r="CD129" s="4" t="str">
        <f>IFERROR(IF(COUNTIF(AF123:AF132,"")=10,"",IF(AF129="","",IF(AF129&gt;=CMEMM1,1,0))),"")</f>
        <v/>
      </c>
      <c r="CE129" s="4" t="str">
        <f>B123&amp;"-0"&amp;7</f>
        <v>P13-07</v>
      </c>
      <c r="CF129" s="4" t="str">
        <f>IFERROR(INDEX('DESEMPATE Y DISCAPACIDAD'!$D$3:$D$450,MATCH(CE129,'DESEMPATE Y DISCAPACIDAD'!$C$3:$C$450,0)),"")</f>
        <v/>
      </c>
      <c r="CG129" s="4" t="str">
        <f>IF(OR(CE129="",CF129=""),"",SUMIF(D123:D132,CF129,CD123:CD132))</f>
        <v/>
      </c>
      <c r="CH129" s="4" t="str">
        <f t="shared" si="95"/>
        <v/>
      </c>
      <c r="CI129" s="4" t="str">
        <f t="shared" si="118"/>
        <v/>
      </c>
      <c r="CJ129" s="4"/>
      <c r="CK129" s="4"/>
      <c r="CL129" s="4" t="str">
        <f t="shared" si="66"/>
        <v/>
      </c>
      <c r="CM129" s="4" t="str">
        <f t="shared" si="67"/>
        <v/>
      </c>
      <c r="CN129" s="4" t="str">
        <f t="shared" si="119"/>
        <v/>
      </c>
      <c r="CO129" s="4"/>
      <c r="CP129" s="4"/>
      <c r="CQ129" s="29" t="str">
        <f t="shared" si="110"/>
        <v/>
      </c>
      <c r="CR129" s="29" t="str">
        <f t="shared" si="111"/>
        <v/>
      </c>
      <c r="CS129" s="4"/>
    </row>
    <row r="130" spans="1:97" ht="2" customHeight="1">
      <c r="B130" s="481"/>
      <c r="C130" s="118"/>
      <c r="D130" s="126" t="str">
        <f>+IFERROR(INDEX('DESEMPATE Y DISCAPACIDAD'!$D$3:$D$450,MATCH(C130,'DESEMPATE Y DISCAPACIDAD'!$C$3:$C$450,0)),"")</f>
        <v/>
      </c>
      <c r="E130" s="127" t="str">
        <f>IFERROR(IF(D130="","",IF(VLOOKUP(D130,'DESEMPATE Y DISCAPACIDAD'!D$3:$E$450,2,FALSE)=1,"N/A",IF(VLOOKUP(D130,'DESEMPATE Y DISCAPACIDAD'!D$3:$F$450,3,FALSE)="X","SI","NO"))),"")</f>
        <v/>
      </c>
      <c r="F130" s="3"/>
      <c r="G130" s="125"/>
      <c r="H130" s="125"/>
      <c r="I130" s="128"/>
      <c r="J130" s="125"/>
      <c r="K130" s="125"/>
      <c r="L130" s="125"/>
      <c r="M130" s="125"/>
      <c r="N130" s="125" t="str">
        <f t="shared" si="113"/>
        <v/>
      </c>
      <c r="O130" s="125" t="str">
        <f t="shared" si="114"/>
        <v/>
      </c>
      <c r="P130" s="125" t="str">
        <f t="shared" si="115"/>
        <v/>
      </c>
      <c r="Q130" s="125" t="str">
        <f t="shared" si="68"/>
        <v/>
      </c>
      <c r="R130" s="68"/>
      <c r="S130" s="129"/>
      <c r="T130" s="129"/>
      <c r="U130" s="125" t="str">
        <f t="shared" si="116"/>
        <v/>
      </c>
      <c r="V130" s="21" t="str">
        <f>IF(U130=2023,1160000,IFERROR(INDEX(SMMLV!$B$2:$B$101,MATCH(U130,SMMLV!$A$2:$A$101,0)),""))</f>
        <v/>
      </c>
      <c r="W130" s="21"/>
      <c r="X130" s="125"/>
      <c r="Y130" s="125"/>
      <c r="Z130" s="474"/>
      <c r="AA130" s="475"/>
      <c r="AB130" s="476"/>
      <c r="AC130" s="125" t="str">
        <f t="shared" si="117"/>
        <v/>
      </c>
      <c r="AD130" s="117" t="str">
        <f t="shared" si="69"/>
        <v/>
      </c>
      <c r="AE130" s="117" t="s">
        <v>894</v>
      </c>
      <c r="AF130" s="117" t="str">
        <f t="shared" si="120"/>
        <v/>
      </c>
      <c r="AG130" s="470"/>
      <c r="AH130" s="470"/>
      <c r="AI130" s="125" t="str">
        <f t="shared" si="112"/>
        <v/>
      </c>
      <c r="AJ130" s="470"/>
      <c r="AK130" s="470"/>
      <c r="AL130" s="472"/>
      <c r="AM130" s="496"/>
      <c r="AN130" s="125"/>
      <c r="AO130" s="490"/>
      <c r="AP130" s="125"/>
      <c r="AQ130" s="490"/>
      <c r="AR130" s="522"/>
      <c r="AS130" s="519"/>
      <c r="AT130" s="204"/>
      <c r="AU130" s="614"/>
      <c r="AV130" s="617"/>
      <c r="AW130" s="620"/>
      <c r="AX130" s="620"/>
      <c r="AY130" s="19"/>
      <c r="CB130" s="29" t="str">
        <f>IFERROR(IF(COUNTIF(AF123:AF132,"")=10,"",IF(COUNTIF(E123:E132,"N/A")&gt;0,IF(AF130&gt;=CMEMM1,AF130,0),"N/A")),"")</f>
        <v>N/A</v>
      </c>
      <c r="CC130" s="4"/>
      <c r="CD130" s="4" t="str">
        <f>IFERROR(IF(COUNTIF(AF123:AF132,"")=10,"",IF(AF130="","",IF(AF130&gt;=CMEMM1,1,0))),"")</f>
        <v/>
      </c>
      <c r="CE130" s="4" t="str">
        <f>B123&amp;"-0"&amp;8</f>
        <v>P13-08</v>
      </c>
      <c r="CF130" s="4" t="str">
        <f>IFERROR(INDEX('DESEMPATE Y DISCAPACIDAD'!$D$3:$D$450,MATCH(CE130,'DESEMPATE Y DISCAPACIDAD'!$C$3:$C$450,0)),"")</f>
        <v/>
      </c>
      <c r="CG130" s="4" t="str">
        <f>IF(OR(CE130="",CF130=""),"",SUMIF(D123:D132,CF130,CD123:CD132))</f>
        <v/>
      </c>
      <c r="CH130" s="4" t="str">
        <f t="shared" si="95"/>
        <v/>
      </c>
      <c r="CI130" s="4" t="str">
        <f t="shared" si="118"/>
        <v/>
      </c>
      <c r="CJ130" s="4"/>
      <c r="CK130" s="4"/>
      <c r="CL130" s="4" t="str">
        <f t="shared" si="66"/>
        <v/>
      </c>
      <c r="CM130" s="4" t="str">
        <f t="shared" si="67"/>
        <v/>
      </c>
      <c r="CN130" s="4" t="str">
        <f t="shared" si="119"/>
        <v/>
      </c>
      <c r="CO130" s="4"/>
      <c r="CP130" s="4"/>
      <c r="CQ130" s="29" t="str">
        <f t="shared" si="110"/>
        <v/>
      </c>
      <c r="CR130" s="29" t="str">
        <f t="shared" si="111"/>
        <v/>
      </c>
      <c r="CS130" s="4"/>
    </row>
    <row r="131" spans="1:97" ht="2" customHeight="1">
      <c r="B131" s="481"/>
      <c r="C131" s="118"/>
      <c r="D131" s="126" t="str">
        <f>+IFERROR(INDEX('DESEMPATE Y DISCAPACIDAD'!$D$3:$D$450,MATCH(C131,'DESEMPATE Y DISCAPACIDAD'!$C$3:$C$450,0)),"")</f>
        <v/>
      </c>
      <c r="E131" s="127" t="str">
        <f>IFERROR(IF(D131="","",IF(VLOOKUP(D131,'DESEMPATE Y DISCAPACIDAD'!D$3:$E$450,2,FALSE)=1,"N/A",IF(VLOOKUP(D131,'DESEMPATE Y DISCAPACIDAD'!D$3:$F$450,3,FALSE)="X","SI","NO"))),"")</f>
        <v/>
      </c>
      <c r="F131" s="3"/>
      <c r="G131" s="125"/>
      <c r="H131" s="125"/>
      <c r="I131" s="128"/>
      <c r="J131" s="125"/>
      <c r="K131" s="125"/>
      <c r="L131" s="125"/>
      <c r="M131" s="125"/>
      <c r="N131" s="125" t="str">
        <f t="shared" si="113"/>
        <v/>
      </c>
      <c r="O131" s="125" t="str">
        <f t="shared" si="114"/>
        <v/>
      </c>
      <c r="P131" s="125" t="str">
        <f t="shared" si="115"/>
        <v/>
      </c>
      <c r="Q131" s="125" t="str">
        <f t="shared" si="68"/>
        <v/>
      </c>
      <c r="R131" s="68"/>
      <c r="S131" s="129"/>
      <c r="T131" s="129"/>
      <c r="U131" s="125" t="str">
        <f t="shared" si="116"/>
        <v/>
      </c>
      <c r="V131" s="21" t="str">
        <f>IF(U131=2023,1160000,IFERROR(INDEX(SMMLV!$B$2:$B$101,MATCH(U131,SMMLV!$A$2:$A$101,0)),""))</f>
        <v/>
      </c>
      <c r="W131" s="21"/>
      <c r="X131" s="125"/>
      <c r="Y131" s="125"/>
      <c r="Z131" s="474"/>
      <c r="AA131" s="475"/>
      <c r="AB131" s="476"/>
      <c r="AC131" s="125" t="str">
        <f t="shared" si="117"/>
        <v/>
      </c>
      <c r="AD131" s="117" t="str">
        <f t="shared" si="69"/>
        <v/>
      </c>
      <c r="AE131" s="117" t="s">
        <v>894</v>
      </c>
      <c r="AF131" s="117" t="str">
        <f t="shared" si="120"/>
        <v/>
      </c>
      <c r="AG131" s="470"/>
      <c r="AH131" s="470"/>
      <c r="AI131" s="125" t="str">
        <f t="shared" si="112"/>
        <v/>
      </c>
      <c r="AJ131" s="470"/>
      <c r="AK131" s="470"/>
      <c r="AL131" s="472"/>
      <c r="AM131" s="496"/>
      <c r="AN131" s="125"/>
      <c r="AO131" s="490"/>
      <c r="AP131" s="125"/>
      <c r="AQ131" s="490"/>
      <c r="AR131" s="522"/>
      <c r="AS131" s="519"/>
      <c r="AT131" s="204"/>
      <c r="AU131" s="614"/>
      <c r="AV131" s="617"/>
      <c r="AW131" s="620"/>
      <c r="AX131" s="620"/>
      <c r="AY131" s="19"/>
      <c r="CB131" s="29" t="str">
        <f>IFERROR(IF(COUNTIF(AF123:AF132,"")=10,"",IF(COUNTIF(E123:E132,"N/A")&gt;0,IF(AF131&gt;=CMEMM1,AF131,0),"N/A")),"")</f>
        <v>N/A</v>
      </c>
      <c r="CC131" s="4"/>
      <c r="CD131" s="4" t="str">
        <f>IFERROR(IF(COUNTIF(AF123:AF132,"")=10,"",IF(AF131="","",IF(AF131&gt;=CMEMM1,1,0))),"")</f>
        <v/>
      </c>
      <c r="CE131" s="4" t="str">
        <f>B123&amp;"-0"&amp;9</f>
        <v>P13-09</v>
      </c>
      <c r="CF131" s="4" t="str">
        <f>IFERROR(INDEX('DESEMPATE Y DISCAPACIDAD'!$D$3:$D$450,MATCH(CE131,'DESEMPATE Y DISCAPACIDAD'!$C$3:$C$450,0)),"")</f>
        <v/>
      </c>
      <c r="CG131" s="4" t="str">
        <f>IF(OR(CE131="",CF131=""),"",SUMIF(D123:D132,CF131,CD123:CD132))</f>
        <v/>
      </c>
      <c r="CH131" s="4" t="str">
        <f t="shared" si="95"/>
        <v/>
      </c>
      <c r="CI131" s="4" t="str">
        <f t="shared" si="118"/>
        <v/>
      </c>
      <c r="CJ131" s="4"/>
      <c r="CK131" s="4"/>
      <c r="CL131" s="4" t="str">
        <f t="shared" ref="CL131:CL194" si="121">IF(N131="","",IF(N131="SI",1,0))</f>
        <v/>
      </c>
      <c r="CM131" s="4" t="str">
        <f t="shared" ref="CM131:CM194" si="122">IF(O131="","",IF(O131="SI",1,0))</f>
        <v/>
      </c>
      <c r="CN131" s="4" t="str">
        <f t="shared" si="119"/>
        <v/>
      </c>
      <c r="CO131" s="4"/>
      <c r="CP131" s="4"/>
      <c r="CQ131" s="29" t="str">
        <f t="shared" si="110"/>
        <v/>
      </c>
      <c r="CR131" s="29" t="str">
        <f t="shared" si="111"/>
        <v/>
      </c>
      <c r="CS131" s="4"/>
    </row>
    <row r="132" spans="1:97" ht="2" customHeight="1" thickBot="1">
      <c r="B132" s="482"/>
      <c r="C132" s="130"/>
      <c r="D132" s="131" t="str">
        <f>+IFERROR(INDEX('DESEMPATE Y DISCAPACIDAD'!$D$3:$D$450,MATCH(C132,'DESEMPATE Y DISCAPACIDAD'!$C$3:$C$450,0)),"")</f>
        <v/>
      </c>
      <c r="E132" s="132" t="str">
        <f>IFERROR(IF(D132="","",IF(VLOOKUP(D132,'DESEMPATE Y DISCAPACIDAD'!D$3:$E$450,2,FALSE)=1,"N/A",IF(VLOOKUP(D132,'DESEMPATE Y DISCAPACIDAD'!D$3:$F$450,3,FALSE)="X","SI","NO"))),"")</f>
        <v/>
      </c>
      <c r="F132" s="5"/>
      <c r="G132" s="133"/>
      <c r="H132" s="133"/>
      <c r="I132" s="134"/>
      <c r="J132" s="133"/>
      <c r="K132" s="133"/>
      <c r="L132" s="133"/>
      <c r="M132" s="133"/>
      <c r="N132" s="133" t="str">
        <f t="shared" si="113"/>
        <v/>
      </c>
      <c r="O132" s="133" t="str">
        <f t="shared" si="114"/>
        <v/>
      </c>
      <c r="P132" s="133" t="str">
        <f t="shared" si="115"/>
        <v/>
      </c>
      <c r="Q132" s="133" t="str">
        <f t="shared" ref="Q132:Q195" si="123">IFERROR(IF(S132="","",IF(S132&gt;=DATE(1900,1,1),"SI","NO")),"")</f>
        <v/>
      </c>
      <c r="R132" s="104"/>
      <c r="S132" s="135"/>
      <c r="T132" s="135"/>
      <c r="U132" s="133" t="str">
        <f t="shared" si="116"/>
        <v/>
      </c>
      <c r="V132" s="22" t="str">
        <f>IF(U132=2023,1160000,IFERROR(INDEX(SMMLV!$B$2:$B$101,MATCH(U132,SMMLV!$A$2:$A$101,0)),""))</f>
        <v/>
      </c>
      <c r="W132" s="22"/>
      <c r="X132" s="133"/>
      <c r="Y132" s="133"/>
      <c r="Z132" s="487"/>
      <c r="AA132" s="488"/>
      <c r="AB132" s="489"/>
      <c r="AC132" s="133" t="str">
        <f t="shared" si="117"/>
        <v/>
      </c>
      <c r="AD132" s="136" t="str">
        <f t="shared" ref="AD132:AD195" si="124">IF(W132="","",IF(W132="N/A","N/A",W132))</f>
        <v/>
      </c>
      <c r="AE132" s="136" t="s">
        <v>894</v>
      </c>
      <c r="AF132" s="136" t="str">
        <f t="shared" si="120"/>
        <v/>
      </c>
      <c r="AG132" s="471"/>
      <c r="AH132" s="471"/>
      <c r="AI132" s="133" t="str">
        <f t="shared" si="112"/>
        <v/>
      </c>
      <c r="AJ132" s="471"/>
      <c r="AK132" s="471"/>
      <c r="AL132" s="473"/>
      <c r="AM132" s="497"/>
      <c r="AN132" s="133"/>
      <c r="AO132" s="491"/>
      <c r="AP132" s="133"/>
      <c r="AQ132" s="491"/>
      <c r="AR132" s="523"/>
      <c r="AS132" s="520"/>
      <c r="AT132" s="206"/>
      <c r="AU132" s="615"/>
      <c r="AV132" s="618"/>
      <c r="AW132" s="621"/>
      <c r="AX132" s="621"/>
      <c r="AY132" s="19"/>
      <c r="CB132" s="29" t="str">
        <f>IFERROR(IF(COUNTIF(AF123:AF132,"")=10,"",IF(COUNTIF(E123:E132,"N/A")&gt;0,IF(AF132&gt;=CMEMM1,AF132,0),"N/A")),"")</f>
        <v>N/A</v>
      </c>
      <c r="CC132" s="4"/>
      <c r="CD132" s="4" t="str">
        <f>IFERROR(IF(COUNTIF(AF123:AF132,"")=10,"",IF(AF132="","",IF(AF132&gt;=CMEMM1,1,0))),"")</f>
        <v/>
      </c>
      <c r="CE132" s="4" t="str">
        <f>B123&amp;"-"&amp;10</f>
        <v>P13-10</v>
      </c>
      <c r="CF132" s="4" t="str">
        <f>IFERROR(INDEX('DESEMPATE Y DISCAPACIDAD'!$D$3:$D$450,MATCH(CE132,'DESEMPATE Y DISCAPACIDAD'!$C$3:$C$450,0)),"")</f>
        <v/>
      </c>
      <c r="CG132" s="4" t="str">
        <f>IF(OR(CE132="",CF132=""),"",SUMIF(D123:D132,CF132,CD123:CD132))</f>
        <v/>
      </c>
      <c r="CH132" s="4" t="str">
        <f t="shared" si="95"/>
        <v/>
      </c>
      <c r="CI132" s="4" t="str">
        <f t="shared" si="118"/>
        <v/>
      </c>
      <c r="CJ132" s="4"/>
      <c r="CK132" s="4"/>
      <c r="CL132" s="4" t="str">
        <f t="shared" si="121"/>
        <v/>
      </c>
      <c r="CM132" s="4" t="str">
        <f t="shared" si="122"/>
        <v/>
      </c>
      <c r="CN132" s="4" t="str">
        <f t="shared" si="119"/>
        <v/>
      </c>
      <c r="CO132" s="4"/>
      <c r="CP132" s="4"/>
      <c r="CQ132" s="29" t="str">
        <f t="shared" si="110"/>
        <v/>
      </c>
      <c r="CR132" s="29" t="str">
        <f t="shared" si="111"/>
        <v/>
      </c>
      <c r="CS132" s="4"/>
    </row>
    <row r="133" spans="1:97" ht="35" customHeight="1">
      <c r="A133" s="4" t="str">
        <f>"A"&amp;B133</f>
        <v>AP14</v>
      </c>
      <c r="B133" s="480" t="s">
        <v>135</v>
      </c>
      <c r="C133" s="108" t="s">
        <v>191</v>
      </c>
      <c r="D133" s="119" t="str">
        <f>+IFERROR(INDEX('DESEMPATE Y DISCAPACIDAD'!$D$3:$D$450,MATCH(C133,'DESEMPATE Y DISCAPACIDAD'!$C$3:$C$450,0)),"")</f>
        <v>MAB INGENIERÍA DE VALOR S.A.</v>
      </c>
      <c r="E133" s="120" t="str">
        <f>IFERROR(IF(D133="","",IF(VLOOKUP(D133,'DESEMPATE Y DISCAPACIDAD'!D$3:$E$450,2,FALSE)=1,"N/A",IF(VLOOKUP(D133,'DESEMPATE Y DISCAPACIDAD'!D$3:$F$450,3,FALSE)="X","SI","NO"))),"")</f>
        <v>NO</v>
      </c>
      <c r="F133" s="179" t="s">
        <v>940</v>
      </c>
      <c r="G133" s="121" t="s">
        <v>660</v>
      </c>
      <c r="H133" s="121" t="s">
        <v>985</v>
      </c>
      <c r="I133" s="122" t="s">
        <v>986</v>
      </c>
      <c r="J133" s="121" t="s">
        <v>74</v>
      </c>
      <c r="K133" s="121" t="s">
        <v>74</v>
      </c>
      <c r="L133" s="121" t="s">
        <v>74</v>
      </c>
      <c r="M133" s="121" t="s">
        <v>75</v>
      </c>
      <c r="N133" s="121" t="str">
        <f>IFERROR(IF(OR(J133="",K133=""),"",IF(J133="NO","NO",K133)),"")</f>
        <v>SI</v>
      </c>
      <c r="O133" s="121" t="str">
        <f>IFERROR(IF(OR(J133="",L133=""),"",IF(J133="NO","NO",L133)),"")</f>
        <v>SI</v>
      </c>
      <c r="P133" s="121" t="str">
        <f>IFERROR(IF(OR(J133="",M133=""),"",IF(J133="NO","NO",M133)),"")</f>
        <v>NO</v>
      </c>
      <c r="Q133" s="121" t="str">
        <f t="shared" si="123"/>
        <v>SI</v>
      </c>
      <c r="R133" s="103">
        <v>0.4</v>
      </c>
      <c r="S133" s="123">
        <v>40567</v>
      </c>
      <c r="T133" s="123">
        <v>45222</v>
      </c>
      <c r="U133" s="121">
        <f>IFERROR(IF(T133="","",YEAR(T133)),"")</f>
        <v>2023</v>
      </c>
      <c r="V133" s="358">
        <f>IF(U133=2023,1160000,IFERROR(INDEX(SMMLV!$B$2:$B$101,MATCH(U133,SMMLV!$A$2:$A$101,0)),""))</f>
        <v>1160000</v>
      </c>
      <c r="W133" s="358" t="s">
        <v>670</v>
      </c>
      <c r="X133" s="121" t="s">
        <v>671</v>
      </c>
      <c r="Y133" s="125">
        <v>152</v>
      </c>
      <c r="Z133" s="474" t="s">
        <v>74</v>
      </c>
      <c r="AA133" s="475"/>
      <c r="AB133" s="476"/>
      <c r="AC133" s="121" t="str">
        <f>IFERROR(IF(Y133="","",IF(ISNUMBER(Y133),IF(COUNTIF(Z133,"SI")&gt;0,"SI","NO"),Y133)),"")</f>
        <v>SI</v>
      </c>
      <c r="AD133" s="124" t="str">
        <f t="shared" si="124"/>
        <v>N/A</v>
      </c>
      <c r="AE133" s="124">
        <v>83305.98</v>
      </c>
      <c r="AF133" s="124">
        <f t="shared" si="120"/>
        <v>33322.392</v>
      </c>
      <c r="AG133" s="486" t="str">
        <f>IFERROR(IF(COUNTIF(AF133:AF142,"")=10,"",IF(COUNTIF(E133:E142,"N/A")&gt;0,IF(SUM(CB133:CB142)&gt;=CMEM1,"CUMPLE","NO CUMPLE"),IF(SUM(AF133:AF142)&gt;=CMEM1,"CUMPLE","NO CUMPLE"))),"")</f>
        <v>CUMPLE</v>
      </c>
      <c r="AH133" s="486" t="str">
        <f>IF(COUNTIF(AF133:AF142,"")=10,"",IF(SUMIF(C133:C142,C133,AF133:AF142)&gt;=CMLM1,"CUMPLE",IF(SUMIF(C133:C142,C134,AF133:AF142)&gt;=CMLM1,"CUMPLE",IF(SUMIF(C133:C142,C135,AF133:AF142)&gt;=CMLM1,"CUMPLE",IF(SUMIF(C133:C142,C136,AF133:AF142)&gt;=CMLM1,"CUMPLE",IF(SUMIF(C133:C142,C137,AF133:AF142)&gt;=CMLM1,"CUMPLE",IF(SUMIF(C133:C142,C138,AF133:AF142)&gt;=CMLM1,"CUMPLE",IF(SUMIF(C133:C142,C139,AF133:AF142)&gt;=CMLM1,"CUMPLE",IF(SUMIF(C133:C142,C140,AF133:AF142)&gt;=CMLM1,"CUMPLE",IF(SUMIF(C133:C142,C141,AF133:AF142)&gt;=CMLM1,"CUMPLE",IF(SUMIF(C133:C142,C142,AF133:AF142)&gt;=CMLM1,"CUMPLE","NO CUMPLE")))))))))))</f>
        <v>CUMPLE</v>
      </c>
      <c r="AI133" s="121" t="str">
        <f t="shared" si="112"/>
        <v>CUMPLE</v>
      </c>
      <c r="AJ133" s="469" t="str">
        <f>IFERROR(IF(COUNTIF(AF133:AF142,"")=10,"",IF(COUNTIF(E133:E142,"N/A")&gt;0,"N/A",CJ133)),"")</f>
        <v>CUMPLE</v>
      </c>
      <c r="AK133" s="469" t="str">
        <f>IFERROR(IF(AND(COUNTIF(N133:N142,"SI")&gt;=1,COUNTIF(O133:O142,"SI")&gt;=1,COUNTIF(P133:P142,"SI")&gt;=1,COUNTIF(J133:J142,"SI")&lt;=10,CO133="CUMPLE"),"CUMPLE","NO CUMPLE"),"")</f>
        <v>CUMPLE</v>
      </c>
      <c r="AL133" s="472" t="s">
        <v>77</v>
      </c>
      <c r="AM133" s="495">
        <f>IFERROR(IF(B133&lt;&gt;"",IF(VLOOKUP(B133,'DESEMPATE Y DISCAPACIDAD'!$A$3:$Q$450,10,FALSE)="","",VLOOKUP(B133,'DESEMPATE Y DISCAPACIDAD'!$A$3:$Q$450,10,FALSE)+6),""),"")</f>
        <v>8</v>
      </c>
      <c r="AN133" s="121" t="s">
        <v>75</v>
      </c>
      <c r="AO133" s="490" t="s">
        <v>74</v>
      </c>
      <c r="AP133" s="121" t="s">
        <v>74</v>
      </c>
      <c r="AQ133" s="490">
        <f>IFERROR(IF(COUNTIF(AP133:AP142,"")=10,"",IF(AO133="NO",0,COUNTIF(AP133:AP142,"SI"))),"")</f>
        <v>6</v>
      </c>
      <c r="AR133" s="521">
        <f>IFERROR(IF(COUNTIF(AF133:AF142,"")=10,"",IF(AO133="NO",0,IF(COUNTIF(E133:E142,"N/A")&gt;0,SUM(CQ133:CQ142),SUM(CR133:CR142)))),"")</f>
        <v>103607.75800000002</v>
      </c>
      <c r="AS133" s="518">
        <f>IFERROR(IF(OR(COUNTIF(AF133:AF142,"")=10,AQ133="",AR133=""),"",IF(AO133="NO",0,AR133/AQ133)),"")</f>
        <v>17267.959666666669</v>
      </c>
      <c r="AT133" s="207"/>
      <c r="AU133" s="613" t="s">
        <v>935</v>
      </c>
      <c r="AV133" s="616" t="s">
        <v>936</v>
      </c>
      <c r="AW133" s="619" t="s">
        <v>1358</v>
      </c>
      <c r="AX133" s="619" t="s">
        <v>1359</v>
      </c>
      <c r="AY133" s="19"/>
      <c r="CB133" s="29" t="str">
        <f>IFERROR(IF(COUNTIF(AF133:AF142,"")=10,"",IF(COUNTIF(E133:E142,"N/A")&gt;0,IF(AF133&gt;=CMEMM1,AF133,0),"N/A")),"")</f>
        <v>N/A</v>
      </c>
      <c r="CC133" s="4"/>
      <c r="CD133" s="4">
        <f>IFERROR(IF(COUNTIF(AF133:AF142,"")=10,"",IF(AF133="","",IF(AF133&gt;=CMEMM1,1,0))),"")</f>
        <v>1</v>
      </c>
      <c r="CE133" s="4" t="str">
        <f>B133&amp;"-0"&amp;1</f>
        <v>P14-01</v>
      </c>
      <c r="CF133" s="4" t="str">
        <f>IFERROR(INDEX('DESEMPATE Y DISCAPACIDAD'!$D$3:$D$450,MATCH(CE133,'DESEMPATE Y DISCAPACIDAD'!$C$3:$C$450,0)),"")</f>
        <v>MAB INGENIERÍA DE VALOR S.A.</v>
      </c>
      <c r="CG133" s="4">
        <f>IF(OR(CE133="",CF133=""),"",SUMIF(D133:D142,CF133,CD133:CD142))</f>
        <v>2</v>
      </c>
      <c r="CH133" s="4" t="str">
        <f t="shared" si="95"/>
        <v>CUMPLE</v>
      </c>
      <c r="CI133" s="4">
        <f>IF(CF133="","",IF(ISTEXT(CF133),1,0))</f>
        <v>1</v>
      </c>
      <c r="CJ133" s="4" t="str">
        <f>IF(OR(CD133="",CE133="",CF133="",CG133="",CH133="",CI133=""),"",IF(COUNTIF(CH133:CH142,"CUMPLE")=COUNTIF(CI133:CI142,1),"CUMPLE","NO CUMPLE"))</f>
        <v>CUMPLE</v>
      </c>
      <c r="CK133" s="4"/>
      <c r="CL133" s="4">
        <f t="shared" si="121"/>
        <v>1</v>
      </c>
      <c r="CM133" s="4">
        <f t="shared" si="122"/>
        <v>1</v>
      </c>
      <c r="CN133" s="4" t="str">
        <f>IF(OR(CL133="",CM133=""),"",IF(AND(CL133=0,CM133=0),"N/A",IF(AND(CL133=1,CM133=0),"COND. A",IF(AND(CL133=0,CM133=1),"COND. B",IF(AND(CL133=1,CM133=1),"COND. A Y B","")))))</f>
        <v>COND. A Y B</v>
      </c>
      <c r="CO133" s="4" t="str">
        <f>IF(COUNTIF(CN133:CN142,"N/A")=10,"NO CUMPLE",IF(COUNTIF(CN133:CN142,"COND. A Y B")&gt;1,"CUMPLE",IF(AND(COUNTIF(CN133:CN142,"COND. A")&gt;0,COUNTIF(CN133:CN142,"COND. B")&gt;0),"CUMPLE",IF(AND(COUNTIF(CN133:CN142,"COND. A Y B")&gt;0,COUNTIF(CN133:CN142,"COND. A")&gt;0),"CUMPLE",IF(AND(COUNTIF(CN133:CN142,"COND. A Y B")&gt;0,COUNTIF(CN133:CN142,"COND. B")&gt;0),"CUMPLE","NO CUMPLE")))))</f>
        <v>CUMPLE</v>
      </c>
      <c r="CP133" s="4"/>
      <c r="CQ133" s="29" t="str">
        <f t="shared" si="110"/>
        <v>N/A</v>
      </c>
      <c r="CR133" s="29">
        <f t="shared" si="111"/>
        <v>33322.392</v>
      </c>
      <c r="CS133" s="4"/>
    </row>
    <row r="134" spans="1:97" ht="35" customHeight="1">
      <c r="B134" s="481"/>
      <c r="C134" s="118" t="s">
        <v>278</v>
      </c>
      <c r="D134" s="119" t="str">
        <f>+IFERROR(INDEX('DESEMPATE Y DISCAPACIDAD'!$D$3:$D$450,MATCH(C134,'DESEMPATE Y DISCAPACIDAD'!$C$3:$C$450,0)),"")</f>
        <v>MAB SERVICIOS S.A.S.</v>
      </c>
      <c r="E134" s="120" t="str">
        <f>IFERROR(IF(D134="","",IF(VLOOKUP(D134,'DESEMPATE Y DISCAPACIDAD'!D$3:$E$450,2,FALSE)=1,"N/A",IF(VLOOKUP(D134,'DESEMPATE Y DISCAPACIDAD'!D$3:$F$450,3,FALSE)="X","SI","NO"))),"")</f>
        <v>NO</v>
      </c>
      <c r="F134" s="3" t="s">
        <v>687</v>
      </c>
      <c r="G134" s="121" t="s">
        <v>660</v>
      </c>
      <c r="H134" s="121" t="s">
        <v>987</v>
      </c>
      <c r="I134" s="122" t="s">
        <v>988</v>
      </c>
      <c r="J134" s="121" t="s">
        <v>74</v>
      </c>
      <c r="K134" s="121" t="s">
        <v>74</v>
      </c>
      <c r="L134" s="121" t="s">
        <v>75</v>
      </c>
      <c r="M134" s="121" t="s">
        <v>74</v>
      </c>
      <c r="N134" s="121" t="str">
        <f>IFERROR(IF(OR(J134="",K134=""),"",IF(J134="NO","NO",K134)),"")</f>
        <v>SI</v>
      </c>
      <c r="O134" s="121" t="str">
        <f>IFERROR(IF(OR(J134="",L134=""),"",IF(J134="NO","NO",L134)),"")</f>
        <v>NO</v>
      </c>
      <c r="P134" s="121" t="str">
        <f>IFERROR(IF(OR(J134="",M134=""),"",IF(J134="NO","NO",M134)),"")</f>
        <v>SI</v>
      </c>
      <c r="Q134" s="121" t="str">
        <f t="shared" si="123"/>
        <v>SI</v>
      </c>
      <c r="R134" s="103">
        <v>0.7</v>
      </c>
      <c r="S134" s="123">
        <v>39615</v>
      </c>
      <c r="T134" s="123">
        <v>41502</v>
      </c>
      <c r="U134" s="121">
        <f t="shared" ref="U134:U142" si="125">IFERROR(IF(T134="","",YEAR(T134)),"")</f>
        <v>2013</v>
      </c>
      <c r="V134" s="358">
        <f>IF(U134=2023,1160000,IFERROR(INDEX(SMMLV!$B$2:$B$101,MATCH(U134,SMMLV!$A$2:$A$101,0)),""))</f>
        <v>589500</v>
      </c>
      <c r="W134" s="358" t="s">
        <v>670</v>
      </c>
      <c r="X134" s="121" t="s">
        <v>671</v>
      </c>
      <c r="Y134" s="125">
        <v>1</v>
      </c>
      <c r="Z134" s="474" t="s">
        <v>74</v>
      </c>
      <c r="AA134" s="475"/>
      <c r="AB134" s="476"/>
      <c r="AC134" s="125" t="str">
        <f t="shared" ref="AC134:AC142" si="126">IFERROR(IF(Y134="","",IF(ISNUMBER(Y134),IF(COUNTIF(Z134,"SI")&gt;0,"SI","NO"),Y134)),"")</f>
        <v>SI</v>
      </c>
      <c r="AD134" s="117" t="str">
        <f t="shared" si="124"/>
        <v>N/A</v>
      </c>
      <c r="AE134" s="117">
        <v>50224.35</v>
      </c>
      <c r="AF134" s="117">
        <f t="shared" si="120"/>
        <v>35157.044999999998</v>
      </c>
      <c r="AG134" s="470"/>
      <c r="AH134" s="470"/>
      <c r="AI134" s="125" t="str">
        <f t="shared" si="112"/>
        <v>CUMPLE</v>
      </c>
      <c r="AJ134" s="470"/>
      <c r="AK134" s="470"/>
      <c r="AL134" s="472"/>
      <c r="AM134" s="496"/>
      <c r="AN134" s="125" t="s">
        <v>75</v>
      </c>
      <c r="AO134" s="490"/>
      <c r="AP134" s="125" t="s">
        <v>74</v>
      </c>
      <c r="AQ134" s="490"/>
      <c r="AR134" s="522"/>
      <c r="AS134" s="519"/>
      <c r="AT134" s="204"/>
      <c r="AU134" s="614"/>
      <c r="AV134" s="617"/>
      <c r="AW134" s="620"/>
      <c r="AX134" s="620"/>
      <c r="AY134" s="19"/>
      <c r="CB134" s="29" t="str">
        <f>IFERROR(IF(COUNTIF(AF133:AF142,"")=10,"",IF(COUNTIF(E133:E142,"N/A")&gt;0,IF(AF134&gt;=CMEMM1,AF134,0),"N/A")),"")</f>
        <v>N/A</v>
      </c>
      <c r="CC134" s="4"/>
      <c r="CD134" s="4">
        <f>IFERROR(IF(COUNTIF(AF133:AF142,"")=10,"",IF(AF134="","",IF(AF134&gt;=CMEMM1,1,0))),"")</f>
        <v>1</v>
      </c>
      <c r="CE134" s="4" t="str">
        <f>B133&amp;"-0"&amp;2</f>
        <v>P14-02</v>
      </c>
      <c r="CF134" s="4" t="str">
        <f>IFERROR(INDEX('DESEMPATE Y DISCAPACIDAD'!$D$3:$D$450,MATCH(CE134,'DESEMPATE Y DISCAPACIDAD'!$C$3:$C$450,0)),"")</f>
        <v>MAB SERVICIOS S.A.S.</v>
      </c>
      <c r="CG134" s="4">
        <f>IF(OR(CE134="",CF134=""),"",SUMIF(D133:D142,CF134,CD133:CD142))</f>
        <v>1</v>
      </c>
      <c r="CH134" s="4" t="str">
        <f t="shared" si="95"/>
        <v>CUMPLE</v>
      </c>
      <c r="CI134" s="4">
        <f t="shared" ref="CI134:CI142" si="127">IF(CF134="","",IF(ISTEXT(CF134),1,0))</f>
        <v>1</v>
      </c>
      <c r="CJ134" s="4"/>
      <c r="CK134" s="4"/>
      <c r="CL134" s="4">
        <f t="shared" si="121"/>
        <v>1</v>
      </c>
      <c r="CM134" s="4">
        <f t="shared" si="122"/>
        <v>0</v>
      </c>
      <c r="CN134" s="4" t="str">
        <f t="shared" ref="CN134:CN142" si="128">IF(OR(CL134="",CM134=""),"",IF(AND(CL134=0,CM134=0),"N/A",IF(AND(CL134=1,CM134=0),"COND. A",IF(AND(CL134=0,CM134=1),"COND. B",IF(AND(CL134=1,CM134=1),"COND. A Y B","")))))</f>
        <v>COND. A</v>
      </c>
      <c r="CO134" s="4"/>
      <c r="CP134" s="4"/>
      <c r="CQ134" s="29" t="str">
        <f t="shared" si="110"/>
        <v>N/A</v>
      </c>
      <c r="CR134" s="29">
        <f t="shared" si="111"/>
        <v>35157.044999999998</v>
      </c>
      <c r="CS134" s="4"/>
    </row>
    <row r="135" spans="1:97" ht="35" customHeight="1">
      <c r="B135" s="481"/>
      <c r="C135" s="118" t="s">
        <v>279</v>
      </c>
      <c r="D135" s="126" t="str">
        <f>+IFERROR(INDEX('DESEMPATE Y DISCAPACIDAD'!$D$3:$D$450,MATCH(C135,'DESEMPATE Y DISCAPACIDAD'!$C$3:$C$450,0)),"")</f>
        <v>MAB INFRAESTRUCTURA S.A.S.</v>
      </c>
      <c r="E135" s="127" t="str">
        <f>IFERROR(IF(D135="","",IF(VLOOKUP(D135,'DESEMPATE Y DISCAPACIDAD'!D$3:$E$450,2,FALSE)=1,"N/A",IF(VLOOKUP(D135,'DESEMPATE Y DISCAPACIDAD'!D$3:$F$450,3,FALSE)="X","SI","NO"))),"")</f>
        <v>NO</v>
      </c>
      <c r="F135" s="179" t="s">
        <v>684</v>
      </c>
      <c r="G135" s="121" t="s">
        <v>660</v>
      </c>
      <c r="H135" s="121" t="s">
        <v>989</v>
      </c>
      <c r="I135" s="122" t="s">
        <v>990</v>
      </c>
      <c r="J135" s="121" t="s">
        <v>74</v>
      </c>
      <c r="K135" s="121" t="s">
        <v>74</v>
      </c>
      <c r="L135" s="121" t="s">
        <v>75</v>
      </c>
      <c r="M135" s="121" t="s">
        <v>74</v>
      </c>
      <c r="N135" s="125" t="str">
        <f>IFERROR(IF(OR(J135="",K135=""),"",IF(J135="NO","NO",K135)),"")</f>
        <v>SI</v>
      </c>
      <c r="O135" s="125" t="str">
        <f>IFERROR(IF(OR(J135="",L135=""),"",IF(J135="NO","NO",L135)),"")</f>
        <v>NO</v>
      </c>
      <c r="P135" s="125" t="str">
        <f>IFERROR(IF(OR(J135="",M135=""),"",IF(J135="NO","NO",M135)),"")</f>
        <v>SI</v>
      </c>
      <c r="Q135" s="125" t="str">
        <f t="shared" si="123"/>
        <v>SI</v>
      </c>
      <c r="R135" s="68">
        <v>0.5</v>
      </c>
      <c r="S135" s="129">
        <v>42143</v>
      </c>
      <c r="T135" s="129">
        <v>43906</v>
      </c>
      <c r="U135" s="125">
        <f t="shared" si="125"/>
        <v>2020</v>
      </c>
      <c r="V135" s="21">
        <f>IF(U135=2023,1160000,IFERROR(INDEX(SMMLV!$B$2:$B$101,MATCH(U135,SMMLV!$A$2:$A$101,0)),""))</f>
        <v>877803</v>
      </c>
      <c r="W135" s="358" t="s">
        <v>670</v>
      </c>
      <c r="X135" s="121" t="s">
        <v>671</v>
      </c>
      <c r="Y135" s="125">
        <v>48</v>
      </c>
      <c r="Z135" s="474" t="s">
        <v>74</v>
      </c>
      <c r="AA135" s="475"/>
      <c r="AB135" s="476"/>
      <c r="AC135" s="125" t="str">
        <f t="shared" si="126"/>
        <v>SI</v>
      </c>
      <c r="AD135" s="117" t="str">
        <f t="shared" si="124"/>
        <v>N/A</v>
      </c>
      <c r="AE135" s="117">
        <v>48998.14</v>
      </c>
      <c r="AF135" s="117">
        <f t="shared" si="120"/>
        <v>24499.07</v>
      </c>
      <c r="AG135" s="470"/>
      <c r="AH135" s="470"/>
      <c r="AI135" s="125" t="str">
        <f t="shared" si="112"/>
        <v>CUMPLE</v>
      </c>
      <c r="AJ135" s="470"/>
      <c r="AK135" s="470"/>
      <c r="AL135" s="472"/>
      <c r="AM135" s="496"/>
      <c r="AN135" s="125" t="s">
        <v>75</v>
      </c>
      <c r="AO135" s="490"/>
      <c r="AP135" s="125" t="s">
        <v>74</v>
      </c>
      <c r="AQ135" s="490"/>
      <c r="AR135" s="522"/>
      <c r="AS135" s="519"/>
      <c r="AT135" s="204"/>
      <c r="AU135" s="614"/>
      <c r="AV135" s="617"/>
      <c r="AW135" s="620"/>
      <c r="AX135" s="620"/>
      <c r="AY135" s="19"/>
      <c r="CB135" s="29" t="str">
        <f>IFERROR(IF(COUNTIF(AF133:AF142,"")=10,"",IF(COUNTIF(E133:E142,"N/A")&gt;0,IF(AF135&gt;=CMEMM1,AF135,0),"N/A")),"")</f>
        <v>N/A</v>
      </c>
      <c r="CC135" s="4"/>
      <c r="CD135" s="4">
        <f>IFERROR(IF(COUNTIF(AF133:AF142,"")=10,"",IF(AF135="","",IF(AF135&gt;=CMEMM1,1,0))),"")</f>
        <v>1</v>
      </c>
      <c r="CE135" s="4" t="str">
        <f>B133&amp;"-0"&amp;3</f>
        <v>P14-03</v>
      </c>
      <c r="CF135" s="4" t="str">
        <f>IFERROR(INDEX('DESEMPATE Y DISCAPACIDAD'!$D$3:$D$450,MATCH(CE135,'DESEMPATE Y DISCAPACIDAD'!$C$3:$C$450,0)),"")</f>
        <v>MAB INFRAESTRUCTURA S.A.S.</v>
      </c>
      <c r="CG135" s="4">
        <f>IF(OR(CE135="",CF135=""),"",SUMIF(D133:D142,CF135,CD133:CD142))</f>
        <v>1</v>
      </c>
      <c r="CH135" s="4" t="str">
        <f t="shared" si="95"/>
        <v>CUMPLE</v>
      </c>
      <c r="CI135" s="4">
        <f t="shared" si="127"/>
        <v>1</v>
      </c>
      <c r="CJ135" s="4"/>
      <c r="CK135" s="4"/>
      <c r="CL135" s="4">
        <f t="shared" si="121"/>
        <v>1</v>
      </c>
      <c r="CM135" s="4">
        <f t="shared" si="122"/>
        <v>0</v>
      </c>
      <c r="CN135" s="4" t="str">
        <f t="shared" si="128"/>
        <v>COND. A</v>
      </c>
      <c r="CO135" s="4"/>
      <c r="CP135" s="4"/>
      <c r="CQ135" s="29" t="str">
        <f t="shared" si="110"/>
        <v>N/A</v>
      </c>
      <c r="CR135" s="29">
        <f t="shared" si="111"/>
        <v>24499.07</v>
      </c>
      <c r="CS135" s="4"/>
    </row>
    <row r="136" spans="1:97" ht="35" customHeight="1">
      <c r="B136" s="481"/>
      <c r="C136" s="118" t="s">
        <v>191</v>
      </c>
      <c r="D136" s="126" t="str">
        <f>+IFERROR(INDEX('DESEMPATE Y DISCAPACIDAD'!$D$3:$D$450,MATCH(C136,'DESEMPATE Y DISCAPACIDAD'!$C$3:$C$450,0)),"")</f>
        <v>MAB INGENIERÍA DE VALOR S.A.</v>
      </c>
      <c r="E136" s="127" t="str">
        <f>IFERROR(IF(D136="","",IF(VLOOKUP(D136,'DESEMPATE Y DISCAPACIDAD'!D$3:$E$450,2,FALSE)=1,"N/A",IF(VLOOKUP(D136,'DESEMPATE Y DISCAPACIDAD'!D$3:$F$450,3,FALSE)="X","SI","NO"))),"")</f>
        <v>NO</v>
      </c>
      <c r="F136" s="3" t="s">
        <v>687</v>
      </c>
      <c r="G136" s="121" t="s">
        <v>660</v>
      </c>
      <c r="H136" s="125" t="s">
        <v>991</v>
      </c>
      <c r="I136" s="128" t="s">
        <v>992</v>
      </c>
      <c r="J136" s="125" t="s">
        <v>74</v>
      </c>
      <c r="K136" s="125" t="s">
        <v>75</v>
      </c>
      <c r="L136" s="125" t="s">
        <v>75</v>
      </c>
      <c r="M136" s="125" t="s">
        <v>74</v>
      </c>
      <c r="N136" s="125" t="str">
        <f>IFERROR(IF(OR(J136="",K136=""),"",IF(J136="NO","NO",K136)),"")</f>
        <v>NO</v>
      </c>
      <c r="O136" s="125" t="str">
        <f>IFERROR(IF(OR(J136="",L136=""),"",IF(J136="NO","NO",L136)),"")</f>
        <v>NO</v>
      </c>
      <c r="P136" s="125" t="str">
        <f>IFERROR(IF(OR(J136="",M136=""),"",IF(J136="NO","NO",M136)),"")</f>
        <v>SI</v>
      </c>
      <c r="Q136" s="125" t="str">
        <f t="shared" si="123"/>
        <v>SI</v>
      </c>
      <c r="R136" s="68">
        <v>1</v>
      </c>
      <c r="S136" s="129">
        <v>43496</v>
      </c>
      <c r="T136" s="129">
        <v>44556</v>
      </c>
      <c r="U136" s="125">
        <f t="shared" si="125"/>
        <v>2021</v>
      </c>
      <c r="V136" s="21">
        <f>IF(U136=2023,1160000,IFERROR(INDEX(SMMLV!$B$2:$B$101,MATCH(U136,SMMLV!$A$2:$A$101,0)),""))</f>
        <v>908526</v>
      </c>
      <c r="W136" s="358" t="s">
        <v>670</v>
      </c>
      <c r="X136" s="121" t="s">
        <v>671</v>
      </c>
      <c r="Y136" s="125">
        <v>156</v>
      </c>
      <c r="Z136" s="474" t="s">
        <v>74</v>
      </c>
      <c r="AA136" s="475"/>
      <c r="AB136" s="476"/>
      <c r="AC136" s="125" t="str">
        <f t="shared" si="126"/>
        <v>SI</v>
      </c>
      <c r="AD136" s="117" t="str">
        <f t="shared" si="124"/>
        <v>N/A</v>
      </c>
      <c r="AE136" s="117">
        <v>6494.64</v>
      </c>
      <c r="AF136" s="117">
        <f t="shared" si="120"/>
        <v>6494.64</v>
      </c>
      <c r="AG136" s="470"/>
      <c r="AH136" s="470"/>
      <c r="AI136" s="125" t="str">
        <f t="shared" si="112"/>
        <v>CUMPLE</v>
      </c>
      <c r="AJ136" s="470"/>
      <c r="AK136" s="470"/>
      <c r="AL136" s="472"/>
      <c r="AM136" s="496"/>
      <c r="AN136" s="125" t="s">
        <v>75</v>
      </c>
      <c r="AO136" s="490"/>
      <c r="AP136" s="125" t="s">
        <v>74</v>
      </c>
      <c r="AQ136" s="490"/>
      <c r="AR136" s="522"/>
      <c r="AS136" s="519"/>
      <c r="AT136" s="204"/>
      <c r="AU136" s="614"/>
      <c r="AV136" s="617"/>
      <c r="AW136" s="620"/>
      <c r="AX136" s="620"/>
      <c r="AY136" s="19"/>
      <c r="CB136" s="29" t="str">
        <f>IFERROR(IF(COUNTIF(AF133:AF142,"")=10,"",IF(COUNTIF(E133:E142,"N/A")&gt;0,IF(AF136&gt;=CMEMM1,AF136,0),"N/A")),"")</f>
        <v>N/A</v>
      </c>
      <c r="CC136" s="4"/>
      <c r="CD136" s="4">
        <f>IFERROR(IF(COUNTIF(AF133:AF142,"")=10,"",IF(AF136="","",IF(AF136&gt;=CMEMM1,1,0))),"")</f>
        <v>1</v>
      </c>
      <c r="CE136" s="4" t="str">
        <f>B133&amp;"-0"&amp;4</f>
        <v>P14-04</v>
      </c>
      <c r="CF136" s="4">
        <f>IFERROR(INDEX('DESEMPATE Y DISCAPACIDAD'!$D$3:$D$450,MATCH(CE136,'DESEMPATE Y DISCAPACIDAD'!$C$3:$C$450,0)),"")</f>
        <v>0</v>
      </c>
      <c r="CG136" s="4">
        <f>IF(OR(CE136="",CF136=""),"",SUMIF(D133:D142,CF136,CD133:CD142))</f>
        <v>0</v>
      </c>
      <c r="CH136" s="4" t="str">
        <f t="shared" si="95"/>
        <v>NO CUMPLE</v>
      </c>
      <c r="CI136" s="4">
        <f t="shared" si="127"/>
        <v>0</v>
      </c>
      <c r="CJ136" s="4"/>
      <c r="CK136" s="4"/>
      <c r="CL136" s="4">
        <f t="shared" si="121"/>
        <v>0</v>
      </c>
      <c r="CM136" s="4">
        <f t="shared" si="122"/>
        <v>0</v>
      </c>
      <c r="CN136" s="4" t="str">
        <f t="shared" si="128"/>
        <v>N/A</v>
      </c>
      <c r="CO136" s="4"/>
      <c r="CP136" s="4"/>
      <c r="CQ136" s="29" t="str">
        <f t="shared" si="110"/>
        <v>N/A</v>
      </c>
      <c r="CR136" s="29">
        <f t="shared" si="111"/>
        <v>6494.64</v>
      </c>
      <c r="CS136" s="4"/>
    </row>
    <row r="137" spans="1:97" ht="35" customHeight="1">
      <c r="B137" s="481"/>
      <c r="C137" s="118" t="s">
        <v>278</v>
      </c>
      <c r="D137" s="126" t="str">
        <f>+IFERROR(INDEX('DESEMPATE Y DISCAPACIDAD'!$D$3:$D$450,MATCH(C137,'DESEMPATE Y DISCAPACIDAD'!$C$3:$C$450,0)),"")</f>
        <v>MAB SERVICIOS S.A.S.</v>
      </c>
      <c r="E137" s="127" t="str">
        <f>IFERROR(IF(D137="","",IF(VLOOKUP(D137,'DESEMPATE Y DISCAPACIDAD'!D$3:$E$450,2,FALSE)=1,"N/A",IF(VLOOKUP(D137,'DESEMPATE Y DISCAPACIDAD'!D$3:$F$450,3,FALSE)="X","SI","NO"))),"")</f>
        <v>NO</v>
      </c>
      <c r="F137" s="3" t="s">
        <v>684</v>
      </c>
      <c r="G137" s="121" t="s">
        <v>660</v>
      </c>
      <c r="H137" s="125" t="s">
        <v>993</v>
      </c>
      <c r="I137" s="128" t="s">
        <v>994</v>
      </c>
      <c r="J137" s="61" t="s">
        <v>74</v>
      </c>
      <c r="K137" s="125" t="s">
        <v>74</v>
      </c>
      <c r="L137" s="125" t="s">
        <v>75</v>
      </c>
      <c r="M137" s="125" t="s">
        <v>74</v>
      </c>
      <c r="N137" s="125" t="str">
        <f t="shared" ref="N137:N142" si="129">IFERROR(IF(OR(J137="",K137=""),"",IF(J137="NO","NO",K137)),"")</f>
        <v>SI</v>
      </c>
      <c r="O137" s="125" t="str">
        <f t="shared" ref="O137:O142" si="130">IFERROR(IF(OR(J137="",L137=""),"",IF(J137="NO","NO",L137)),"")</f>
        <v>NO</v>
      </c>
      <c r="P137" s="125" t="str">
        <f t="shared" ref="P137:P142" si="131">IFERROR(IF(OR(J137="",M137=""),"",IF(J137="NO","NO",M137)),"")</f>
        <v>SI</v>
      </c>
      <c r="Q137" s="125" t="str">
        <f t="shared" si="123"/>
        <v>SI</v>
      </c>
      <c r="R137" s="68">
        <v>0.55000000000000004</v>
      </c>
      <c r="S137" s="129">
        <v>39856</v>
      </c>
      <c r="T137" s="129">
        <v>40979</v>
      </c>
      <c r="U137" s="125">
        <f t="shared" si="125"/>
        <v>2012</v>
      </c>
      <c r="V137" s="21">
        <f>IF(U137=2023,1160000,IFERROR(INDEX(SMMLV!$B$2:$B$101,MATCH(U137,SMMLV!$A$2:$A$101,0)),""))</f>
        <v>566700</v>
      </c>
      <c r="W137" s="358" t="s">
        <v>670</v>
      </c>
      <c r="X137" s="121" t="s">
        <v>671</v>
      </c>
      <c r="Y137" s="412">
        <v>2</v>
      </c>
      <c r="Z137" s="474" t="s">
        <v>74</v>
      </c>
      <c r="AA137" s="475"/>
      <c r="AB137" s="476"/>
      <c r="AC137" s="125" t="str">
        <f t="shared" si="126"/>
        <v>SI</v>
      </c>
      <c r="AD137" s="117" t="str">
        <f t="shared" si="124"/>
        <v>N/A</v>
      </c>
      <c r="AE137" s="117">
        <v>6565.94</v>
      </c>
      <c r="AF137" s="117">
        <f t="shared" si="120"/>
        <v>3611.2670000000003</v>
      </c>
      <c r="AG137" s="470"/>
      <c r="AH137" s="470"/>
      <c r="AI137" s="125" t="str">
        <f t="shared" si="112"/>
        <v>NO CUMPLE</v>
      </c>
      <c r="AJ137" s="470"/>
      <c r="AK137" s="470"/>
      <c r="AL137" s="472"/>
      <c r="AM137" s="496"/>
      <c r="AN137" s="3" t="s">
        <v>75</v>
      </c>
      <c r="AO137" s="490"/>
      <c r="AP137" s="3" t="s">
        <v>74</v>
      </c>
      <c r="AQ137" s="490"/>
      <c r="AR137" s="522"/>
      <c r="AS137" s="519"/>
      <c r="AT137" s="204"/>
      <c r="AU137" s="614"/>
      <c r="AV137" s="617"/>
      <c r="AW137" s="620"/>
      <c r="AX137" s="620"/>
      <c r="AY137" s="19"/>
      <c r="CB137" s="29" t="str">
        <f>IFERROR(IF(COUNTIF(AF133:AF142,"")=10,"",IF(COUNTIF(E133:E142,"N/A")&gt;0,IF(AF137&gt;=CMEMM1,AF137,0),"N/A")),"")</f>
        <v>N/A</v>
      </c>
      <c r="CC137" s="4"/>
      <c r="CD137" s="4">
        <f>IFERROR(IF(COUNTIF(AF133:AF142,"")=10,"",IF(AF137="","",IF(AF137&gt;=CMEMM1,1,0))),"")</f>
        <v>0</v>
      </c>
      <c r="CE137" s="4" t="str">
        <f>B133&amp;"-0"&amp;5</f>
        <v>P14-05</v>
      </c>
      <c r="CF137" s="4">
        <f>IFERROR(INDEX('DESEMPATE Y DISCAPACIDAD'!$D$3:$D$450,MATCH(CE137,'DESEMPATE Y DISCAPACIDAD'!$C$3:$C$450,0)),"")</f>
        <v>0</v>
      </c>
      <c r="CG137" s="4">
        <f>IF(OR(CE137="",CF137=""),"",SUMIF(D133:D142,CF137,CD133:CD142))</f>
        <v>0</v>
      </c>
      <c r="CH137" s="4" t="str">
        <f t="shared" si="95"/>
        <v>NO CUMPLE</v>
      </c>
      <c r="CI137" s="4">
        <f t="shared" si="127"/>
        <v>0</v>
      </c>
      <c r="CJ137" s="4"/>
      <c r="CK137" s="4"/>
      <c r="CL137" s="4">
        <f t="shared" si="121"/>
        <v>1</v>
      </c>
      <c r="CM137" s="4">
        <f t="shared" si="122"/>
        <v>0</v>
      </c>
      <c r="CN137" s="4" t="str">
        <f t="shared" si="128"/>
        <v>COND. A</v>
      </c>
      <c r="CO137" s="4"/>
      <c r="CP137" s="4"/>
      <c r="CQ137" s="29" t="str">
        <f t="shared" si="110"/>
        <v>N/A</v>
      </c>
      <c r="CR137" s="29">
        <f t="shared" si="111"/>
        <v>3611.2670000000003</v>
      </c>
      <c r="CS137" s="4"/>
    </row>
    <row r="138" spans="1:97" ht="35" customHeight="1">
      <c r="B138" s="481"/>
      <c r="C138" s="118" t="s">
        <v>279</v>
      </c>
      <c r="D138" s="126" t="str">
        <f>+IFERROR(INDEX('DESEMPATE Y DISCAPACIDAD'!$D$3:$D$450,MATCH(C138,'DESEMPATE Y DISCAPACIDAD'!$C$3:$C$450,0)),"")</f>
        <v>MAB INFRAESTRUCTURA S.A.S.</v>
      </c>
      <c r="E138" s="127" t="str">
        <f>IFERROR(IF(D138="","",IF(VLOOKUP(D138,'DESEMPATE Y DISCAPACIDAD'!D$3:$E$450,2,FALSE)=1,"N/A",IF(VLOOKUP(D138,'DESEMPATE Y DISCAPACIDAD'!D$3:$F$450,3,FALSE)="X","SI","NO"))),"")</f>
        <v>NO</v>
      </c>
      <c r="F138" s="3" t="s">
        <v>995</v>
      </c>
      <c r="G138" s="121" t="s">
        <v>660</v>
      </c>
      <c r="H138" s="125" t="s">
        <v>996</v>
      </c>
      <c r="I138" s="128" t="s">
        <v>997</v>
      </c>
      <c r="J138" s="61" t="s">
        <v>75</v>
      </c>
      <c r="K138" s="125" t="s">
        <v>75</v>
      </c>
      <c r="L138" s="125" t="s">
        <v>75</v>
      </c>
      <c r="M138" s="125" t="s">
        <v>75</v>
      </c>
      <c r="N138" s="125" t="str">
        <f t="shared" si="129"/>
        <v>NO</v>
      </c>
      <c r="O138" s="125" t="str">
        <f t="shared" si="130"/>
        <v>NO</v>
      </c>
      <c r="P138" s="125" t="str">
        <f t="shared" si="131"/>
        <v>NO</v>
      </c>
      <c r="Q138" s="125" t="str">
        <f t="shared" si="123"/>
        <v>SI</v>
      </c>
      <c r="R138" s="68">
        <v>0.5</v>
      </c>
      <c r="S138" s="129">
        <v>40821</v>
      </c>
      <c r="T138" s="129">
        <v>41351</v>
      </c>
      <c r="U138" s="125">
        <f t="shared" si="125"/>
        <v>2013</v>
      </c>
      <c r="V138" s="21">
        <f>IF(U138=2023,1160000,IFERROR(INDEX(SMMLV!$B$2:$B$101,MATCH(U138,SMMLV!$A$2:$A$101,0)),""))</f>
        <v>589500</v>
      </c>
      <c r="W138" s="358" t="s">
        <v>670</v>
      </c>
      <c r="X138" s="121" t="s">
        <v>671</v>
      </c>
      <c r="Y138" s="125">
        <v>36</v>
      </c>
      <c r="Z138" s="474" t="s">
        <v>74</v>
      </c>
      <c r="AA138" s="475"/>
      <c r="AB138" s="476"/>
      <c r="AC138" s="125" t="str">
        <f t="shared" si="126"/>
        <v>SI</v>
      </c>
      <c r="AD138" s="117" t="str">
        <f t="shared" si="124"/>
        <v>N/A</v>
      </c>
      <c r="AE138" s="117">
        <v>4333.8599999999997</v>
      </c>
      <c r="AF138" s="117" t="str">
        <f t="shared" si="120"/>
        <v/>
      </c>
      <c r="AG138" s="470"/>
      <c r="AH138" s="470"/>
      <c r="AI138" s="125" t="str">
        <f t="shared" si="112"/>
        <v/>
      </c>
      <c r="AJ138" s="470"/>
      <c r="AK138" s="470"/>
      <c r="AL138" s="472"/>
      <c r="AM138" s="496"/>
      <c r="AN138" s="125" t="s">
        <v>74</v>
      </c>
      <c r="AO138" s="490"/>
      <c r="AP138" s="125" t="s">
        <v>75</v>
      </c>
      <c r="AQ138" s="490"/>
      <c r="AR138" s="522"/>
      <c r="AS138" s="519"/>
      <c r="AT138" s="204"/>
      <c r="AU138" s="614"/>
      <c r="AV138" s="617"/>
      <c r="AW138" s="620"/>
      <c r="AX138" s="620"/>
      <c r="AY138" s="19"/>
      <c r="CB138" s="29" t="str">
        <f>IFERROR(IF(COUNTIF(AF133:AF142,"")=10,"",IF(COUNTIF(E133:E142,"N/A")&gt;0,IF(AF138&gt;=CMEMM1,AF138,0),"N/A")),"")</f>
        <v>N/A</v>
      </c>
      <c r="CC138" s="4"/>
      <c r="CD138" s="4" t="str">
        <f>IFERROR(IF(COUNTIF(AF133:AF142,"")=10,"",IF(AF138="","",IF(AF138&gt;=CMEMM1,1,0))),"")</f>
        <v/>
      </c>
      <c r="CE138" s="4" t="str">
        <f>B133&amp;"-0"&amp;6</f>
        <v>P14-06</v>
      </c>
      <c r="CF138" s="4">
        <f>IFERROR(INDEX('DESEMPATE Y DISCAPACIDAD'!$D$3:$D$450,MATCH(CE138,'DESEMPATE Y DISCAPACIDAD'!$C$3:$C$450,0)),"")</f>
        <v>0</v>
      </c>
      <c r="CG138" s="4">
        <f>IF(OR(CE138="",CF138=""),"",SUMIF(D133:D142,CF138,CD133:CD142))</f>
        <v>0</v>
      </c>
      <c r="CH138" s="4" t="str">
        <f t="shared" si="95"/>
        <v>NO CUMPLE</v>
      </c>
      <c r="CI138" s="4">
        <f t="shared" si="127"/>
        <v>0</v>
      </c>
      <c r="CJ138" s="4"/>
      <c r="CK138" s="4"/>
      <c r="CL138" s="4">
        <f t="shared" si="121"/>
        <v>0</v>
      </c>
      <c r="CM138" s="4">
        <f t="shared" si="122"/>
        <v>0</v>
      </c>
      <c r="CN138" s="4" t="str">
        <f t="shared" si="128"/>
        <v>N/A</v>
      </c>
      <c r="CO138" s="4"/>
      <c r="CP138" s="4"/>
      <c r="CQ138" s="29">
        <f t="shared" si="110"/>
        <v>0</v>
      </c>
      <c r="CR138" s="29" t="str">
        <f t="shared" si="111"/>
        <v/>
      </c>
      <c r="CS138" s="4"/>
    </row>
    <row r="139" spans="1:97" ht="35" customHeight="1">
      <c r="B139" s="481"/>
      <c r="C139" s="118" t="s">
        <v>191</v>
      </c>
      <c r="D139" s="126" t="str">
        <f>+IFERROR(INDEX('DESEMPATE Y DISCAPACIDAD'!$D$3:$D$450,MATCH(C139,'DESEMPATE Y DISCAPACIDAD'!$C$3:$C$450,0)),"")</f>
        <v>MAB INGENIERÍA DE VALOR S.A.</v>
      </c>
      <c r="E139" s="127" t="str">
        <f>IFERROR(IF(D139="","",IF(VLOOKUP(D139,'DESEMPATE Y DISCAPACIDAD'!D$3:$E$450,2,FALSE)=1,"N/A",IF(VLOOKUP(D139,'DESEMPATE Y DISCAPACIDAD'!D$3:$F$450,3,FALSE)="X","SI","NO"))),"")</f>
        <v>NO</v>
      </c>
      <c r="F139" s="3" t="s">
        <v>684</v>
      </c>
      <c r="G139" s="121" t="s">
        <v>660</v>
      </c>
      <c r="H139" s="125" t="s">
        <v>998</v>
      </c>
      <c r="I139" s="128" t="s">
        <v>999</v>
      </c>
      <c r="J139" s="61" t="s">
        <v>74</v>
      </c>
      <c r="K139" s="125" t="s">
        <v>75</v>
      </c>
      <c r="L139" s="125" t="s">
        <v>75</v>
      </c>
      <c r="M139" s="125" t="s">
        <v>74</v>
      </c>
      <c r="N139" s="125" t="str">
        <f t="shared" si="129"/>
        <v>NO</v>
      </c>
      <c r="O139" s="125" t="str">
        <f t="shared" si="130"/>
        <v>NO</v>
      </c>
      <c r="P139" s="125" t="str">
        <f t="shared" si="131"/>
        <v>SI</v>
      </c>
      <c r="Q139" s="125" t="str">
        <f t="shared" si="123"/>
        <v>SI</v>
      </c>
      <c r="R139" s="68">
        <v>0.6</v>
      </c>
      <c r="S139" s="129">
        <v>43384</v>
      </c>
      <c r="T139" s="129">
        <v>43687</v>
      </c>
      <c r="U139" s="125">
        <f t="shared" si="125"/>
        <v>2019</v>
      </c>
      <c r="V139" s="21">
        <f>IF(U139=2023,1160000,IFERROR(INDEX(SMMLV!$B$2:$B$101,MATCH(U139,SMMLV!$A$2:$A$101,0)),""))</f>
        <v>828116</v>
      </c>
      <c r="W139" s="358" t="s">
        <v>670</v>
      </c>
      <c r="X139" s="121" t="s">
        <v>671</v>
      </c>
      <c r="Y139" s="125">
        <v>130</v>
      </c>
      <c r="Z139" s="474" t="s">
        <v>74</v>
      </c>
      <c r="AA139" s="475"/>
      <c r="AB139" s="476"/>
      <c r="AC139" s="125" t="str">
        <f t="shared" si="126"/>
        <v>SI</v>
      </c>
      <c r="AD139" s="117" t="str">
        <f t="shared" si="124"/>
        <v>N/A</v>
      </c>
      <c r="AE139" s="117">
        <v>872.24</v>
      </c>
      <c r="AF139" s="117">
        <f t="shared" si="120"/>
        <v>523.34399999999994</v>
      </c>
      <c r="AG139" s="470"/>
      <c r="AH139" s="470"/>
      <c r="AI139" s="125" t="str">
        <f t="shared" si="112"/>
        <v>NO CUMPLE</v>
      </c>
      <c r="AJ139" s="470"/>
      <c r="AK139" s="470"/>
      <c r="AL139" s="472"/>
      <c r="AM139" s="496"/>
      <c r="AN139" s="3" t="s">
        <v>75</v>
      </c>
      <c r="AO139" s="490"/>
      <c r="AP139" s="3" t="s">
        <v>74</v>
      </c>
      <c r="AQ139" s="490"/>
      <c r="AR139" s="522"/>
      <c r="AS139" s="519"/>
      <c r="AT139" s="204"/>
      <c r="AU139" s="614"/>
      <c r="AV139" s="617"/>
      <c r="AW139" s="620"/>
      <c r="AX139" s="620"/>
      <c r="AY139" s="19"/>
      <c r="CB139" s="29" t="str">
        <f>IFERROR(IF(COUNTIF(AF133:AF142,"")=10,"",IF(COUNTIF(E133:E142,"N/A")&gt;0,IF(AF139&gt;=CMEMM1,AF139,0),"N/A")),"")</f>
        <v>N/A</v>
      </c>
      <c r="CC139" s="4"/>
      <c r="CD139" s="4">
        <f>IFERROR(IF(COUNTIF(AF133:AF142,"")=10,"",IF(AF139="","",IF(AF139&gt;=CMEMM1,1,0))),"")</f>
        <v>0</v>
      </c>
      <c r="CE139" s="4" t="str">
        <f>B133&amp;"-0"&amp;7</f>
        <v>P14-07</v>
      </c>
      <c r="CF139" s="4" t="str">
        <f>IFERROR(INDEX('DESEMPATE Y DISCAPACIDAD'!$D$3:$D$450,MATCH(CE139,'DESEMPATE Y DISCAPACIDAD'!$C$3:$C$450,0)),"")</f>
        <v/>
      </c>
      <c r="CG139" s="4" t="str">
        <f>IF(OR(CE139="",CF139=""),"",SUMIF(D133:D142,CF139,CD133:CD142))</f>
        <v/>
      </c>
      <c r="CH139" s="4" t="str">
        <f t="shared" si="95"/>
        <v/>
      </c>
      <c r="CI139" s="4" t="str">
        <f t="shared" si="127"/>
        <v/>
      </c>
      <c r="CJ139" s="4"/>
      <c r="CK139" s="4"/>
      <c r="CL139" s="4">
        <f t="shared" si="121"/>
        <v>0</v>
      </c>
      <c r="CM139" s="4">
        <f t="shared" si="122"/>
        <v>0</v>
      </c>
      <c r="CN139" s="4" t="str">
        <f t="shared" si="128"/>
        <v>N/A</v>
      </c>
      <c r="CO139" s="4"/>
      <c r="CP139" s="4"/>
      <c r="CQ139" s="29" t="str">
        <f t="shared" si="110"/>
        <v>N/A</v>
      </c>
      <c r="CR139" s="29">
        <f t="shared" si="111"/>
        <v>523.34399999999994</v>
      </c>
      <c r="CS139" s="4"/>
    </row>
    <row r="140" spans="1:97" ht="2" customHeight="1">
      <c r="B140" s="481"/>
      <c r="C140" s="118"/>
      <c r="D140" s="126" t="str">
        <f>+IFERROR(INDEX('DESEMPATE Y DISCAPACIDAD'!$D$3:$D$450,MATCH(C140,'DESEMPATE Y DISCAPACIDAD'!$C$3:$C$450,0)),"")</f>
        <v/>
      </c>
      <c r="E140" s="127" t="str">
        <f>IFERROR(IF(D140="","",IF(VLOOKUP(D140,'DESEMPATE Y DISCAPACIDAD'!D$3:$E$450,2,FALSE)=1,"N/A",IF(VLOOKUP(D140,'DESEMPATE Y DISCAPACIDAD'!D$3:$F$450,3,FALSE)="X","SI","NO"))),"")</f>
        <v/>
      </c>
      <c r="F140" s="3"/>
      <c r="G140" s="125"/>
      <c r="H140" s="125"/>
      <c r="I140" s="128"/>
      <c r="J140" s="125"/>
      <c r="K140" s="125"/>
      <c r="L140" s="125"/>
      <c r="M140" s="125"/>
      <c r="N140" s="125" t="str">
        <f t="shared" si="129"/>
        <v/>
      </c>
      <c r="O140" s="125" t="str">
        <f t="shared" si="130"/>
        <v/>
      </c>
      <c r="P140" s="125" t="str">
        <f t="shared" si="131"/>
        <v/>
      </c>
      <c r="Q140" s="125" t="str">
        <f t="shared" si="123"/>
        <v/>
      </c>
      <c r="R140" s="68"/>
      <c r="S140" s="129"/>
      <c r="T140" s="129"/>
      <c r="U140" s="125" t="str">
        <f t="shared" si="125"/>
        <v/>
      </c>
      <c r="V140" s="21" t="str">
        <f>IF(U140=2023,1160000,IFERROR(INDEX(SMMLV!$B$2:$B$101,MATCH(U140,SMMLV!$A$2:$A$101,0)),""))</f>
        <v/>
      </c>
      <c r="W140" s="21"/>
      <c r="X140" s="125"/>
      <c r="Y140" s="125"/>
      <c r="Z140" s="474"/>
      <c r="AA140" s="475"/>
      <c r="AB140" s="476"/>
      <c r="AC140" s="125" t="str">
        <f t="shared" si="126"/>
        <v/>
      </c>
      <c r="AD140" s="117" t="str">
        <f t="shared" si="124"/>
        <v/>
      </c>
      <c r="AE140" s="117" t="s">
        <v>894</v>
      </c>
      <c r="AF140" s="117" t="str">
        <f t="shared" si="120"/>
        <v/>
      </c>
      <c r="AG140" s="470"/>
      <c r="AH140" s="470"/>
      <c r="AI140" s="125" t="str">
        <f t="shared" si="112"/>
        <v/>
      </c>
      <c r="AJ140" s="470"/>
      <c r="AK140" s="470"/>
      <c r="AL140" s="472"/>
      <c r="AM140" s="496"/>
      <c r="AN140" s="125"/>
      <c r="AO140" s="490"/>
      <c r="AP140" s="125"/>
      <c r="AQ140" s="490"/>
      <c r="AR140" s="522"/>
      <c r="AS140" s="519"/>
      <c r="AT140" s="204"/>
      <c r="AU140" s="614"/>
      <c r="AV140" s="617"/>
      <c r="AW140" s="620"/>
      <c r="AX140" s="620"/>
      <c r="AY140" s="19"/>
      <c r="CB140" s="29" t="str">
        <f>IFERROR(IF(COUNTIF(AF133:AF142,"")=10,"",IF(COUNTIF(E133:E142,"N/A")&gt;0,IF(AF140&gt;=CMEMM1,AF140,0),"N/A")),"")</f>
        <v>N/A</v>
      </c>
      <c r="CC140" s="4"/>
      <c r="CD140" s="4" t="str">
        <f>IFERROR(IF(COUNTIF(AF133:AF142,"")=10,"",IF(AF140="","",IF(AF140&gt;=CMEMM1,1,0))),"")</f>
        <v/>
      </c>
      <c r="CE140" s="4" t="str">
        <f>B133&amp;"-0"&amp;8</f>
        <v>P14-08</v>
      </c>
      <c r="CF140" s="4" t="str">
        <f>IFERROR(INDEX('DESEMPATE Y DISCAPACIDAD'!$D$3:$D$450,MATCH(CE140,'DESEMPATE Y DISCAPACIDAD'!$C$3:$C$450,0)),"")</f>
        <v/>
      </c>
      <c r="CG140" s="4" t="str">
        <f>IF(OR(CE140="",CF140=""),"",SUMIF(D133:D142,CF140,CD133:CD142))</f>
        <v/>
      </c>
      <c r="CH140" s="4" t="str">
        <f t="shared" si="95"/>
        <v/>
      </c>
      <c r="CI140" s="4" t="str">
        <f t="shared" si="127"/>
        <v/>
      </c>
      <c r="CJ140" s="4"/>
      <c r="CK140" s="4"/>
      <c r="CL140" s="4" t="str">
        <f t="shared" si="121"/>
        <v/>
      </c>
      <c r="CM140" s="4" t="str">
        <f t="shared" si="122"/>
        <v/>
      </c>
      <c r="CN140" s="4" t="str">
        <f t="shared" si="128"/>
        <v/>
      </c>
      <c r="CO140" s="4"/>
      <c r="CP140" s="4"/>
      <c r="CQ140" s="29" t="str">
        <f t="shared" si="110"/>
        <v/>
      </c>
      <c r="CR140" s="29" t="str">
        <f t="shared" si="111"/>
        <v/>
      </c>
      <c r="CS140" s="4"/>
    </row>
    <row r="141" spans="1:97" ht="2" customHeight="1">
      <c r="B141" s="481"/>
      <c r="C141" s="118"/>
      <c r="D141" s="126" t="str">
        <f>+IFERROR(INDEX('DESEMPATE Y DISCAPACIDAD'!$D$3:$D$450,MATCH(C141,'DESEMPATE Y DISCAPACIDAD'!$C$3:$C$450,0)),"")</f>
        <v/>
      </c>
      <c r="E141" s="127" t="str">
        <f>IFERROR(IF(D141="","",IF(VLOOKUP(D141,'DESEMPATE Y DISCAPACIDAD'!D$3:$E$450,2,FALSE)=1,"N/A",IF(VLOOKUP(D141,'DESEMPATE Y DISCAPACIDAD'!D$3:$F$450,3,FALSE)="X","SI","NO"))),"")</f>
        <v/>
      </c>
      <c r="F141" s="3"/>
      <c r="G141" s="125"/>
      <c r="H141" s="125"/>
      <c r="I141" s="128"/>
      <c r="J141" s="125"/>
      <c r="K141" s="125"/>
      <c r="L141" s="125"/>
      <c r="M141" s="125"/>
      <c r="N141" s="125" t="str">
        <f t="shared" si="129"/>
        <v/>
      </c>
      <c r="O141" s="125" t="str">
        <f t="shared" si="130"/>
        <v/>
      </c>
      <c r="P141" s="125" t="str">
        <f t="shared" si="131"/>
        <v/>
      </c>
      <c r="Q141" s="125" t="str">
        <f t="shared" si="123"/>
        <v/>
      </c>
      <c r="R141" s="68"/>
      <c r="S141" s="129"/>
      <c r="T141" s="129"/>
      <c r="U141" s="125" t="str">
        <f t="shared" si="125"/>
        <v/>
      </c>
      <c r="V141" s="21" t="str">
        <f>IF(U141=2023,1160000,IFERROR(INDEX(SMMLV!$B$2:$B$101,MATCH(U141,SMMLV!$A$2:$A$101,0)),""))</f>
        <v/>
      </c>
      <c r="W141" s="21"/>
      <c r="X141" s="125"/>
      <c r="Y141" s="125"/>
      <c r="Z141" s="474"/>
      <c r="AA141" s="475"/>
      <c r="AB141" s="476"/>
      <c r="AC141" s="125" t="str">
        <f t="shared" si="126"/>
        <v/>
      </c>
      <c r="AD141" s="117" t="str">
        <f t="shared" si="124"/>
        <v/>
      </c>
      <c r="AE141" s="117" t="s">
        <v>894</v>
      </c>
      <c r="AF141" s="117" t="str">
        <f t="shared" si="120"/>
        <v/>
      </c>
      <c r="AG141" s="470"/>
      <c r="AH141" s="470"/>
      <c r="AI141" s="125" t="str">
        <f t="shared" si="112"/>
        <v/>
      </c>
      <c r="AJ141" s="470"/>
      <c r="AK141" s="470"/>
      <c r="AL141" s="472"/>
      <c r="AM141" s="496"/>
      <c r="AN141" s="125"/>
      <c r="AO141" s="490"/>
      <c r="AP141" s="125"/>
      <c r="AQ141" s="490"/>
      <c r="AR141" s="522"/>
      <c r="AS141" s="519"/>
      <c r="AT141" s="204"/>
      <c r="AU141" s="614"/>
      <c r="AV141" s="617"/>
      <c r="AW141" s="620"/>
      <c r="AX141" s="620"/>
      <c r="AY141" s="19"/>
      <c r="CB141" s="29" t="str">
        <f>IFERROR(IF(COUNTIF(AF133:AF142,"")=10,"",IF(COUNTIF(E133:E142,"N/A")&gt;0,IF(AF141&gt;=CMEMM1,AF141,0),"N/A")),"")</f>
        <v>N/A</v>
      </c>
      <c r="CC141" s="4"/>
      <c r="CD141" s="4" t="str">
        <f>IFERROR(IF(COUNTIF(AF133:AF142,"")=10,"",IF(AF141="","",IF(AF141&gt;=CMEMM1,1,0))),"")</f>
        <v/>
      </c>
      <c r="CE141" s="4" t="str">
        <f>B133&amp;"-0"&amp;9</f>
        <v>P14-09</v>
      </c>
      <c r="CF141" s="4" t="str">
        <f>IFERROR(INDEX('DESEMPATE Y DISCAPACIDAD'!$D$3:$D$450,MATCH(CE141,'DESEMPATE Y DISCAPACIDAD'!$C$3:$C$450,0)),"")</f>
        <v/>
      </c>
      <c r="CG141" s="4" t="str">
        <f>IF(OR(CE141="",CF141=""),"",SUMIF(D133:D142,CF141,CD133:CD142))</f>
        <v/>
      </c>
      <c r="CH141" s="4" t="str">
        <f t="shared" si="95"/>
        <v/>
      </c>
      <c r="CI141" s="4" t="str">
        <f t="shared" si="127"/>
        <v/>
      </c>
      <c r="CJ141" s="4"/>
      <c r="CK141" s="4"/>
      <c r="CL141" s="4" t="str">
        <f t="shared" si="121"/>
        <v/>
      </c>
      <c r="CM141" s="4" t="str">
        <f t="shared" si="122"/>
        <v/>
      </c>
      <c r="CN141" s="4" t="str">
        <f t="shared" si="128"/>
        <v/>
      </c>
      <c r="CO141" s="4"/>
      <c r="CP141" s="4"/>
      <c r="CQ141" s="29" t="str">
        <f t="shared" si="110"/>
        <v/>
      </c>
      <c r="CR141" s="29" t="str">
        <f t="shared" si="111"/>
        <v/>
      </c>
      <c r="CS141" s="4"/>
    </row>
    <row r="142" spans="1:97" ht="2" customHeight="1" thickBot="1">
      <c r="B142" s="482"/>
      <c r="C142" s="130"/>
      <c r="D142" s="131" t="str">
        <f>+IFERROR(INDEX('DESEMPATE Y DISCAPACIDAD'!$D$3:$D$450,MATCH(C142,'DESEMPATE Y DISCAPACIDAD'!$C$3:$C$450,0)),"")</f>
        <v/>
      </c>
      <c r="E142" s="132" t="str">
        <f>IFERROR(IF(D142="","",IF(VLOOKUP(D142,'DESEMPATE Y DISCAPACIDAD'!D$3:$E$450,2,FALSE)=1,"N/A",IF(VLOOKUP(D142,'DESEMPATE Y DISCAPACIDAD'!D$3:$F$450,3,FALSE)="X","SI","NO"))),"")</f>
        <v/>
      </c>
      <c r="F142" s="5"/>
      <c r="G142" s="133"/>
      <c r="H142" s="133"/>
      <c r="I142" s="134"/>
      <c r="J142" s="133"/>
      <c r="K142" s="133"/>
      <c r="L142" s="133"/>
      <c r="M142" s="133"/>
      <c r="N142" s="133" t="str">
        <f t="shared" si="129"/>
        <v/>
      </c>
      <c r="O142" s="133" t="str">
        <f t="shared" si="130"/>
        <v/>
      </c>
      <c r="P142" s="133" t="str">
        <f t="shared" si="131"/>
        <v/>
      </c>
      <c r="Q142" s="133" t="str">
        <f t="shared" si="123"/>
        <v/>
      </c>
      <c r="R142" s="104"/>
      <c r="S142" s="135"/>
      <c r="T142" s="135"/>
      <c r="U142" s="133" t="str">
        <f t="shared" si="125"/>
        <v/>
      </c>
      <c r="V142" s="22" t="str">
        <f>IF(U142=2023,1160000,IFERROR(INDEX(SMMLV!$B$2:$B$101,MATCH(U142,SMMLV!$A$2:$A$101,0)),""))</f>
        <v/>
      </c>
      <c r="W142" s="22"/>
      <c r="X142" s="133"/>
      <c r="Y142" s="133"/>
      <c r="Z142" s="487"/>
      <c r="AA142" s="488"/>
      <c r="AB142" s="489"/>
      <c r="AC142" s="133" t="str">
        <f t="shared" si="126"/>
        <v/>
      </c>
      <c r="AD142" s="136" t="str">
        <f t="shared" si="124"/>
        <v/>
      </c>
      <c r="AE142" s="136" t="s">
        <v>894</v>
      </c>
      <c r="AF142" s="136" t="str">
        <f t="shared" si="120"/>
        <v/>
      </c>
      <c r="AG142" s="471"/>
      <c r="AH142" s="471"/>
      <c r="AI142" s="133" t="str">
        <f t="shared" si="112"/>
        <v/>
      </c>
      <c r="AJ142" s="471"/>
      <c r="AK142" s="471"/>
      <c r="AL142" s="473"/>
      <c r="AM142" s="497"/>
      <c r="AN142" s="133"/>
      <c r="AO142" s="491"/>
      <c r="AP142" s="133"/>
      <c r="AQ142" s="491"/>
      <c r="AR142" s="523"/>
      <c r="AS142" s="520"/>
      <c r="AT142" s="206"/>
      <c r="AU142" s="615"/>
      <c r="AV142" s="618"/>
      <c r="AW142" s="621"/>
      <c r="AX142" s="621"/>
      <c r="AY142" s="19"/>
      <c r="CB142" s="29" t="str">
        <f>IFERROR(IF(COUNTIF(AF133:AF142,"")=10,"",IF(COUNTIF(E133:E142,"N/A")&gt;0,IF(AF142&gt;=CMEMM1,AF142,0),"N/A")),"")</f>
        <v>N/A</v>
      </c>
      <c r="CC142" s="4"/>
      <c r="CD142" s="4" t="str">
        <f>IFERROR(IF(COUNTIF(AF133:AF142,"")=10,"",IF(AF142="","",IF(AF142&gt;=CMEMM1,1,0))),"")</f>
        <v/>
      </c>
      <c r="CE142" s="4" t="str">
        <f>B133&amp;"-"&amp;10</f>
        <v>P14-10</v>
      </c>
      <c r="CF142" s="4" t="str">
        <f>IFERROR(INDEX('DESEMPATE Y DISCAPACIDAD'!$D$3:$D$450,MATCH(CE142,'DESEMPATE Y DISCAPACIDAD'!$C$3:$C$450,0)),"")</f>
        <v/>
      </c>
      <c r="CG142" s="4" t="str">
        <f>IF(OR(CE142="",CF142=""),"",SUMIF(D133:D142,CF142,CD133:CD142))</f>
        <v/>
      </c>
      <c r="CH142" s="4" t="str">
        <f t="shared" si="95"/>
        <v/>
      </c>
      <c r="CI142" s="4" t="str">
        <f t="shared" si="127"/>
        <v/>
      </c>
      <c r="CJ142" s="4"/>
      <c r="CK142" s="4"/>
      <c r="CL142" s="4" t="str">
        <f t="shared" si="121"/>
        <v/>
      </c>
      <c r="CM142" s="4" t="str">
        <f t="shared" si="122"/>
        <v/>
      </c>
      <c r="CN142" s="4" t="str">
        <f t="shared" si="128"/>
        <v/>
      </c>
      <c r="CO142" s="4"/>
      <c r="CP142" s="4"/>
      <c r="CQ142" s="29" t="str">
        <f t="shared" si="110"/>
        <v/>
      </c>
      <c r="CR142" s="29" t="str">
        <f t="shared" si="111"/>
        <v/>
      </c>
      <c r="CS142" s="4"/>
    </row>
    <row r="143" spans="1:97" ht="35" customHeight="1">
      <c r="A143" s="4" t="str">
        <f>"A"&amp;B143</f>
        <v>AP15</v>
      </c>
      <c r="B143" s="480" t="s">
        <v>136</v>
      </c>
      <c r="C143" s="108" t="s">
        <v>192</v>
      </c>
      <c r="D143" s="119" t="str">
        <f>+IFERROR(INDEX('DESEMPATE Y DISCAPACIDAD'!$D$3:$D$450,MATCH(C143,'DESEMPATE Y DISCAPACIDAD'!$C$3:$C$450,0)),"")</f>
        <v>AIRTIFICIAL CW INFRASTRUCTURES COLOMBIA S.A.S.</v>
      </c>
      <c r="E143" s="120" t="str">
        <f>IFERROR(IF(D143="","",IF(VLOOKUP(D143,'DESEMPATE Y DISCAPACIDAD'!D$3:$E$450,2,FALSE)=1,"N/A",IF(VLOOKUP(D143,'DESEMPATE Y DISCAPACIDAD'!D$3:$F$450,3,FALSE)="X","SI","NO"))),"")</f>
        <v>NO</v>
      </c>
      <c r="F143" s="3" t="s">
        <v>1000</v>
      </c>
      <c r="G143" s="125" t="s">
        <v>703</v>
      </c>
      <c r="H143" s="121" t="s">
        <v>1001</v>
      </c>
      <c r="I143" s="122" t="s">
        <v>1002</v>
      </c>
      <c r="J143" s="121" t="s">
        <v>74</v>
      </c>
      <c r="K143" s="121" t="s">
        <v>75</v>
      </c>
      <c r="L143" s="121" t="s">
        <v>75</v>
      </c>
      <c r="M143" s="121" t="s">
        <v>74</v>
      </c>
      <c r="N143" s="121" t="str">
        <f>IFERROR(IF(OR(J143="",K143=""),"",IF(J143="NO","NO",K143)),"")</f>
        <v>NO</v>
      </c>
      <c r="O143" s="121" t="str">
        <f>IFERROR(IF(OR(J143="",L143=""),"",IF(J143="NO","NO",L143)),"")</f>
        <v>NO</v>
      </c>
      <c r="P143" s="121" t="str">
        <f>IFERROR(IF(OR(J143="",M143=""),"",IF(J143="NO","NO",M143)),"")</f>
        <v>SI</v>
      </c>
      <c r="Q143" s="121" t="str">
        <f t="shared" si="123"/>
        <v>SI</v>
      </c>
      <c r="R143" s="103">
        <v>1</v>
      </c>
      <c r="S143" s="123">
        <v>38096</v>
      </c>
      <c r="T143" s="123">
        <v>39325</v>
      </c>
      <c r="U143" s="121">
        <f>IFERROR(IF(T143="","",YEAR(T143)),"")</f>
        <v>2007</v>
      </c>
      <c r="V143" s="358">
        <f>IF(U143=2023,1160000,IFERROR(INDEX(SMMLV!$B$2:$B$101,MATCH(U143,SMMLV!$A$2:$A$101,0)),""))</f>
        <v>433700</v>
      </c>
      <c r="W143" s="358" t="s">
        <v>670</v>
      </c>
      <c r="X143" s="121" t="s">
        <v>671</v>
      </c>
      <c r="Y143" s="121">
        <v>25</v>
      </c>
      <c r="Z143" s="483" t="s">
        <v>74</v>
      </c>
      <c r="AA143" s="484"/>
      <c r="AB143" s="485"/>
      <c r="AC143" s="121" t="str">
        <f>IFERROR(IF(Y143="","",IF(ISNUMBER(Y143),IF(COUNTIF(Z143,"SI")&gt;0,"SI","NO"),Y143)),"")</f>
        <v>SI</v>
      </c>
      <c r="AD143" s="124" t="str">
        <f t="shared" si="124"/>
        <v>N/A</v>
      </c>
      <c r="AE143" s="124">
        <v>14798.9</v>
      </c>
      <c r="AF143" s="124">
        <f t="shared" si="120"/>
        <v>14798.9</v>
      </c>
      <c r="AG143" s="486" t="str">
        <f>IFERROR(IF(COUNTIF(AF143:AF152,"")=10,"",IF(COUNTIF(E143:E152,"N/A")&gt;0,IF(SUM(CB143:CB152)&gt;=CMEM1,"CUMPLE","NO CUMPLE"),IF(SUM(AF143:AF152)&gt;=CMEM1,"CUMPLE","NO CUMPLE"))),"")</f>
        <v>CUMPLE</v>
      </c>
      <c r="AH143" s="486" t="str">
        <f>IF(COUNTIF(AF143:AF152,"")=10,"",IF(SUMIF(C143:C152,C143,AF143:AF152)&gt;=CMLM1,"CUMPLE",IF(SUMIF(C143:C152,C144,AF143:AF152)&gt;=CMLM1,"CUMPLE",IF(SUMIF(C143:C152,C145,AF143:AF152)&gt;=CMLM1,"CUMPLE",IF(SUMIF(C143:C152,C146,AF143:AF152)&gt;=CMLM1,"CUMPLE",IF(SUMIF(C143:C152,C147,AF143:AF152)&gt;=CMLM1,"CUMPLE",IF(SUMIF(C143:C152,C148,AF143:AF152)&gt;=CMLM1,"CUMPLE",IF(SUMIF(C143:C152,C149,AF143:AF152)&gt;=CMLM1,"CUMPLE",IF(SUMIF(C143:C152,C150,AF143:AF152)&gt;=CMLM1,"CUMPLE",IF(SUMIF(C143:C152,C151,AF143:AF152)&gt;=CMLM1,"CUMPLE",IF(SUMIF(C143:C152,C152,AF143:AF152)&gt;=CMLM1,"CUMPLE","NO CUMPLE")))))))))))</f>
        <v>CUMPLE</v>
      </c>
      <c r="AI143" s="121" t="str">
        <f t="shared" si="112"/>
        <v>CUMPLE</v>
      </c>
      <c r="AJ143" s="469" t="str">
        <f>IFERROR(IF(COUNTIF(AF143:AF152,"")=10,"",IF(COUNTIF(E143:E152,"N/A")&gt;0,"N/A",CJ143)),"")</f>
        <v>CUMPLE</v>
      </c>
      <c r="AK143" s="469" t="str">
        <f>IFERROR(IF(AND(COUNTIF(N143:N152,"SI")&gt;=1,COUNTIF(O143:O152,"SI")&gt;=1,COUNTIF(P143:P152,"SI")&gt;=1,COUNTIF(J143:J152,"SI")&lt;=10,CO143="CUMPLE"),"CUMPLE","NO CUMPLE"),"")</f>
        <v>CUMPLE</v>
      </c>
      <c r="AL143" s="472" t="s">
        <v>77</v>
      </c>
      <c r="AM143" s="495">
        <f>IFERROR(IF(B143&lt;&gt;"",IF(VLOOKUP(B143,'DESEMPATE Y DISCAPACIDAD'!$A$3:$Q$450,10,FALSE)="","",VLOOKUP(B143,'DESEMPATE Y DISCAPACIDAD'!$A$3:$Q$450,10,FALSE)+6),""),"")</f>
        <v>8</v>
      </c>
      <c r="AN143" s="121" t="s">
        <v>75</v>
      </c>
      <c r="AO143" s="490" t="s">
        <v>74</v>
      </c>
      <c r="AP143" s="121" t="s">
        <v>74</v>
      </c>
      <c r="AQ143" s="490">
        <f>IFERROR(IF(COUNTIF(AP143:AP152,"")=10,"",IF(AO143="NO",0,COUNTIF(AP143:AP152,"SI"))),"")</f>
        <v>5</v>
      </c>
      <c r="AR143" s="521">
        <f>IFERROR(IF(COUNTIF(AF143:AF152,"")=10,"",IF(AO143="NO",0,IF(COUNTIF(E143:E152,"N/A")&gt;0,SUM(CQ143:CQ152),SUM(CR143:CR152)))),"")</f>
        <v>89151.137500000012</v>
      </c>
      <c r="AS143" s="518">
        <f>IFERROR(IF(OR(COUNTIF(AF143:AF152,"")=10,AQ143="",AR143=""),"",IF(AO143="NO",0,AR143/AQ143)),"")</f>
        <v>17830.227500000001</v>
      </c>
      <c r="AT143" s="207"/>
      <c r="AU143" s="613" t="s">
        <v>933</v>
      </c>
      <c r="AV143" s="616" t="s">
        <v>931</v>
      </c>
      <c r="AW143" s="619" t="s">
        <v>1357</v>
      </c>
      <c r="AX143" s="619" t="s">
        <v>1357</v>
      </c>
      <c r="AY143" s="19"/>
      <c r="CB143" s="29" t="str">
        <f>IFERROR(IF(COUNTIF(AF143:AF152,"")=10,"",IF(COUNTIF(E143:E152,"N/A")&gt;0,IF(AF143&gt;=CMEMM1,AF143,0),"N/A")),"")</f>
        <v>N/A</v>
      </c>
      <c r="CC143" s="4"/>
      <c r="CD143" s="4">
        <f>IFERROR(IF(COUNTIF(AF143:AF152,"")=10,"",IF(AF143="","",IF(AF143&gt;=CMEMM1,1,0))),"")</f>
        <v>1</v>
      </c>
      <c r="CE143" s="4" t="str">
        <f>B143&amp;"-0"&amp;1</f>
        <v>P15-01</v>
      </c>
      <c r="CF143" s="4" t="str">
        <f>IFERROR(INDEX('DESEMPATE Y DISCAPACIDAD'!$D$3:$D$450,MATCH(CE143,'DESEMPATE Y DISCAPACIDAD'!$C$3:$C$450,0)),"")</f>
        <v>AIRTIFICIAL CW INFRASTRUCTURES COLOMBIA S.A.S.</v>
      </c>
      <c r="CG143" s="4">
        <f>IF(OR(CE143="",CF143=""),"",SUMIF(D143:D152,CF143,CD143:CD152))</f>
        <v>3</v>
      </c>
      <c r="CH143" s="4" t="str">
        <f t="shared" si="95"/>
        <v>CUMPLE</v>
      </c>
      <c r="CI143" s="4">
        <f>IF(CF143="","",IF(ISTEXT(CF143),1,0))</f>
        <v>1</v>
      </c>
      <c r="CJ143" s="4" t="str">
        <f>IF(OR(CD143="",CE143="",CF143="",CG143="",CH143="",CI143=""),"",IF(COUNTIF(CH143:CH152,"CUMPLE")=COUNTIF(CI143:CI152,1),"CUMPLE","NO CUMPLE"))</f>
        <v>CUMPLE</v>
      </c>
      <c r="CK143" s="4"/>
      <c r="CL143" s="4">
        <f t="shared" si="121"/>
        <v>0</v>
      </c>
      <c r="CM143" s="4">
        <f t="shared" si="122"/>
        <v>0</v>
      </c>
      <c r="CN143" s="4" t="str">
        <f>IF(OR(CL143="",CM143=""),"",IF(AND(CL143=0,CM143=0),"N/A",IF(AND(CL143=1,CM143=0),"COND. A",IF(AND(CL143=0,CM143=1),"COND. B",IF(AND(CL143=1,CM143=1),"COND. A Y B","")))))</f>
        <v>N/A</v>
      </c>
      <c r="CO143" s="4" t="str">
        <f>IF(COUNTIF(CN143:CN152,"N/A")=10,"NO CUMPLE",IF(COUNTIF(CN143:CN152,"COND. A Y B")&gt;1,"CUMPLE",IF(AND(COUNTIF(CN143:CN152,"COND. A")&gt;0,COUNTIF(CN143:CN152,"COND. B")&gt;0),"CUMPLE",IF(AND(COUNTIF(CN143:CN152,"COND. A Y B")&gt;0,COUNTIF(CN143:CN152,"COND. A")&gt;0),"CUMPLE",IF(AND(COUNTIF(CN143:CN152,"COND. A Y B")&gt;0,COUNTIF(CN143:CN152,"COND. B")&gt;0),"CUMPLE","NO CUMPLE")))))</f>
        <v>CUMPLE</v>
      </c>
      <c r="CP143" s="4"/>
      <c r="CQ143" s="29" t="str">
        <f t="shared" si="110"/>
        <v>N/A</v>
      </c>
      <c r="CR143" s="29">
        <f t="shared" si="111"/>
        <v>14798.9</v>
      </c>
      <c r="CS143" s="4"/>
    </row>
    <row r="144" spans="1:97" ht="35" customHeight="1">
      <c r="B144" s="481"/>
      <c r="C144" s="118" t="s">
        <v>192</v>
      </c>
      <c r="D144" s="119" t="str">
        <f>+IFERROR(INDEX('DESEMPATE Y DISCAPACIDAD'!$D$3:$D$450,MATCH(C144,'DESEMPATE Y DISCAPACIDAD'!$C$3:$C$450,0)),"")</f>
        <v>AIRTIFICIAL CW INFRASTRUCTURES COLOMBIA S.A.S.</v>
      </c>
      <c r="E144" s="120" t="str">
        <f>IFERROR(IF(D144="","",IF(VLOOKUP(D144,'DESEMPATE Y DISCAPACIDAD'!D$3:$E$450,2,FALSE)=1,"N/A",IF(VLOOKUP(D144,'DESEMPATE Y DISCAPACIDAD'!D$3:$F$450,3,FALSE)="X","SI","NO"))),"")</f>
        <v>NO</v>
      </c>
      <c r="F144" s="3" t="s">
        <v>1000</v>
      </c>
      <c r="G144" s="125" t="s">
        <v>703</v>
      </c>
      <c r="H144" s="121" t="s">
        <v>1003</v>
      </c>
      <c r="I144" s="122" t="s">
        <v>1004</v>
      </c>
      <c r="J144" s="121" t="s">
        <v>74</v>
      </c>
      <c r="K144" s="121" t="s">
        <v>75</v>
      </c>
      <c r="L144" s="121" t="s">
        <v>75</v>
      </c>
      <c r="M144" s="121" t="s">
        <v>74</v>
      </c>
      <c r="N144" s="121" t="str">
        <f t="shared" ref="N144:N152" si="132">IFERROR(IF(OR(J144="",K144=""),"",IF(J144="NO","NO",K144)),"")</f>
        <v>NO</v>
      </c>
      <c r="O144" s="121" t="str">
        <f t="shared" ref="O144:O152" si="133">IFERROR(IF(OR(J144="",L144=""),"",IF(J144="NO","NO",L144)),"")</f>
        <v>NO</v>
      </c>
      <c r="P144" s="121" t="str">
        <f t="shared" ref="P144:P152" si="134">IFERROR(IF(OR(J144="",M144=""),"",IF(J144="NO","NO",M144)),"")</f>
        <v>SI</v>
      </c>
      <c r="Q144" s="121" t="str">
        <f t="shared" si="123"/>
        <v>SI</v>
      </c>
      <c r="R144" s="103">
        <v>1</v>
      </c>
      <c r="S144" s="123">
        <v>36362</v>
      </c>
      <c r="T144" s="123">
        <v>37621</v>
      </c>
      <c r="U144" s="121">
        <f t="shared" ref="U144:U152" si="135">IFERROR(IF(T144="","",YEAR(T144)),"")</f>
        <v>2002</v>
      </c>
      <c r="V144" s="358">
        <f>IF(U144=2023,1160000,IFERROR(INDEX(SMMLV!$B$2:$B$101,MATCH(U144,SMMLV!$A$2:$A$101,0)),""))</f>
        <v>309000</v>
      </c>
      <c r="W144" s="358" t="s">
        <v>670</v>
      </c>
      <c r="X144" s="121" t="s">
        <v>671</v>
      </c>
      <c r="Y144" s="125">
        <v>50</v>
      </c>
      <c r="Z144" s="474" t="s">
        <v>74</v>
      </c>
      <c r="AA144" s="475"/>
      <c r="AB144" s="476"/>
      <c r="AC144" s="125" t="str">
        <f t="shared" ref="AC144:AC152" si="136">IFERROR(IF(Y144="","",IF(ISNUMBER(Y144),IF(COUNTIF(Z144,"SI")&gt;0,"SI","NO"),Y144)),"")</f>
        <v>SI</v>
      </c>
      <c r="AD144" s="117" t="str">
        <f t="shared" si="124"/>
        <v>N/A</v>
      </c>
      <c r="AE144" s="117">
        <v>23958.7</v>
      </c>
      <c r="AF144" s="117">
        <f t="shared" si="120"/>
        <v>23958.7</v>
      </c>
      <c r="AG144" s="470"/>
      <c r="AH144" s="470"/>
      <c r="AI144" s="125" t="str">
        <f t="shared" si="112"/>
        <v>CUMPLE</v>
      </c>
      <c r="AJ144" s="470"/>
      <c r="AK144" s="470"/>
      <c r="AL144" s="472"/>
      <c r="AM144" s="496"/>
      <c r="AN144" s="125" t="s">
        <v>75</v>
      </c>
      <c r="AO144" s="490"/>
      <c r="AP144" s="125" t="s">
        <v>74</v>
      </c>
      <c r="AQ144" s="490"/>
      <c r="AR144" s="522"/>
      <c r="AS144" s="519"/>
      <c r="AT144" s="204"/>
      <c r="AU144" s="614"/>
      <c r="AV144" s="617"/>
      <c r="AW144" s="620"/>
      <c r="AX144" s="620"/>
      <c r="AY144" s="19"/>
      <c r="CB144" s="29" t="str">
        <f>IFERROR(IF(COUNTIF(AF143:AF152,"")=10,"",IF(COUNTIF(E143:E152,"N/A")&gt;0,IF(AF144&gt;=CMEMM1,AF144,0),"N/A")),"")</f>
        <v>N/A</v>
      </c>
      <c r="CC144" s="4"/>
      <c r="CD144" s="4">
        <f>IFERROR(IF(COUNTIF(AF143:AF152,"")=10,"",IF(AF144="","",IF(AF144&gt;=CMEMM1,1,0))),"")</f>
        <v>1</v>
      </c>
      <c r="CE144" s="4" t="str">
        <f>B143&amp;"-0"&amp;2</f>
        <v>P15-02</v>
      </c>
      <c r="CF144" s="4" t="str">
        <f>IFERROR(INDEX('DESEMPATE Y DISCAPACIDAD'!$D$3:$D$450,MATCH(CE144,'DESEMPATE Y DISCAPACIDAD'!$C$3:$C$450,0)),"")</f>
        <v>GÓMEZ CAJIAO Y ASOCIADOS S.A.S.</v>
      </c>
      <c r="CG144" s="4">
        <f>IF(OR(CE144="",CF144=""),"",SUMIF(D143:D152,CF144,CD143:CD152))</f>
        <v>2</v>
      </c>
      <c r="CH144" s="4" t="str">
        <f t="shared" si="95"/>
        <v>CUMPLE</v>
      </c>
      <c r="CI144" s="4">
        <f t="shared" ref="CI144:CI152" si="137">IF(CF144="","",IF(ISTEXT(CF144),1,0))</f>
        <v>1</v>
      </c>
      <c r="CJ144" s="4"/>
      <c r="CK144" s="4"/>
      <c r="CL144" s="4">
        <f t="shared" si="121"/>
        <v>0</v>
      </c>
      <c r="CM144" s="4">
        <f t="shared" si="122"/>
        <v>0</v>
      </c>
      <c r="CN144" s="4" t="str">
        <f t="shared" ref="CN144:CN152" si="138">IF(OR(CL144="",CM144=""),"",IF(AND(CL144=0,CM144=0),"N/A",IF(AND(CL144=1,CM144=0),"COND. A",IF(AND(CL144=0,CM144=1),"COND. B",IF(AND(CL144=1,CM144=1),"COND. A Y B","")))))</f>
        <v>N/A</v>
      </c>
      <c r="CO144" s="4"/>
      <c r="CP144" s="4"/>
      <c r="CQ144" s="29" t="str">
        <f t="shared" si="110"/>
        <v>N/A</v>
      </c>
      <c r="CR144" s="29">
        <f t="shared" si="111"/>
        <v>23958.7</v>
      </c>
      <c r="CS144" s="4"/>
    </row>
    <row r="145" spans="1:97" ht="35" customHeight="1">
      <c r="B145" s="481"/>
      <c r="C145" s="118" t="s">
        <v>192</v>
      </c>
      <c r="D145" s="126" t="str">
        <f>+IFERROR(INDEX('DESEMPATE Y DISCAPACIDAD'!$D$3:$D$450,MATCH(C145,'DESEMPATE Y DISCAPACIDAD'!$C$3:$C$450,0)),"")</f>
        <v>AIRTIFICIAL CW INFRASTRUCTURES COLOMBIA S.A.S.</v>
      </c>
      <c r="E145" s="127" t="str">
        <f>IFERROR(IF(D145="","",IF(VLOOKUP(D145,'DESEMPATE Y DISCAPACIDAD'!D$3:$E$450,2,FALSE)=1,"N/A",IF(VLOOKUP(D145,'DESEMPATE Y DISCAPACIDAD'!D$3:$F$450,3,FALSE)="X","SI","NO"))),"")</f>
        <v>NO</v>
      </c>
      <c r="F145" s="179" t="s">
        <v>1005</v>
      </c>
      <c r="G145" s="121" t="s">
        <v>699</v>
      </c>
      <c r="H145" s="125" t="s">
        <v>1006</v>
      </c>
      <c r="I145" s="128" t="s">
        <v>1007</v>
      </c>
      <c r="J145" s="125" t="s">
        <v>74</v>
      </c>
      <c r="K145" s="125" t="s">
        <v>74</v>
      </c>
      <c r="L145" s="125" t="s">
        <v>74</v>
      </c>
      <c r="M145" s="125" t="s">
        <v>74</v>
      </c>
      <c r="N145" s="125" t="str">
        <f t="shared" si="132"/>
        <v>SI</v>
      </c>
      <c r="O145" s="125" t="str">
        <f>IFERROR(IF(OR(J145="",L145=""),"",IF(J145="NO","NO",L145)),"")</f>
        <v>SI</v>
      </c>
      <c r="P145" s="125" t="str">
        <f t="shared" si="134"/>
        <v>SI</v>
      </c>
      <c r="Q145" s="125" t="str">
        <f t="shared" si="123"/>
        <v>SI</v>
      </c>
      <c r="R145" s="68">
        <v>0.35</v>
      </c>
      <c r="S145" s="129">
        <v>41075</v>
      </c>
      <c r="T145" s="129">
        <v>43783</v>
      </c>
      <c r="U145" s="125">
        <f t="shared" si="135"/>
        <v>2019</v>
      </c>
      <c r="V145" s="21">
        <f>IF(U145=2023,1160000,IFERROR(INDEX(SMMLV!$B$2:$B$101,MATCH(U145,SMMLV!$A$2:$A$101,0)),""))</f>
        <v>828116</v>
      </c>
      <c r="W145" s="358" t="s">
        <v>670</v>
      </c>
      <c r="X145" s="121" t="s">
        <v>671</v>
      </c>
      <c r="Y145" s="125">
        <v>206</v>
      </c>
      <c r="Z145" s="474" t="s">
        <v>74</v>
      </c>
      <c r="AA145" s="475"/>
      <c r="AB145" s="476"/>
      <c r="AC145" s="125" t="str">
        <f t="shared" si="136"/>
        <v>SI</v>
      </c>
      <c r="AD145" s="117" t="str">
        <f t="shared" si="124"/>
        <v>N/A</v>
      </c>
      <c r="AE145" s="117">
        <v>17502.75</v>
      </c>
      <c r="AF145" s="117">
        <f t="shared" si="120"/>
        <v>6125.9624999999996</v>
      </c>
      <c r="AG145" s="470"/>
      <c r="AH145" s="470"/>
      <c r="AI145" s="125" t="str">
        <f t="shared" si="112"/>
        <v>CUMPLE</v>
      </c>
      <c r="AJ145" s="470"/>
      <c r="AK145" s="470"/>
      <c r="AL145" s="472"/>
      <c r="AM145" s="496"/>
      <c r="AN145" s="125" t="s">
        <v>75</v>
      </c>
      <c r="AO145" s="490"/>
      <c r="AP145" s="125" t="s">
        <v>74</v>
      </c>
      <c r="AQ145" s="490"/>
      <c r="AR145" s="522"/>
      <c r="AS145" s="519"/>
      <c r="AT145" s="204"/>
      <c r="AU145" s="614"/>
      <c r="AV145" s="617"/>
      <c r="AW145" s="620"/>
      <c r="AX145" s="620"/>
      <c r="AY145" s="19"/>
      <c r="CB145" s="29" t="str">
        <f>IFERROR(IF(COUNTIF(AF143:AF152,"")=10,"",IF(COUNTIF(E143:E152,"N/A")&gt;0,IF(AF145&gt;=CMEMM1,AF145,0),"N/A")),"")</f>
        <v>N/A</v>
      </c>
      <c r="CC145" s="4"/>
      <c r="CD145" s="4">
        <f>IFERROR(IF(COUNTIF(AF143:AF152,"")=10,"",IF(AF145="","",IF(AF145&gt;=CMEMM1,1,0))),"")</f>
        <v>1</v>
      </c>
      <c r="CE145" s="4" t="str">
        <f>B143&amp;"-0"&amp;3</f>
        <v>P15-03</v>
      </c>
      <c r="CF145" s="4">
        <f>IFERROR(INDEX('DESEMPATE Y DISCAPACIDAD'!$D$3:$D$450,MATCH(CE145,'DESEMPATE Y DISCAPACIDAD'!$C$3:$C$450,0)),"")</f>
        <v>0</v>
      </c>
      <c r="CG145" s="4">
        <f>IF(OR(CE145="",CF145=""),"",SUMIF(D143:D152,CF145,CD143:CD152))</f>
        <v>0</v>
      </c>
      <c r="CH145" s="4" t="str">
        <f t="shared" si="95"/>
        <v>NO CUMPLE</v>
      </c>
      <c r="CI145" s="4">
        <f t="shared" si="137"/>
        <v>0</v>
      </c>
      <c r="CJ145" s="4"/>
      <c r="CK145" s="4"/>
      <c r="CL145" s="4">
        <f t="shared" si="121"/>
        <v>1</v>
      </c>
      <c r="CM145" s="4">
        <f t="shared" si="122"/>
        <v>1</v>
      </c>
      <c r="CN145" s="4" t="str">
        <f t="shared" si="138"/>
        <v>COND. A Y B</v>
      </c>
      <c r="CO145" s="4"/>
      <c r="CP145" s="4"/>
      <c r="CQ145" s="29" t="str">
        <f t="shared" si="110"/>
        <v>N/A</v>
      </c>
      <c r="CR145" s="29">
        <f t="shared" si="111"/>
        <v>6125.9624999999996</v>
      </c>
      <c r="CS145" s="4"/>
    </row>
    <row r="146" spans="1:97" ht="35" customHeight="1">
      <c r="B146" s="481"/>
      <c r="C146" s="118" t="s">
        <v>213</v>
      </c>
      <c r="D146" s="126" t="str">
        <f>+IFERROR(INDEX('DESEMPATE Y DISCAPACIDAD'!$D$3:$D$450,MATCH(C146,'DESEMPATE Y DISCAPACIDAD'!$C$3:$C$450,0)),"")</f>
        <v>GÓMEZ CAJIAO Y ASOCIADOS S.A.S.</v>
      </c>
      <c r="E146" s="127" t="str">
        <f>IFERROR(IF(D146="","",IF(VLOOKUP(D146,'DESEMPATE Y DISCAPACIDAD'!D$3:$E$450,2,FALSE)=1,"N/A",IF(VLOOKUP(D146,'DESEMPATE Y DISCAPACIDAD'!D$3:$F$450,3,FALSE)="X","SI","NO"))),"")</f>
        <v>NO</v>
      </c>
      <c r="F146" s="141" t="s">
        <v>1008</v>
      </c>
      <c r="G146" s="125" t="s">
        <v>699</v>
      </c>
      <c r="H146" s="125" t="s">
        <v>1009</v>
      </c>
      <c r="I146" s="128" t="s">
        <v>1010</v>
      </c>
      <c r="J146" s="125" t="s">
        <v>74</v>
      </c>
      <c r="K146" s="125" t="s">
        <v>74</v>
      </c>
      <c r="L146" s="125" t="s">
        <v>75</v>
      </c>
      <c r="M146" s="125" t="s">
        <v>74</v>
      </c>
      <c r="N146" s="125" t="str">
        <f t="shared" si="132"/>
        <v>SI</v>
      </c>
      <c r="O146" s="125" t="str">
        <f>IFERROR(IF(OR(J146="",L146=""),"",IF(J146="NO","NO",L146)),"")</f>
        <v>NO</v>
      </c>
      <c r="P146" s="125" t="str">
        <f t="shared" si="134"/>
        <v>SI</v>
      </c>
      <c r="Q146" s="125" t="str">
        <f t="shared" si="123"/>
        <v>SI</v>
      </c>
      <c r="R146" s="68">
        <v>0.5</v>
      </c>
      <c r="S146" s="129">
        <v>31943</v>
      </c>
      <c r="T146" s="129">
        <v>36068</v>
      </c>
      <c r="U146" s="125">
        <f t="shared" si="135"/>
        <v>1998</v>
      </c>
      <c r="V146" s="21">
        <f>IF(U146=2023,1160000,IFERROR(INDEX(SMMLV!$B$2:$B$101,MATCH(U146,SMMLV!$A$2:$A$101,0)),""))</f>
        <v>203826</v>
      </c>
      <c r="W146" s="358" t="s">
        <v>670</v>
      </c>
      <c r="X146" s="121" t="s">
        <v>671</v>
      </c>
      <c r="Y146" s="125">
        <v>219</v>
      </c>
      <c r="Z146" s="474" t="s">
        <v>74</v>
      </c>
      <c r="AA146" s="475"/>
      <c r="AB146" s="476"/>
      <c r="AC146" s="125" t="str">
        <f t="shared" si="136"/>
        <v>SI</v>
      </c>
      <c r="AD146" s="117" t="str">
        <f t="shared" si="124"/>
        <v>N/A</v>
      </c>
      <c r="AE146" s="117">
        <v>40744.85</v>
      </c>
      <c r="AF146" s="117">
        <f t="shared" si="120"/>
        <v>20372.424999999999</v>
      </c>
      <c r="AG146" s="470"/>
      <c r="AH146" s="470"/>
      <c r="AI146" s="125" t="str">
        <f t="shared" si="112"/>
        <v>CUMPLE</v>
      </c>
      <c r="AJ146" s="470"/>
      <c r="AK146" s="470"/>
      <c r="AL146" s="472"/>
      <c r="AM146" s="496"/>
      <c r="AN146" s="125" t="s">
        <v>75</v>
      </c>
      <c r="AO146" s="490"/>
      <c r="AP146" s="125" t="s">
        <v>74</v>
      </c>
      <c r="AQ146" s="490"/>
      <c r="AR146" s="522"/>
      <c r="AS146" s="519"/>
      <c r="AT146" s="204"/>
      <c r="AU146" s="614"/>
      <c r="AV146" s="617"/>
      <c r="AW146" s="620"/>
      <c r="AX146" s="620"/>
      <c r="AY146" s="19"/>
      <c r="CB146" s="29" t="str">
        <f>IFERROR(IF(COUNTIF(AF143:AF152,"")=10,"",IF(COUNTIF(E143:E152,"N/A")&gt;0,IF(AF146&gt;=CMEMM1,AF146,0),"N/A")),"")</f>
        <v>N/A</v>
      </c>
      <c r="CC146" s="4"/>
      <c r="CD146" s="4">
        <f>IFERROR(IF(COUNTIF(AF143:AF152,"")=10,"",IF(AF146="","",IF(AF146&gt;=CMEMM1,1,0))),"")</f>
        <v>1</v>
      </c>
      <c r="CE146" s="4" t="str">
        <f>B143&amp;"-0"&amp;4</f>
        <v>P15-04</v>
      </c>
      <c r="CF146" s="4">
        <f>IFERROR(INDEX('DESEMPATE Y DISCAPACIDAD'!$D$3:$D$450,MATCH(CE146,'DESEMPATE Y DISCAPACIDAD'!$C$3:$C$450,0)),"")</f>
        <v>0</v>
      </c>
      <c r="CG146" s="4">
        <f>IF(OR(CE146="",CF146=""),"",SUMIF(D143:D152,CF146,CD143:CD152))</f>
        <v>0</v>
      </c>
      <c r="CH146" s="4" t="str">
        <f t="shared" si="95"/>
        <v>NO CUMPLE</v>
      </c>
      <c r="CI146" s="4">
        <f t="shared" si="137"/>
        <v>0</v>
      </c>
      <c r="CJ146" s="4"/>
      <c r="CK146" s="4"/>
      <c r="CL146" s="4">
        <f t="shared" si="121"/>
        <v>1</v>
      </c>
      <c r="CM146" s="4">
        <f t="shared" si="122"/>
        <v>0</v>
      </c>
      <c r="CN146" s="4" t="str">
        <f t="shared" si="138"/>
        <v>COND. A</v>
      </c>
      <c r="CO146" s="4"/>
      <c r="CP146" s="4"/>
      <c r="CQ146" s="29" t="str">
        <f t="shared" si="110"/>
        <v>N/A</v>
      </c>
      <c r="CR146" s="29">
        <f t="shared" si="111"/>
        <v>20372.424999999999</v>
      </c>
      <c r="CS146" s="4"/>
    </row>
    <row r="147" spans="1:97" ht="35" customHeight="1">
      <c r="B147" s="481"/>
      <c r="C147" s="118" t="s">
        <v>213</v>
      </c>
      <c r="D147" s="126" t="str">
        <f>+IFERROR(INDEX('DESEMPATE Y DISCAPACIDAD'!$D$3:$D$450,MATCH(C147,'DESEMPATE Y DISCAPACIDAD'!$C$3:$C$450,0)),"")</f>
        <v>GÓMEZ CAJIAO Y ASOCIADOS S.A.S.</v>
      </c>
      <c r="E147" s="127" t="str">
        <f>IFERROR(IF(D147="","",IF(VLOOKUP(D147,'DESEMPATE Y DISCAPACIDAD'!D$3:$E$450,2,FALSE)=1,"N/A",IF(VLOOKUP(D147,'DESEMPATE Y DISCAPACIDAD'!D$3:$F$450,3,FALSE)="X","SI","NO"))),"")</f>
        <v>NO</v>
      </c>
      <c r="F147" s="125" t="s">
        <v>1011</v>
      </c>
      <c r="G147" s="125" t="s">
        <v>699</v>
      </c>
      <c r="H147" s="125" t="s">
        <v>1012</v>
      </c>
      <c r="I147" s="128" t="s">
        <v>1013</v>
      </c>
      <c r="J147" s="125" t="s">
        <v>74</v>
      </c>
      <c r="K147" s="125" t="s">
        <v>75</v>
      </c>
      <c r="L147" s="125" t="s">
        <v>75</v>
      </c>
      <c r="M147" s="125" t="s">
        <v>74</v>
      </c>
      <c r="N147" s="125" t="str">
        <f t="shared" si="132"/>
        <v>NO</v>
      </c>
      <c r="O147" s="125" t="str">
        <f t="shared" si="133"/>
        <v>NO</v>
      </c>
      <c r="P147" s="125" t="str">
        <f t="shared" si="134"/>
        <v>SI</v>
      </c>
      <c r="Q147" s="125" t="str">
        <f t="shared" si="123"/>
        <v>SI</v>
      </c>
      <c r="R147" s="68">
        <v>1</v>
      </c>
      <c r="S147" s="129">
        <v>41723</v>
      </c>
      <c r="T147" s="129">
        <v>42916</v>
      </c>
      <c r="U147" s="125">
        <f t="shared" si="135"/>
        <v>2017</v>
      </c>
      <c r="V147" s="21">
        <f>IF(U147=2023,1160000,IFERROR(INDEX(SMMLV!$B$2:$B$101,MATCH(U147,SMMLV!$A$2:$A$101,0)),""))</f>
        <v>737717</v>
      </c>
      <c r="W147" s="358" t="s">
        <v>670</v>
      </c>
      <c r="X147" s="121" t="s">
        <v>671</v>
      </c>
      <c r="Y147" s="125">
        <v>243</v>
      </c>
      <c r="Z147" s="474" t="s">
        <v>74</v>
      </c>
      <c r="AA147" s="475"/>
      <c r="AB147" s="476"/>
      <c r="AC147" s="125" t="str">
        <f t="shared" si="136"/>
        <v>SI</v>
      </c>
      <c r="AD147" s="117" t="str">
        <f t="shared" si="124"/>
        <v>N/A</v>
      </c>
      <c r="AE147" s="117">
        <v>23895.15</v>
      </c>
      <c r="AF147" s="117">
        <f t="shared" si="120"/>
        <v>23895.15</v>
      </c>
      <c r="AG147" s="470"/>
      <c r="AH147" s="470"/>
      <c r="AI147" s="125" t="str">
        <f t="shared" si="112"/>
        <v>CUMPLE</v>
      </c>
      <c r="AJ147" s="470"/>
      <c r="AK147" s="470"/>
      <c r="AL147" s="472"/>
      <c r="AM147" s="496"/>
      <c r="AN147" s="125" t="s">
        <v>75</v>
      </c>
      <c r="AO147" s="490"/>
      <c r="AP147" s="125" t="s">
        <v>74</v>
      </c>
      <c r="AQ147" s="490"/>
      <c r="AR147" s="522"/>
      <c r="AS147" s="519"/>
      <c r="AT147" s="204"/>
      <c r="AU147" s="614"/>
      <c r="AV147" s="617"/>
      <c r="AW147" s="620"/>
      <c r="AX147" s="620"/>
      <c r="AY147" s="19"/>
      <c r="CB147" s="29" t="str">
        <f>IFERROR(IF(COUNTIF(AF143:AF152,"")=10,"",IF(COUNTIF(E143:E152,"N/A")&gt;0,IF(AF147&gt;=CMEMM1,AF147,0),"N/A")),"")</f>
        <v>N/A</v>
      </c>
      <c r="CC147" s="4"/>
      <c r="CD147" s="4">
        <f>IFERROR(IF(COUNTIF(AF143:AF152,"")=10,"",IF(AF147="","",IF(AF147&gt;=CMEMM1,1,0))),"")</f>
        <v>1</v>
      </c>
      <c r="CE147" s="4" t="str">
        <f>B143&amp;"-0"&amp;5</f>
        <v>P15-05</v>
      </c>
      <c r="CF147" s="4">
        <f>IFERROR(INDEX('DESEMPATE Y DISCAPACIDAD'!$D$3:$D$450,MATCH(CE147,'DESEMPATE Y DISCAPACIDAD'!$C$3:$C$450,0)),"")</f>
        <v>0</v>
      </c>
      <c r="CG147" s="4">
        <f>IF(OR(CE147="",CF147=""),"",SUMIF(D143:D152,CF147,CD143:CD152))</f>
        <v>0</v>
      </c>
      <c r="CH147" s="4" t="str">
        <f t="shared" si="95"/>
        <v>NO CUMPLE</v>
      </c>
      <c r="CI147" s="4">
        <f t="shared" si="137"/>
        <v>0</v>
      </c>
      <c r="CJ147" s="4"/>
      <c r="CK147" s="4"/>
      <c r="CL147" s="4">
        <f t="shared" si="121"/>
        <v>0</v>
      </c>
      <c r="CM147" s="4">
        <f t="shared" si="122"/>
        <v>0</v>
      </c>
      <c r="CN147" s="4" t="str">
        <f t="shared" si="138"/>
        <v>N/A</v>
      </c>
      <c r="CO147" s="4"/>
      <c r="CP147" s="4"/>
      <c r="CQ147" s="29" t="str">
        <f t="shared" si="110"/>
        <v>N/A</v>
      </c>
      <c r="CR147" s="29">
        <f t="shared" si="111"/>
        <v>23895.15</v>
      </c>
      <c r="CS147" s="4"/>
    </row>
    <row r="148" spans="1:97" ht="2" customHeight="1">
      <c r="B148" s="481"/>
      <c r="C148" s="118"/>
      <c r="D148" s="126" t="str">
        <f>+IFERROR(INDEX('DESEMPATE Y DISCAPACIDAD'!$D$3:$D$450,MATCH(C148,'DESEMPATE Y DISCAPACIDAD'!$C$3:$C$450,0)),"")</f>
        <v/>
      </c>
      <c r="E148" s="127" t="str">
        <f>IFERROR(IF(D148="","",IF(VLOOKUP(D148,'DESEMPATE Y DISCAPACIDAD'!D$3:$E$450,2,FALSE)=1,"N/A",IF(VLOOKUP(D148,'DESEMPATE Y DISCAPACIDAD'!D$3:$F$450,3,FALSE)="X","SI","NO"))),"")</f>
        <v/>
      </c>
      <c r="F148" s="125"/>
      <c r="G148" s="125"/>
      <c r="H148" s="125"/>
      <c r="I148" s="128"/>
      <c r="J148" s="125"/>
      <c r="K148" s="125"/>
      <c r="L148" s="125"/>
      <c r="M148" s="125"/>
      <c r="N148" s="125" t="str">
        <f t="shared" si="132"/>
        <v/>
      </c>
      <c r="O148" s="125" t="str">
        <f t="shared" si="133"/>
        <v/>
      </c>
      <c r="P148" s="125" t="str">
        <f t="shared" si="134"/>
        <v/>
      </c>
      <c r="Q148" s="125" t="str">
        <f t="shared" si="123"/>
        <v/>
      </c>
      <c r="R148" s="68"/>
      <c r="S148" s="129"/>
      <c r="T148" s="129"/>
      <c r="U148" s="125" t="str">
        <f t="shared" si="135"/>
        <v/>
      </c>
      <c r="V148" s="117" t="str">
        <f>IF(U148=2023,1160000,IFERROR(INDEX(SMMLV!$B$2:$B$101,MATCH(U148,SMMLV!$A$2:$A$101,0)),""))</f>
        <v/>
      </c>
      <c r="W148" s="117"/>
      <c r="X148" s="125"/>
      <c r="Y148" s="125"/>
      <c r="Z148" s="474"/>
      <c r="AA148" s="475"/>
      <c r="AB148" s="476"/>
      <c r="AC148" s="125" t="str">
        <f t="shared" si="136"/>
        <v/>
      </c>
      <c r="AD148" s="117" t="str">
        <f t="shared" si="124"/>
        <v/>
      </c>
      <c r="AE148" s="117" t="s">
        <v>894</v>
      </c>
      <c r="AF148" s="117" t="str">
        <f t="shared" si="120"/>
        <v/>
      </c>
      <c r="AG148" s="470"/>
      <c r="AH148" s="470"/>
      <c r="AI148" s="125" t="str">
        <f t="shared" si="112"/>
        <v/>
      </c>
      <c r="AJ148" s="470"/>
      <c r="AK148" s="470"/>
      <c r="AL148" s="472"/>
      <c r="AM148" s="496"/>
      <c r="AN148" s="125"/>
      <c r="AO148" s="490"/>
      <c r="AP148" s="125"/>
      <c r="AQ148" s="490"/>
      <c r="AR148" s="522"/>
      <c r="AS148" s="519"/>
      <c r="AT148" s="204"/>
      <c r="AU148" s="614"/>
      <c r="AV148" s="617"/>
      <c r="AW148" s="620"/>
      <c r="AX148" s="620"/>
      <c r="AY148" s="19"/>
      <c r="CB148" s="29" t="str">
        <f>IFERROR(IF(COUNTIF(AF143:AF152,"")=10,"",IF(COUNTIF(E143:E152,"N/A")&gt;0,IF(AF148&gt;=CMEMM1,AF148,0),"N/A")),"")</f>
        <v>N/A</v>
      </c>
      <c r="CC148" s="4"/>
      <c r="CD148" s="4" t="str">
        <f>IFERROR(IF(COUNTIF(AF143:AF152,"")=10,"",IF(AF148="","",IF(AF148&gt;=CMEMM1,1,0))),"")</f>
        <v/>
      </c>
      <c r="CE148" s="4" t="str">
        <f>B143&amp;"-0"&amp;6</f>
        <v>P15-06</v>
      </c>
      <c r="CF148" s="4">
        <f>IFERROR(INDEX('DESEMPATE Y DISCAPACIDAD'!$D$3:$D$450,MATCH(CE148,'DESEMPATE Y DISCAPACIDAD'!$C$3:$C$450,0)),"")</f>
        <v>0</v>
      </c>
      <c r="CG148" s="4">
        <f>IF(OR(CE148="",CF148=""),"",SUMIF(D143:D152,CF148,CD143:CD152))</f>
        <v>0</v>
      </c>
      <c r="CH148" s="4" t="str">
        <f t="shared" si="95"/>
        <v>NO CUMPLE</v>
      </c>
      <c r="CI148" s="4">
        <f t="shared" si="137"/>
        <v>0</v>
      </c>
      <c r="CJ148" s="4"/>
      <c r="CK148" s="4"/>
      <c r="CL148" s="4" t="str">
        <f t="shared" si="121"/>
        <v/>
      </c>
      <c r="CM148" s="4" t="str">
        <f t="shared" si="122"/>
        <v/>
      </c>
      <c r="CN148" s="4" t="str">
        <f t="shared" si="138"/>
        <v/>
      </c>
      <c r="CO148" s="4"/>
      <c r="CP148" s="4"/>
      <c r="CQ148" s="29" t="str">
        <f t="shared" si="110"/>
        <v/>
      </c>
      <c r="CR148" s="29" t="str">
        <f t="shared" ref="CR148:CR179" si="139">IF(OR(AN148="",AF148=""),"",IF(AN148="NO",AF148,0))</f>
        <v/>
      </c>
      <c r="CS148" s="4"/>
    </row>
    <row r="149" spans="1:97" ht="2" customHeight="1">
      <c r="B149" s="481"/>
      <c r="C149" s="118"/>
      <c r="D149" s="126" t="str">
        <f>+IFERROR(INDEX('DESEMPATE Y DISCAPACIDAD'!$D$3:$D$450,MATCH(C149,'DESEMPATE Y DISCAPACIDAD'!$C$3:$C$450,0)),"")</f>
        <v/>
      </c>
      <c r="E149" s="127" t="str">
        <f>IFERROR(IF(D149="","",IF(VLOOKUP(D149,'DESEMPATE Y DISCAPACIDAD'!D$3:$E$450,2,FALSE)=1,"N/A",IF(VLOOKUP(D149,'DESEMPATE Y DISCAPACIDAD'!D$3:$F$450,3,FALSE)="X","SI","NO"))),"")</f>
        <v/>
      </c>
      <c r="F149" s="125"/>
      <c r="G149" s="125"/>
      <c r="H149" s="125"/>
      <c r="I149" s="128"/>
      <c r="J149" s="125"/>
      <c r="K149" s="125"/>
      <c r="L149" s="125"/>
      <c r="M149" s="125"/>
      <c r="N149" s="125" t="str">
        <f t="shared" si="132"/>
        <v/>
      </c>
      <c r="O149" s="125" t="str">
        <f t="shared" si="133"/>
        <v/>
      </c>
      <c r="P149" s="125" t="str">
        <f t="shared" si="134"/>
        <v/>
      </c>
      <c r="Q149" s="125" t="str">
        <f t="shared" si="123"/>
        <v/>
      </c>
      <c r="R149" s="68"/>
      <c r="S149" s="129"/>
      <c r="T149" s="129"/>
      <c r="U149" s="125" t="str">
        <f t="shared" si="135"/>
        <v/>
      </c>
      <c r="V149" s="117" t="str">
        <f>IF(U149=2023,1160000,IFERROR(INDEX(SMMLV!$B$2:$B$101,MATCH(U149,SMMLV!$A$2:$A$101,0)),""))</f>
        <v/>
      </c>
      <c r="W149" s="117"/>
      <c r="X149" s="125"/>
      <c r="Y149" s="125"/>
      <c r="Z149" s="474"/>
      <c r="AA149" s="475"/>
      <c r="AB149" s="476"/>
      <c r="AC149" s="125" t="str">
        <f t="shared" si="136"/>
        <v/>
      </c>
      <c r="AD149" s="117" t="str">
        <f t="shared" si="124"/>
        <v/>
      </c>
      <c r="AE149" s="117" t="s">
        <v>894</v>
      </c>
      <c r="AF149" s="117" t="str">
        <f t="shared" si="120"/>
        <v/>
      </c>
      <c r="AG149" s="470"/>
      <c r="AH149" s="470"/>
      <c r="AI149" s="125" t="str">
        <f t="shared" si="112"/>
        <v/>
      </c>
      <c r="AJ149" s="470"/>
      <c r="AK149" s="470"/>
      <c r="AL149" s="472"/>
      <c r="AM149" s="496"/>
      <c r="AN149" s="125"/>
      <c r="AO149" s="490"/>
      <c r="AP149" s="125"/>
      <c r="AQ149" s="490"/>
      <c r="AR149" s="522"/>
      <c r="AS149" s="519"/>
      <c r="AT149" s="204"/>
      <c r="AU149" s="614"/>
      <c r="AV149" s="617"/>
      <c r="AW149" s="620"/>
      <c r="AX149" s="620"/>
      <c r="AY149" s="19"/>
      <c r="CB149" s="29" t="str">
        <f>IFERROR(IF(COUNTIF(AF143:AF152,"")=10,"",IF(COUNTIF(E143:E152,"N/A")&gt;0,IF(AF149&gt;=CMEMM1,AF149,0),"N/A")),"")</f>
        <v>N/A</v>
      </c>
      <c r="CC149" s="4"/>
      <c r="CD149" s="4" t="str">
        <f>IFERROR(IF(COUNTIF(AF143:AF152,"")=10,"",IF(AF149="","",IF(AF149&gt;=CMEMM1,1,0))),"")</f>
        <v/>
      </c>
      <c r="CE149" s="4" t="str">
        <f>B143&amp;"-0"&amp;7</f>
        <v>P15-07</v>
      </c>
      <c r="CF149" s="4" t="str">
        <f>IFERROR(INDEX('DESEMPATE Y DISCAPACIDAD'!$D$3:$D$450,MATCH(CE149,'DESEMPATE Y DISCAPACIDAD'!$C$3:$C$450,0)),"")</f>
        <v/>
      </c>
      <c r="CG149" s="4" t="str">
        <f>IF(OR(CE149="",CF149=""),"",SUMIF(D143:D152,CF149,CD143:CD152))</f>
        <v/>
      </c>
      <c r="CH149" s="4" t="str">
        <f t="shared" si="95"/>
        <v/>
      </c>
      <c r="CI149" s="4" t="str">
        <f t="shared" si="137"/>
        <v/>
      </c>
      <c r="CJ149" s="4"/>
      <c r="CK149" s="4"/>
      <c r="CL149" s="4" t="str">
        <f t="shared" si="121"/>
        <v/>
      </c>
      <c r="CM149" s="4" t="str">
        <f t="shared" si="122"/>
        <v/>
      </c>
      <c r="CN149" s="4" t="str">
        <f t="shared" si="138"/>
        <v/>
      </c>
      <c r="CO149" s="4"/>
      <c r="CP149" s="4"/>
      <c r="CQ149" s="29" t="str">
        <f t="shared" si="110"/>
        <v/>
      </c>
      <c r="CR149" s="29" t="str">
        <f t="shared" si="139"/>
        <v/>
      </c>
      <c r="CS149" s="4"/>
    </row>
    <row r="150" spans="1:97" ht="2" customHeight="1">
      <c r="B150" s="481"/>
      <c r="C150" s="118"/>
      <c r="D150" s="126" t="str">
        <f>+IFERROR(INDEX('DESEMPATE Y DISCAPACIDAD'!$D$3:$D$450,MATCH(C150,'DESEMPATE Y DISCAPACIDAD'!$C$3:$C$450,0)),"")</f>
        <v/>
      </c>
      <c r="E150" s="127" t="str">
        <f>IFERROR(IF(D150="","",IF(VLOOKUP(D150,'DESEMPATE Y DISCAPACIDAD'!D$3:$E$450,2,FALSE)=1,"N/A",IF(VLOOKUP(D150,'DESEMPATE Y DISCAPACIDAD'!D$3:$F$450,3,FALSE)="X","SI","NO"))),"")</f>
        <v/>
      </c>
      <c r="F150" s="125"/>
      <c r="G150" s="125"/>
      <c r="H150" s="125"/>
      <c r="I150" s="128"/>
      <c r="J150" s="125"/>
      <c r="K150" s="125"/>
      <c r="L150" s="125"/>
      <c r="M150" s="125"/>
      <c r="N150" s="125" t="str">
        <f t="shared" si="132"/>
        <v/>
      </c>
      <c r="O150" s="125" t="str">
        <f t="shared" si="133"/>
        <v/>
      </c>
      <c r="P150" s="125" t="str">
        <f t="shared" si="134"/>
        <v/>
      </c>
      <c r="Q150" s="125" t="str">
        <f t="shared" si="123"/>
        <v/>
      </c>
      <c r="R150" s="68"/>
      <c r="S150" s="129"/>
      <c r="T150" s="129"/>
      <c r="U150" s="125" t="str">
        <f t="shared" si="135"/>
        <v/>
      </c>
      <c r="V150" s="117" t="str">
        <f>IF(U150=2023,1160000,IFERROR(INDEX(SMMLV!$B$2:$B$101,MATCH(U150,SMMLV!$A$2:$A$101,0)),""))</f>
        <v/>
      </c>
      <c r="W150" s="117"/>
      <c r="X150" s="125"/>
      <c r="Y150" s="125"/>
      <c r="Z150" s="474"/>
      <c r="AA150" s="475"/>
      <c r="AB150" s="476"/>
      <c r="AC150" s="125" t="str">
        <f t="shared" si="136"/>
        <v/>
      </c>
      <c r="AD150" s="117" t="str">
        <f t="shared" si="124"/>
        <v/>
      </c>
      <c r="AE150" s="117" t="s">
        <v>894</v>
      </c>
      <c r="AF150" s="117" t="str">
        <f t="shared" si="120"/>
        <v/>
      </c>
      <c r="AG150" s="470"/>
      <c r="AH150" s="470"/>
      <c r="AI150" s="125" t="str">
        <f t="shared" si="112"/>
        <v/>
      </c>
      <c r="AJ150" s="470"/>
      <c r="AK150" s="470"/>
      <c r="AL150" s="472"/>
      <c r="AM150" s="496"/>
      <c r="AN150" s="125"/>
      <c r="AO150" s="490"/>
      <c r="AP150" s="125"/>
      <c r="AQ150" s="490"/>
      <c r="AR150" s="522"/>
      <c r="AS150" s="519"/>
      <c r="AT150" s="204"/>
      <c r="AU150" s="614"/>
      <c r="AV150" s="617"/>
      <c r="AW150" s="620"/>
      <c r="AX150" s="620"/>
      <c r="AY150" s="19"/>
      <c r="CB150" s="29" t="str">
        <f>IFERROR(IF(COUNTIF(AF143:AF152,"")=10,"",IF(COUNTIF(E143:E152,"N/A")&gt;0,IF(AF150&gt;=CMEMM1,AF150,0),"N/A")),"")</f>
        <v>N/A</v>
      </c>
      <c r="CC150" s="4"/>
      <c r="CD150" s="4" t="str">
        <f>IFERROR(IF(COUNTIF(AF143:AF152,"")=10,"",IF(AF150="","",IF(AF150&gt;=CMEMM1,1,0))),"")</f>
        <v/>
      </c>
      <c r="CE150" s="4" t="str">
        <f>B143&amp;"-0"&amp;8</f>
        <v>P15-08</v>
      </c>
      <c r="CF150" s="4" t="str">
        <f>IFERROR(INDEX('DESEMPATE Y DISCAPACIDAD'!$D$3:$D$450,MATCH(CE150,'DESEMPATE Y DISCAPACIDAD'!$C$3:$C$450,0)),"")</f>
        <v/>
      </c>
      <c r="CG150" s="4" t="str">
        <f>IF(OR(CE150="",CF150=""),"",SUMIF(D143:D152,CF150,CD143:CD152))</f>
        <v/>
      </c>
      <c r="CH150" s="4" t="str">
        <f t="shared" si="95"/>
        <v/>
      </c>
      <c r="CI150" s="4" t="str">
        <f t="shared" si="137"/>
        <v/>
      </c>
      <c r="CJ150" s="4"/>
      <c r="CK150" s="4"/>
      <c r="CL150" s="4" t="str">
        <f t="shared" si="121"/>
        <v/>
      </c>
      <c r="CM150" s="4" t="str">
        <f t="shared" si="122"/>
        <v/>
      </c>
      <c r="CN150" s="4" t="str">
        <f t="shared" si="138"/>
        <v/>
      </c>
      <c r="CO150" s="4"/>
      <c r="CP150" s="4"/>
      <c r="CQ150" s="29" t="str">
        <f t="shared" si="110"/>
        <v/>
      </c>
      <c r="CR150" s="29" t="str">
        <f t="shared" si="139"/>
        <v/>
      </c>
      <c r="CS150" s="4"/>
    </row>
    <row r="151" spans="1:97" ht="2" customHeight="1">
      <c r="B151" s="481"/>
      <c r="C151" s="118"/>
      <c r="D151" s="126" t="str">
        <f>+IFERROR(INDEX('DESEMPATE Y DISCAPACIDAD'!$D$3:$D$450,MATCH(C151,'DESEMPATE Y DISCAPACIDAD'!$C$3:$C$450,0)),"")</f>
        <v/>
      </c>
      <c r="E151" s="127" t="str">
        <f>IFERROR(IF(D151="","",IF(VLOOKUP(D151,'DESEMPATE Y DISCAPACIDAD'!D$3:$E$450,2,FALSE)=1,"N/A",IF(VLOOKUP(D151,'DESEMPATE Y DISCAPACIDAD'!D$3:$F$450,3,FALSE)="X","SI","NO"))),"")</f>
        <v/>
      </c>
      <c r="F151" s="125"/>
      <c r="G151" s="125"/>
      <c r="H151" s="125"/>
      <c r="I151" s="128"/>
      <c r="J151" s="125"/>
      <c r="K151" s="125"/>
      <c r="L151" s="125"/>
      <c r="M151" s="125"/>
      <c r="N151" s="125" t="str">
        <f t="shared" si="132"/>
        <v/>
      </c>
      <c r="O151" s="125" t="str">
        <f t="shared" si="133"/>
        <v/>
      </c>
      <c r="P151" s="125" t="str">
        <f t="shared" si="134"/>
        <v/>
      </c>
      <c r="Q151" s="125" t="str">
        <f t="shared" si="123"/>
        <v/>
      </c>
      <c r="R151" s="68"/>
      <c r="S151" s="129"/>
      <c r="T151" s="129"/>
      <c r="U151" s="125" t="str">
        <f t="shared" si="135"/>
        <v/>
      </c>
      <c r="V151" s="117" t="str">
        <f>IF(U151=2023,1160000,IFERROR(INDEX(SMMLV!$B$2:$B$101,MATCH(U151,SMMLV!$A$2:$A$101,0)),""))</f>
        <v/>
      </c>
      <c r="W151" s="117"/>
      <c r="X151" s="125"/>
      <c r="Y151" s="125"/>
      <c r="Z151" s="474"/>
      <c r="AA151" s="475"/>
      <c r="AB151" s="476"/>
      <c r="AC151" s="125" t="str">
        <f t="shared" si="136"/>
        <v/>
      </c>
      <c r="AD151" s="117" t="str">
        <f t="shared" si="124"/>
        <v/>
      </c>
      <c r="AE151" s="117" t="s">
        <v>894</v>
      </c>
      <c r="AF151" s="117" t="str">
        <f t="shared" si="120"/>
        <v/>
      </c>
      <c r="AG151" s="470"/>
      <c r="AH151" s="470"/>
      <c r="AI151" s="125" t="str">
        <f t="shared" si="112"/>
        <v/>
      </c>
      <c r="AJ151" s="470"/>
      <c r="AK151" s="470"/>
      <c r="AL151" s="472"/>
      <c r="AM151" s="496"/>
      <c r="AN151" s="125"/>
      <c r="AO151" s="490"/>
      <c r="AP151" s="125"/>
      <c r="AQ151" s="490"/>
      <c r="AR151" s="522"/>
      <c r="AS151" s="519"/>
      <c r="AT151" s="204"/>
      <c r="AU151" s="614"/>
      <c r="AV151" s="617"/>
      <c r="AW151" s="620"/>
      <c r="AX151" s="620"/>
      <c r="AY151" s="19"/>
      <c r="CB151" s="29" t="str">
        <f>IFERROR(IF(COUNTIF(AF143:AF152,"")=10,"",IF(COUNTIF(E143:E152,"N/A")&gt;0,IF(AF151&gt;=CMEMM1,AF151,0),"N/A")),"")</f>
        <v>N/A</v>
      </c>
      <c r="CC151" s="4"/>
      <c r="CD151" s="4" t="str">
        <f>IFERROR(IF(COUNTIF(AF143:AF152,"")=10,"",IF(AF151="","",IF(AF151&gt;=CMEMM1,1,0))),"")</f>
        <v/>
      </c>
      <c r="CE151" s="4" t="str">
        <f>B143&amp;"-0"&amp;9</f>
        <v>P15-09</v>
      </c>
      <c r="CF151" s="4" t="str">
        <f>IFERROR(INDEX('DESEMPATE Y DISCAPACIDAD'!$D$3:$D$450,MATCH(CE151,'DESEMPATE Y DISCAPACIDAD'!$C$3:$C$450,0)),"")</f>
        <v/>
      </c>
      <c r="CG151" s="4" t="str">
        <f>IF(OR(CE151="",CF151=""),"",SUMIF(D143:D152,CF151,CD143:CD152))</f>
        <v/>
      </c>
      <c r="CH151" s="4" t="str">
        <f t="shared" si="95"/>
        <v/>
      </c>
      <c r="CI151" s="4" t="str">
        <f t="shared" si="137"/>
        <v/>
      </c>
      <c r="CJ151" s="4"/>
      <c r="CK151" s="4"/>
      <c r="CL151" s="4" t="str">
        <f t="shared" si="121"/>
        <v/>
      </c>
      <c r="CM151" s="4" t="str">
        <f t="shared" si="122"/>
        <v/>
      </c>
      <c r="CN151" s="4" t="str">
        <f t="shared" si="138"/>
        <v/>
      </c>
      <c r="CO151" s="4"/>
      <c r="CP151" s="4"/>
      <c r="CQ151" s="29" t="str">
        <f t="shared" si="110"/>
        <v/>
      </c>
      <c r="CR151" s="29" t="str">
        <f t="shared" si="139"/>
        <v/>
      </c>
      <c r="CS151" s="4"/>
    </row>
    <row r="152" spans="1:97" ht="2" customHeight="1" thickBot="1">
      <c r="B152" s="482"/>
      <c r="C152" s="130"/>
      <c r="D152" s="131" t="str">
        <f>+IFERROR(INDEX('DESEMPATE Y DISCAPACIDAD'!$D$3:$D$450,MATCH(C152,'DESEMPATE Y DISCAPACIDAD'!$C$3:$C$450,0)),"")</f>
        <v/>
      </c>
      <c r="E152" s="132" t="str">
        <f>IFERROR(IF(D152="","",IF(VLOOKUP(D152,'DESEMPATE Y DISCAPACIDAD'!D$3:$E$450,2,FALSE)=1,"N/A",IF(VLOOKUP(D152,'DESEMPATE Y DISCAPACIDAD'!D$3:$F$450,3,FALSE)="X","SI","NO"))),"")</f>
        <v/>
      </c>
      <c r="F152" s="133"/>
      <c r="G152" s="133"/>
      <c r="H152" s="133"/>
      <c r="I152" s="134"/>
      <c r="J152" s="133"/>
      <c r="K152" s="133"/>
      <c r="L152" s="133"/>
      <c r="M152" s="133"/>
      <c r="N152" s="133" t="str">
        <f t="shared" si="132"/>
        <v/>
      </c>
      <c r="O152" s="133" t="str">
        <f t="shared" si="133"/>
        <v/>
      </c>
      <c r="P152" s="133" t="str">
        <f t="shared" si="134"/>
        <v/>
      </c>
      <c r="Q152" s="133" t="str">
        <f t="shared" si="123"/>
        <v/>
      </c>
      <c r="R152" s="104"/>
      <c r="S152" s="135"/>
      <c r="T152" s="135"/>
      <c r="U152" s="133" t="str">
        <f t="shared" si="135"/>
        <v/>
      </c>
      <c r="V152" s="136" t="str">
        <f>IF(U152=2023,1160000,IFERROR(INDEX(SMMLV!$B$2:$B$101,MATCH(U152,SMMLV!$A$2:$A$101,0)),""))</f>
        <v/>
      </c>
      <c r="W152" s="136"/>
      <c r="X152" s="133"/>
      <c r="Y152" s="133"/>
      <c r="Z152" s="487"/>
      <c r="AA152" s="488"/>
      <c r="AB152" s="489"/>
      <c r="AC152" s="133" t="str">
        <f t="shared" si="136"/>
        <v/>
      </c>
      <c r="AD152" s="136" t="str">
        <f t="shared" si="124"/>
        <v/>
      </c>
      <c r="AE152" s="136" t="s">
        <v>894</v>
      </c>
      <c r="AF152" s="136" t="str">
        <f t="shared" si="120"/>
        <v/>
      </c>
      <c r="AG152" s="471"/>
      <c r="AH152" s="471"/>
      <c r="AI152" s="133" t="str">
        <f t="shared" si="112"/>
        <v/>
      </c>
      <c r="AJ152" s="471"/>
      <c r="AK152" s="471"/>
      <c r="AL152" s="473"/>
      <c r="AM152" s="497"/>
      <c r="AN152" s="133"/>
      <c r="AO152" s="491"/>
      <c r="AP152" s="133"/>
      <c r="AQ152" s="491"/>
      <c r="AR152" s="523"/>
      <c r="AS152" s="520"/>
      <c r="AT152" s="206"/>
      <c r="AU152" s="615"/>
      <c r="AV152" s="618"/>
      <c r="AW152" s="621"/>
      <c r="AX152" s="621"/>
      <c r="AY152" s="19"/>
      <c r="CB152" s="29" t="str">
        <f>IFERROR(IF(COUNTIF(AF143:AF152,"")=10,"",IF(COUNTIF(E143:E152,"N/A")&gt;0,IF(AF152&gt;=CMEMM1,AF152,0),"N/A")),"")</f>
        <v>N/A</v>
      </c>
      <c r="CC152" s="4"/>
      <c r="CD152" s="4" t="str">
        <f>IFERROR(IF(COUNTIF(AF143:AF152,"")=10,"",IF(AF152="","",IF(AF152&gt;=CMEMM1,1,0))),"")</f>
        <v/>
      </c>
      <c r="CE152" s="4" t="str">
        <f>B143&amp;"-"&amp;10</f>
        <v>P15-10</v>
      </c>
      <c r="CF152" s="4" t="str">
        <f>IFERROR(INDEX('DESEMPATE Y DISCAPACIDAD'!$D$3:$D$450,MATCH(CE152,'DESEMPATE Y DISCAPACIDAD'!$C$3:$C$450,0)),"")</f>
        <v/>
      </c>
      <c r="CG152" s="4" t="str">
        <f>IF(OR(CE152="",CF152=""),"",SUMIF(D143:D152,CF152,CD143:CD152))</f>
        <v/>
      </c>
      <c r="CH152" s="4" t="str">
        <f t="shared" si="95"/>
        <v/>
      </c>
      <c r="CI152" s="4" t="str">
        <f t="shared" si="137"/>
        <v/>
      </c>
      <c r="CJ152" s="4"/>
      <c r="CK152" s="4"/>
      <c r="CL152" s="4" t="str">
        <f t="shared" si="121"/>
        <v/>
      </c>
      <c r="CM152" s="4" t="str">
        <f t="shared" si="122"/>
        <v/>
      </c>
      <c r="CN152" s="4" t="str">
        <f t="shared" si="138"/>
        <v/>
      </c>
      <c r="CO152" s="4"/>
      <c r="CP152" s="4"/>
      <c r="CQ152" s="29" t="str">
        <f t="shared" si="110"/>
        <v/>
      </c>
      <c r="CR152" s="29" t="str">
        <f t="shared" si="139"/>
        <v/>
      </c>
      <c r="CS152" s="4"/>
    </row>
    <row r="153" spans="1:97" ht="35" customHeight="1">
      <c r="A153" s="4" t="str">
        <f>"A"&amp;B153</f>
        <v>AP16</v>
      </c>
      <c r="B153" s="480" t="s">
        <v>137</v>
      </c>
      <c r="C153" s="108" t="s">
        <v>318</v>
      </c>
      <c r="D153" s="119" t="str">
        <f>+IFERROR(INDEX('DESEMPATE Y DISCAPACIDAD'!$D$3:$D$450,MATCH(C153,'DESEMPATE Y DISCAPACIDAD'!$C$3:$C$450,0)),"")</f>
        <v>MIRS LATINOAMERICA S.A.S</v>
      </c>
      <c r="E153" s="120" t="str">
        <f>IFERROR(IF(D153="","",IF(VLOOKUP(D153,'DESEMPATE Y DISCAPACIDAD'!D$3:$E$450,2,FALSE)=1,"N/A",IF(VLOOKUP(D153,'DESEMPATE Y DISCAPACIDAD'!D$3:$F$450,3,FALSE)="X","SI","NO"))),"")</f>
        <v>NO</v>
      </c>
      <c r="F153" s="125" t="s">
        <v>1014</v>
      </c>
      <c r="G153" s="125" t="s">
        <v>660</v>
      </c>
      <c r="H153" s="121" t="s">
        <v>1015</v>
      </c>
      <c r="I153" s="122" t="s">
        <v>1016</v>
      </c>
      <c r="J153" s="121" t="s">
        <v>74</v>
      </c>
      <c r="K153" s="121" t="s">
        <v>74</v>
      </c>
      <c r="L153" s="121" t="s">
        <v>75</v>
      </c>
      <c r="M153" s="121" t="s">
        <v>74</v>
      </c>
      <c r="N153" s="121" t="str">
        <f>IFERROR(IF(OR(J153="",K153=""),"",IF(J153="NO","NO",K153)),"")</f>
        <v>SI</v>
      </c>
      <c r="O153" s="121" t="str">
        <f>IFERROR(IF(OR(J153="",L153=""),"",IF(J153="NO","NO",L153)),"")</f>
        <v>NO</v>
      </c>
      <c r="P153" s="121" t="str">
        <f>IFERROR(IF(OR(J153="",M153=""),"",IF(J153="NO","NO",M153)),"")</f>
        <v>SI</v>
      </c>
      <c r="Q153" s="121" t="str">
        <f t="shared" si="123"/>
        <v>SI</v>
      </c>
      <c r="R153" s="103">
        <v>0.9</v>
      </c>
      <c r="S153" s="123">
        <v>43445</v>
      </c>
      <c r="T153" s="123">
        <v>44254</v>
      </c>
      <c r="U153" s="121">
        <f>IFERROR(IF(T153="","",YEAR(T153)),"")</f>
        <v>2021</v>
      </c>
      <c r="V153" s="124">
        <f>IF(U153=2023,1160000,IFERROR(INDEX(SMMLV!$B$2:$B$101,MATCH(U153,SMMLV!$A$2:$A$101,0)),""))</f>
        <v>908526</v>
      </c>
      <c r="W153" s="124" t="s">
        <v>670</v>
      </c>
      <c r="X153" s="121" t="s">
        <v>671</v>
      </c>
      <c r="Y153" s="121">
        <v>56</v>
      </c>
      <c r="Z153" s="483" t="s">
        <v>74</v>
      </c>
      <c r="AA153" s="484"/>
      <c r="AB153" s="485"/>
      <c r="AC153" s="121" t="str">
        <f>IFERROR(IF(Y153="","",IF(ISNUMBER(Y153),IF(COUNTIF(Z153,"SI")&gt;0,"SI","NO"),Y153)),"")</f>
        <v>SI</v>
      </c>
      <c r="AD153" s="124" t="str">
        <f t="shared" si="124"/>
        <v>N/A</v>
      </c>
      <c r="AE153" s="124">
        <v>5144.59</v>
      </c>
      <c r="AF153" s="124">
        <f t="shared" ref="AF153:AF192" si="140">IFERROR(IF(OR(J153="",J153="NO"),"",IF(AND(J153="SI",Q153="SI"),IFERROR(AE153*R153,""),"")),"")</f>
        <v>4630.1310000000003</v>
      </c>
      <c r="AG153" s="486" t="str">
        <f>IFERROR(IF(COUNTIF(AF153:AF162,"")=10,"",IF(COUNTIF(E153:E162,"N/A")&gt;0,IF(SUM(CB153:CB162)&gt;=CMEM1,"CUMPLE","NO CUMPLE"),IF(SUM(AF153:AF162)&gt;=CMEM1,"CUMPLE","NO CUMPLE"))),"")</f>
        <v>CUMPLE</v>
      </c>
      <c r="AH153" s="486" t="str">
        <f>IF(COUNTIF(AF153:AF162,"")=10,"",IF(SUMIF(C153:C162,C153,AF153:AF162)&gt;=CMLM1,"CUMPLE",IF(SUMIF(C153:C162,C154,AF153:AF162)&gt;=CMLM1,"CUMPLE",IF(SUMIF(C153:C162,C155,AF153:AF162)&gt;=CMLM1,"CUMPLE",IF(SUMIF(C153:C162,C156,AF153:AF162)&gt;=CMLM1,"CUMPLE",IF(SUMIF(C153:C162,C157,AF153:AF162)&gt;=CMLM1,"CUMPLE",IF(SUMIF(C153:C162,C158,AF153:AF162)&gt;=CMLM1,"CUMPLE",IF(SUMIF(C153:C162,C159,AF153:AF162)&gt;=CMLM1,"CUMPLE",IF(SUMIF(C153:C162,C160,AF153:AF162)&gt;=CMLM1,"CUMPLE",IF(SUMIF(C153:C162,C161,AF153:AF162)&gt;=CMLM1,"CUMPLE",IF(SUMIF(C153:C162,C162,AF153:AF162)&gt;=CMLM1,"CUMPLE","NO CUMPLE")))))))))))</f>
        <v>CUMPLE</v>
      </c>
      <c r="AI153" s="121" t="str">
        <f t="shared" ref="AI153:AI192" si="141">IFERROR(IF(AF153="","",IF(AF153&gt;=CMEMM1,"CUMPLE","NO CUMPLE")),"")</f>
        <v>CUMPLE</v>
      </c>
      <c r="AJ153" s="469" t="str">
        <f>IFERROR(IF(COUNTIF(AF153:AF162,"")=10,"",IF(COUNTIF(E153:E162,"N/A")&gt;0,"N/A",CJ153)),"")</f>
        <v>CUMPLE</v>
      </c>
      <c r="AK153" s="469" t="str">
        <f>IFERROR(IF(AND(COUNTIF(N153:N162,"SI")&gt;=1,COUNTIF(O153:O162,"SI")&gt;=1,COUNTIF(P153:P162,"SI")&gt;=1,COUNTIF(J153:J162,"SI")&lt;=10,CO153="CUMPLE"),"CUMPLE","NO CUMPLE"),"")</f>
        <v>CUMPLE</v>
      </c>
      <c r="AL153" s="472" t="s">
        <v>77</v>
      </c>
      <c r="AM153" s="495">
        <f>IFERROR(IF(B153&lt;&gt;"",IF(VLOOKUP(B153,'DESEMPATE Y DISCAPACIDAD'!$A$3:$Q$450,10,FALSE)="","",VLOOKUP(B153,'DESEMPATE Y DISCAPACIDAD'!$A$3:$Q$450,10,FALSE)+6),""),"")</f>
        <v>8</v>
      </c>
      <c r="AN153" s="121" t="s">
        <v>75</v>
      </c>
      <c r="AO153" s="490" t="s">
        <v>74</v>
      </c>
      <c r="AP153" s="121" t="s">
        <v>74</v>
      </c>
      <c r="AQ153" s="490">
        <f>IFERROR(IF(COUNTIF(AP153:AP162,"")=10,"",IF(AO153="NO",0,COUNTIF(AP153:AP162,"SI"))),"")</f>
        <v>3</v>
      </c>
      <c r="AR153" s="521">
        <f>IFERROR(IF(COUNTIF(AF153:AF162,"")=10,"",IF(AO153="NO",0,IF(COUNTIF(E153:E162,"N/A")&gt;0,SUM(CQ153:CQ162),SUM(CR153:CR162)))),"")</f>
        <v>51684.593000000001</v>
      </c>
      <c r="AS153" s="518">
        <f>IFERROR(IF(OR(COUNTIF(AF153:AF162,"")=10,AQ153="",AR153=""),"",IF(AO153="NO",0,AR153/AQ153)),"")</f>
        <v>17228.197666666667</v>
      </c>
      <c r="AT153" s="207"/>
      <c r="AU153" s="613" t="s">
        <v>937</v>
      </c>
      <c r="AV153" s="636" t="s">
        <v>931</v>
      </c>
      <c r="AW153" s="619" t="s">
        <v>1357</v>
      </c>
      <c r="AX153" s="619" t="s">
        <v>1357</v>
      </c>
      <c r="AY153" s="19"/>
      <c r="CB153" s="29" t="str">
        <f>IFERROR(IF(COUNTIF(AF153:AF162,"")=10,"",IF(COUNTIF(E153:E162,"N/A")&gt;0,IF(AF153&gt;=CMEMM1,AF153,0),"N/A")),"")</f>
        <v>N/A</v>
      </c>
      <c r="CC153" s="4"/>
      <c r="CD153" s="4">
        <f>IFERROR(IF(COUNTIF(AF153:AF162,"")=10,"",IF(AF153="","",IF(AF153&gt;=CMEMM1,1,0))),"")</f>
        <v>1</v>
      </c>
      <c r="CE153" s="4" t="str">
        <f>B153&amp;"-0"&amp;1</f>
        <v>P16-01</v>
      </c>
      <c r="CF153" s="4" t="str">
        <f>IFERROR(INDEX('DESEMPATE Y DISCAPACIDAD'!$D$3:$D$450,MATCH(CE153,'DESEMPATE Y DISCAPACIDAD'!$C$3:$C$450,0)),"")</f>
        <v>MIRS LATINOAMERICA S.A.S</v>
      </c>
      <c r="CG153" s="4">
        <f>IF(OR(CE153="",CF153=""),"",SUMIF(D153:D162,CF153,CD153:CD162))</f>
        <v>1</v>
      </c>
      <c r="CH153" s="4" t="str">
        <f t="shared" si="95"/>
        <v>CUMPLE</v>
      </c>
      <c r="CI153" s="4">
        <f>IF(CF153="","",IF(ISTEXT(CF153),1,0))</f>
        <v>1</v>
      </c>
      <c r="CJ153" s="4" t="str">
        <f>IF(OR(CE153="",CF153="",CG153="",CH153="",CI153=""),"",IF(COUNTIF(CH153:CH162,"CUMPLE")=COUNTIF(CI153:CI162,1),"CUMPLE","NO CUMPLE"))</f>
        <v>CUMPLE</v>
      </c>
      <c r="CK153" s="4"/>
      <c r="CL153" s="4">
        <f t="shared" si="121"/>
        <v>1</v>
      </c>
      <c r="CM153" s="4">
        <f t="shared" si="122"/>
        <v>0</v>
      </c>
      <c r="CN153" s="4" t="str">
        <f>IF(OR(CL153="",CM153=""),"",IF(AND(CL153=0,CM153=0),"N/A",IF(AND(CL153=1,CM153=0),"COND. A",IF(AND(CL153=0,CM153=1),"COND. B",IF(AND(CL153=1,CM153=1),"COND. A Y B","")))))</f>
        <v>COND. A</v>
      </c>
      <c r="CO153" s="4" t="str">
        <f>IF(COUNTIF(CN153:CN162,"N/A")=10,"NO CUMPLE",IF(COUNTIF(CN153:CN162,"COND. A Y B")&gt;1,"CUMPLE",IF(AND(COUNTIF(CN153:CN162,"COND. A")&gt;0,COUNTIF(CN153:CN162,"COND. B")&gt;0),"CUMPLE",IF(AND(COUNTIF(CN153:CN162,"COND. A Y B")&gt;0,COUNTIF(CN153:CN162,"COND. A")&gt;0),"CUMPLE",IF(AND(COUNTIF(CN153:CN162,"COND. A Y B")&gt;0,COUNTIF(CN153:CN162,"COND. B")&gt;0),"CUMPLE","NO CUMPLE")))))</f>
        <v>CUMPLE</v>
      </c>
      <c r="CP153" s="4"/>
      <c r="CQ153" s="29" t="str">
        <f t="shared" si="110"/>
        <v>N/A</v>
      </c>
      <c r="CR153" s="29">
        <f t="shared" si="139"/>
        <v>4630.1310000000003</v>
      </c>
      <c r="CS153" s="4"/>
    </row>
    <row r="154" spans="1:97" ht="35" customHeight="1">
      <c r="B154" s="481"/>
      <c r="C154" s="118" t="s">
        <v>318</v>
      </c>
      <c r="D154" s="119" t="str">
        <f>+IFERROR(INDEX('DESEMPATE Y DISCAPACIDAD'!$D$3:$D$450,MATCH(C154,'DESEMPATE Y DISCAPACIDAD'!$C$3:$C$450,0)),"")</f>
        <v>MIRS LATINOAMERICA S.A.S</v>
      </c>
      <c r="E154" s="120" t="str">
        <f>IFERROR(IF(D154="","",IF(VLOOKUP(D154,'DESEMPATE Y DISCAPACIDAD'!D$3:$E$450,2,FALSE)=1,"N/A",IF(VLOOKUP(D154,'DESEMPATE Y DISCAPACIDAD'!D$3:$F$450,3,FALSE)="X","SI","NO"))),"")</f>
        <v>NO</v>
      </c>
      <c r="F154" s="125" t="s">
        <v>687</v>
      </c>
      <c r="G154" s="125" t="s">
        <v>660</v>
      </c>
      <c r="H154" s="121" t="s">
        <v>1017</v>
      </c>
      <c r="I154" s="122" t="s">
        <v>1018</v>
      </c>
      <c r="J154" s="121" t="s">
        <v>74</v>
      </c>
      <c r="K154" s="121" t="s">
        <v>74</v>
      </c>
      <c r="L154" s="121" t="s">
        <v>75</v>
      </c>
      <c r="M154" s="121" t="s">
        <v>74</v>
      </c>
      <c r="N154" s="121" t="str">
        <f t="shared" ref="N154:N162" si="142">IFERROR(IF(OR(J154="",K154=""),"",IF(J154="NO","NO",K154)),"")</f>
        <v>SI</v>
      </c>
      <c r="O154" s="121" t="str">
        <f>IFERROR(IF(OR(J154="",L154=""),"",IF(J154="NO","NO",L154)),"")</f>
        <v>NO</v>
      </c>
      <c r="P154" s="121" t="str">
        <f t="shared" ref="P154:P162" si="143">IFERROR(IF(OR(J154="",M154=""),"",IF(J154="NO","NO",M154)),"")</f>
        <v>SI</v>
      </c>
      <c r="Q154" s="121" t="str">
        <f t="shared" si="123"/>
        <v>SI</v>
      </c>
      <c r="R154" s="103">
        <v>0.4</v>
      </c>
      <c r="S154" s="123">
        <v>44547</v>
      </c>
      <c r="T154" s="123">
        <v>45489</v>
      </c>
      <c r="U154" s="121"/>
      <c r="V154" s="124" t="str">
        <f>IF(U154=2023,1160000,IFERROR(INDEX(SMMLV!$B$2:$B$101,MATCH(U154,SMMLV!$A$2:$A$101,0)),""))</f>
        <v/>
      </c>
      <c r="W154" s="124" t="s">
        <v>670</v>
      </c>
      <c r="X154" s="121" t="s">
        <v>671</v>
      </c>
      <c r="Y154" s="125">
        <v>78</v>
      </c>
      <c r="Z154" s="474" t="s">
        <v>74</v>
      </c>
      <c r="AA154" s="475"/>
      <c r="AB154" s="476"/>
      <c r="AC154" s="125" t="str">
        <f t="shared" ref="AC154:AC162" si="144">IFERROR(IF(Y154="","",IF(ISNUMBER(Y154),IF(COUNTIF(Z154,"SI")&gt;0,"SI","NO"),Y154)),"")</f>
        <v>SI</v>
      </c>
      <c r="AD154" s="117" t="str">
        <f t="shared" si="124"/>
        <v>N/A</v>
      </c>
      <c r="AE154" s="117">
        <v>5230.7299999999996</v>
      </c>
      <c r="AF154" s="117">
        <f t="shared" si="140"/>
        <v>2092.2919999999999</v>
      </c>
      <c r="AG154" s="470"/>
      <c r="AH154" s="470"/>
      <c r="AI154" s="125" t="str">
        <f t="shared" si="141"/>
        <v>NO CUMPLE</v>
      </c>
      <c r="AJ154" s="470"/>
      <c r="AK154" s="470"/>
      <c r="AL154" s="472"/>
      <c r="AM154" s="496"/>
      <c r="AN154" s="125" t="s">
        <v>75</v>
      </c>
      <c r="AO154" s="490"/>
      <c r="AP154" s="125" t="s">
        <v>74</v>
      </c>
      <c r="AQ154" s="490"/>
      <c r="AR154" s="522"/>
      <c r="AS154" s="519"/>
      <c r="AT154" s="204"/>
      <c r="AU154" s="614"/>
      <c r="AV154" s="637"/>
      <c r="AW154" s="620"/>
      <c r="AX154" s="620"/>
      <c r="AY154" s="19"/>
      <c r="CB154" s="29" t="str">
        <f>IFERROR(IF(COUNTIF(AF153:AF162,"")=10,"",IF(COUNTIF(E153:E162,"N/A")&gt;0,IF(AF154&gt;=CMEMM1,AF154,0),"N/A")),"")</f>
        <v>N/A</v>
      </c>
      <c r="CC154" s="4"/>
      <c r="CD154" s="4">
        <f>IFERROR(IF(COUNTIF(AF153:AF162,"")=10,"",IF(AF154="","",IF(AF154&gt;=CMEMM1,1,0))),"")</f>
        <v>0</v>
      </c>
      <c r="CE154" s="4" t="str">
        <f>B153&amp;"-0"&amp;2</f>
        <v>P16-02</v>
      </c>
      <c r="CF154" s="4" t="str">
        <f>IFERROR(INDEX('DESEMPATE Y DISCAPACIDAD'!$D$3:$D$450,MATCH(CE154,'DESEMPATE Y DISCAPACIDAD'!$C$3:$C$450,0)),"")</f>
        <v>CONSTRUCTORA A&amp;C SOCIEDAD ANONIMA</v>
      </c>
      <c r="CG154" s="4">
        <f>IF(OR(CE154="",CF154=""),"",SUMIF(D153:D162,CF154,CD153:CD162))</f>
        <v>1</v>
      </c>
      <c r="CH154" s="4" t="str">
        <f t="shared" si="95"/>
        <v>CUMPLE</v>
      </c>
      <c r="CI154" s="4">
        <f t="shared" ref="CI154:CI162" si="145">IF(CF154="","",IF(ISTEXT(CF154),1,0))</f>
        <v>1</v>
      </c>
      <c r="CJ154" s="4"/>
      <c r="CK154" s="4"/>
      <c r="CL154" s="4">
        <f t="shared" si="121"/>
        <v>1</v>
      </c>
      <c r="CM154" s="4">
        <f t="shared" si="122"/>
        <v>0</v>
      </c>
      <c r="CN154" s="4" t="str">
        <f t="shared" ref="CN154:CN162" si="146">IF(OR(CL154="",CM154=""),"",IF(AND(CL154=0,CM154=0),"N/A",IF(AND(CL154=1,CM154=0),"COND. A",IF(AND(CL154=0,CM154=1),"COND. B",IF(AND(CL154=1,CM154=1),"COND. A Y B","")))))</f>
        <v>COND. A</v>
      </c>
      <c r="CO154" s="4"/>
      <c r="CP154" s="4"/>
      <c r="CQ154" s="29" t="str">
        <f t="shared" si="110"/>
        <v>N/A</v>
      </c>
      <c r="CR154" s="29">
        <f t="shared" si="139"/>
        <v>2092.2919999999999</v>
      </c>
      <c r="CS154" s="4"/>
    </row>
    <row r="155" spans="1:97" ht="35" customHeight="1">
      <c r="B155" s="481"/>
      <c r="C155" s="118" t="s">
        <v>319</v>
      </c>
      <c r="D155" s="126" t="str">
        <f>+IFERROR(INDEX('DESEMPATE Y DISCAPACIDAD'!$D$3:$D$450,MATCH(C155,'DESEMPATE Y DISCAPACIDAD'!$C$3:$C$450,0)),"")</f>
        <v>CONSTRUCTORA A&amp;C SOCIEDAD ANONIMA</v>
      </c>
      <c r="E155" s="127" t="str">
        <f>IFERROR(IF(D155="","",IF(VLOOKUP(D155,'DESEMPATE Y DISCAPACIDAD'!D$3:$E$450,2,FALSE)=1,"N/A",IF(VLOOKUP(D155,'DESEMPATE Y DISCAPACIDAD'!D$3:$F$450,3,FALSE)="X","SI","NO"))),"")</f>
        <v>NO</v>
      </c>
      <c r="F155" s="179" t="s">
        <v>940</v>
      </c>
      <c r="G155" s="121" t="s">
        <v>1019</v>
      </c>
      <c r="H155" s="125">
        <v>8000047</v>
      </c>
      <c r="I155" s="128" t="s">
        <v>1020</v>
      </c>
      <c r="J155" s="125" t="s">
        <v>74</v>
      </c>
      <c r="K155" s="125" t="s">
        <v>75</v>
      </c>
      <c r="L155" s="125" t="s">
        <v>74</v>
      </c>
      <c r="M155" s="125" t="s">
        <v>75</v>
      </c>
      <c r="N155" s="125" t="str">
        <f t="shared" si="142"/>
        <v>NO</v>
      </c>
      <c r="O155" s="125" t="str">
        <f>IFERROR(IF(OR(J155="",L155=""),"",IF(J155="NO","NO",L155)),"")</f>
        <v>SI</v>
      </c>
      <c r="P155" s="125" t="str">
        <f t="shared" si="143"/>
        <v>NO</v>
      </c>
      <c r="Q155" s="125" t="str">
        <f t="shared" si="123"/>
        <v>SI</v>
      </c>
      <c r="R155" s="68">
        <v>0.5</v>
      </c>
      <c r="S155" s="129">
        <v>39595</v>
      </c>
      <c r="T155" s="129">
        <v>43555</v>
      </c>
      <c r="U155" s="125">
        <f t="shared" ref="U155:U162" si="147">IFERROR(IF(T155="","",YEAR(T155)),"")</f>
        <v>2019</v>
      </c>
      <c r="V155" s="117">
        <f>IF(U155=2023,1160000,IFERROR(INDEX(SMMLV!$B$2:$B$101,MATCH(U155,SMMLV!$A$2:$A$101,0)),""))</f>
        <v>828116</v>
      </c>
      <c r="W155" s="358" t="s">
        <v>670</v>
      </c>
      <c r="X155" s="121" t="s">
        <v>671</v>
      </c>
      <c r="Y155" s="125">
        <v>116</v>
      </c>
      <c r="Z155" s="474" t="s">
        <v>74</v>
      </c>
      <c r="AA155" s="475"/>
      <c r="AB155" s="476"/>
      <c r="AC155" s="125" t="str">
        <f t="shared" si="144"/>
        <v>SI</v>
      </c>
      <c r="AD155" s="117" t="str">
        <f t="shared" si="124"/>
        <v>N/A</v>
      </c>
      <c r="AE155" s="117">
        <v>89924.34</v>
      </c>
      <c r="AF155" s="117">
        <f t="shared" si="140"/>
        <v>44962.17</v>
      </c>
      <c r="AG155" s="470"/>
      <c r="AH155" s="470"/>
      <c r="AI155" s="125" t="str">
        <f t="shared" si="141"/>
        <v>CUMPLE</v>
      </c>
      <c r="AJ155" s="470"/>
      <c r="AK155" s="470"/>
      <c r="AL155" s="472"/>
      <c r="AM155" s="496"/>
      <c r="AN155" s="125" t="s">
        <v>75</v>
      </c>
      <c r="AO155" s="490"/>
      <c r="AP155" s="125" t="s">
        <v>74</v>
      </c>
      <c r="AQ155" s="490"/>
      <c r="AR155" s="522"/>
      <c r="AS155" s="519"/>
      <c r="AT155" s="204"/>
      <c r="AU155" s="614"/>
      <c r="AV155" s="637"/>
      <c r="AW155" s="620"/>
      <c r="AX155" s="620"/>
      <c r="AY155" s="19"/>
      <c r="CB155" s="29" t="str">
        <f>IFERROR(IF(COUNTIF(AF153:AF162,"")=10,"",IF(COUNTIF(E153:E162,"N/A")&gt;0,IF(AF155&gt;=CMEMM1,AF155,0),"N/A")),"")</f>
        <v>N/A</v>
      </c>
      <c r="CC155" s="4"/>
      <c r="CD155" s="4">
        <f>IFERROR(IF(COUNTIF(AF153:AF162,"")=10,"",IF(AF155="","",IF(AF155&gt;=CMEMM1,1,0))),"")</f>
        <v>1</v>
      </c>
      <c r="CE155" s="4" t="str">
        <f>B153&amp;"-0"&amp;3</f>
        <v>P16-03</v>
      </c>
      <c r="CF155" s="4">
        <f>IFERROR(INDEX('DESEMPATE Y DISCAPACIDAD'!$D$3:$D$450,MATCH(CE155,'DESEMPATE Y DISCAPACIDAD'!$C$3:$C$450,0)),"")</f>
        <v>0</v>
      </c>
      <c r="CG155" s="4">
        <f>IF(OR(CE155="",CF155=""),"",SUMIF(D153:D162,CF155,CD153:CD162))</f>
        <v>0</v>
      </c>
      <c r="CH155" s="4" t="str">
        <f t="shared" si="95"/>
        <v>NO CUMPLE</v>
      </c>
      <c r="CI155" s="4">
        <f t="shared" si="145"/>
        <v>0</v>
      </c>
      <c r="CJ155" s="4"/>
      <c r="CK155" s="4"/>
      <c r="CL155" s="4">
        <f t="shared" si="121"/>
        <v>0</v>
      </c>
      <c r="CM155" s="4">
        <f t="shared" si="122"/>
        <v>1</v>
      </c>
      <c r="CN155" s="4" t="str">
        <f t="shared" si="146"/>
        <v>COND. B</v>
      </c>
      <c r="CO155" s="4"/>
      <c r="CP155" s="4"/>
      <c r="CQ155" s="29" t="str">
        <f t="shared" si="110"/>
        <v>N/A</v>
      </c>
      <c r="CR155" s="29">
        <f t="shared" si="139"/>
        <v>44962.17</v>
      </c>
      <c r="CS155" s="4"/>
    </row>
    <row r="156" spans="1:97" ht="2" customHeight="1">
      <c r="B156" s="481"/>
      <c r="C156" s="118"/>
      <c r="D156" s="126" t="str">
        <f>+IFERROR(INDEX('DESEMPATE Y DISCAPACIDAD'!$D$3:$D$450,MATCH(C156,'DESEMPATE Y DISCAPACIDAD'!$C$3:$C$450,0)),"")</f>
        <v/>
      </c>
      <c r="E156" s="127" t="str">
        <f>IFERROR(IF(D156="","",IF(VLOOKUP(D156,'DESEMPATE Y DISCAPACIDAD'!D$3:$E$450,2,FALSE)=1,"N/A",IF(VLOOKUP(D156,'DESEMPATE Y DISCAPACIDAD'!D$3:$F$450,3,FALSE)="X","SI","NO"))),"")</f>
        <v/>
      </c>
      <c r="F156" s="141"/>
      <c r="G156" s="125"/>
      <c r="H156" s="125"/>
      <c r="I156" s="128"/>
      <c r="J156" s="125"/>
      <c r="K156" s="125"/>
      <c r="L156" s="125"/>
      <c r="M156" s="125"/>
      <c r="N156" s="125" t="str">
        <f t="shared" si="142"/>
        <v/>
      </c>
      <c r="O156" s="125" t="str">
        <f>IFERROR(IF(OR(J156="",L156=""),"",IF(J156="NO","NO",L156)),"")</f>
        <v/>
      </c>
      <c r="P156" s="125" t="str">
        <f t="shared" si="143"/>
        <v/>
      </c>
      <c r="Q156" s="125" t="str">
        <f t="shared" si="123"/>
        <v/>
      </c>
      <c r="R156" s="68"/>
      <c r="S156" s="129"/>
      <c r="T156" s="129"/>
      <c r="U156" s="125" t="str">
        <f t="shared" si="147"/>
        <v/>
      </c>
      <c r="V156" s="117" t="str">
        <f>IF(U156=2023,1160000,IFERROR(INDEX(SMMLV!$B$2:$B$101,MATCH(U156,SMMLV!$A$2:$A$101,0)),""))</f>
        <v/>
      </c>
      <c r="W156" s="117"/>
      <c r="X156" s="125"/>
      <c r="Y156" s="125"/>
      <c r="Z156" s="474"/>
      <c r="AA156" s="475"/>
      <c r="AB156" s="476"/>
      <c r="AC156" s="125" t="str">
        <f t="shared" si="144"/>
        <v/>
      </c>
      <c r="AD156" s="117" t="str">
        <f t="shared" si="124"/>
        <v/>
      </c>
      <c r="AE156" s="117" t="s">
        <v>894</v>
      </c>
      <c r="AF156" s="117" t="str">
        <f t="shared" si="140"/>
        <v/>
      </c>
      <c r="AG156" s="470"/>
      <c r="AH156" s="470"/>
      <c r="AI156" s="125" t="str">
        <f t="shared" si="141"/>
        <v/>
      </c>
      <c r="AJ156" s="470"/>
      <c r="AK156" s="470"/>
      <c r="AL156" s="472"/>
      <c r="AM156" s="496"/>
      <c r="AN156" s="125"/>
      <c r="AO156" s="490"/>
      <c r="AP156" s="125"/>
      <c r="AQ156" s="490"/>
      <c r="AR156" s="522"/>
      <c r="AS156" s="519"/>
      <c r="AT156" s="204"/>
      <c r="AU156" s="614"/>
      <c r="AV156" s="637"/>
      <c r="AW156" s="620"/>
      <c r="AX156" s="620"/>
      <c r="AY156" s="19"/>
      <c r="CB156" s="29" t="str">
        <f>IFERROR(IF(COUNTIF(AF153:AF162,"")=10,"",IF(COUNTIF(E153:E162,"N/A")&gt;0,IF(AF156&gt;=CMEMM1,AF156,0),"N/A")),"")</f>
        <v>N/A</v>
      </c>
      <c r="CC156" s="4"/>
      <c r="CD156" s="4" t="str">
        <f>IFERROR(IF(COUNTIF(AF153:AF162,"")=10,"",IF(AF156="","",IF(AF156&gt;=CMEMM1,1,0))),"")</f>
        <v/>
      </c>
      <c r="CE156" s="4" t="str">
        <f>B153&amp;"-0"&amp;4</f>
        <v>P16-04</v>
      </c>
      <c r="CF156" s="4">
        <f>IFERROR(INDEX('DESEMPATE Y DISCAPACIDAD'!$D$3:$D$450,MATCH(CE156,'DESEMPATE Y DISCAPACIDAD'!$C$3:$C$450,0)),"")</f>
        <v>0</v>
      </c>
      <c r="CG156" s="4">
        <f>IF(OR(CE156="",CF156=""),"",SUMIF(D153:D162,CF156,CD153:CD162))</f>
        <v>0</v>
      </c>
      <c r="CH156" s="4" t="str">
        <f t="shared" si="95"/>
        <v>NO CUMPLE</v>
      </c>
      <c r="CI156" s="4">
        <f t="shared" si="145"/>
        <v>0</v>
      </c>
      <c r="CJ156" s="4"/>
      <c r="CK156" s="4"/>
      <c r="CL156" s="4" t="str">
        <f t="shared" si="121"/>
        <v/>
      </c>
      <c r="CM156" s="4" t="str">
        <f t="shared" si="122"/>
        <v/>
      </c>
      <c r="CN156" s="4" t="str">
        <f t="shared" si="146"/>
        <v/>
      </c>
      <c r="CO156" s="4"/>
      <c r="CP156" s="4"/>
      <c r="CQ156" s="29" t="str">
        <f t="shared" si="110"/>
        <v/>
      </c>
      <c r="CR156" s="29" t="str">
        <f t="shared" si="139"/>
        <v/>
      </c>
      <c r="CS156" s="4"/>
    </row>
    <row r="157" spans="1:97" ht="2" customHeight="1">
      <c r="B157" s="481"/>
      <c r="C157" s="118"/>
      <c r="D157" s="126" t="str">
        <f>+IFERROR(INDEX('DESEMPATE Y DISCAPACIDAD'!$D$3:$D$450,MATCH(C157,'DESEMPATE Y DISCAPACIDAD'!$C$3:$C$450,0)),"")</f>
        <v/>
      </c>
      <c r="E157" s="127" t="str">
        <f>IFERROR(IF(D157="","",IF(VLOOKUP(D157,'DESEMPATE Y DISCAPACIDAD'!D$3:$E$450,2,FALSE)=1,"N/A",IF(VLOOKUP(D157,'DESEMPATE Y DISCAPACIDAD'!D$3:$F$450,3,FALSE)="X","SI","NO"))),"")</f>
        <v/>
      </c>
      <c r="F157" s="125"/>
      <c r="G157" s="125"/>
      <c r="H157" s="125"/>
      <c r="I157" s="128"/>
      <c r="J157" s="125"/>
      <c r="K157" s="125"/>
      <c r="L157" s="125"/>
      <c r="M157" s="125"/>
      <c r="N157" s="125" t="str">
        <f t="shared" si="142"/>
        <v/>
      </c>
      <c r="O157" s="125" t="str">
        <f t="shared" ref="O157:O162" si="148">IFERROR(IF(OR(J157="",L157=""),"",IF(J157="NO","NO",L157)),"")</f>
        <v/>
      </c>
      <c r="P157" s="125" t="str">
        <f t="shared" si="143"/>
        <v/>
      </c>
      <c r="Q157" s="125" t="str">
        <f t="shared" si="123"/>
        <v/>
      </c>
      <c r="R157" s="68"/>
      <c r="S157" s="129"/>
      <c r="T157" s="129"/>
      <c r="U157" s="125" t="str">
        <f t="shared" si="147"/>
        <v/>
      </c>
      <c r="V157" s="117" t="str">
        <f>IF(U157=2023,1160000,IFERROR(INDEX(SMMLV!$B$2:$B$101,MATCH(U157,SMMLV!$A$2:$A$101,0)),""))</f>
        <v/>
      </c>
      <c r="W157" s="117"/>
      <c r="X157" s="125"/>
      <c r="Y157" s="125"/>
      <c r="Z157" s="474"/>
      <c r="AA157" s="475"/>
      <c r="AB157" s="476"/>
      <c r="AC157" s="125" t="str">
        <f t="shared" si="144"/>
        <v/>
      </c>
      <c r="AD157" s="117" t="str">
        <f t="shared" si="124"/>
        <v/>
      </c>
      <c r="AE157" s="117" t="s">
        <v>894</v>
      </c>
      <c r="AF157" s="117" t="str">
        <f t="shared" si="140"/>
        <v/>
      </c>
      <c r="AG157" s="470"/>
      <c r="AH157" s="470"/>
      <c r="AI157" s="125" t="str">
        <f t="shared" si="141"/>
        <v/>
      </c>
      <c r="AJ157" s="470"/>
      <c r="AK157" s="470"/>
      <c r="AL157" s="472"/>
      <c r="AM157" s="496"/>
      <c r="AN157" s="125"/>
      <c r="AO157" s="490"/>
      <c r="AP157" s="125"/>
      <c r="AQ157" s="490"/>
      <c r="AR157" s="522"/>
      <c r="AS157" s="519"/>
      <c r="AT157" s="204"/>
      <c r="AU157" s="614"/>
      <c r="AV157" s="637"/>
      <c r="AW157" s="620"/>
      <c r="AX157" s="620"/>
      <c r="AY157" s="19"/>
      <c r="CB157" s="29" t="str">
        <f>IFERROR(IF(COUNTIF(AF153:AF162,"")=10,"",IF(COUNTIF(E153:E162,"N/A")&gt;0,IF(AF157&gt;=CMEMM1,AF157,0),"N/A")),"")</f>
        <v>N/A</v>
      </c>
      <c r="CC157" s="4"/>
      <c r="CD157" s="4" t="str">
        <f>IFERROR(IF(COUNTIF(AF153:AF162,"")=10,"",IF(AF157="","",IF(AF157&gt;=CMEMM1,1,0))),"")</f>
        <v/>
      </c>
      <c r="CE157" s="4" t="str">
        <f>B153&amp;"-0"&amp;5</f>
        <v>P16-05</v>
      </c>
      <c r="CF157" s="4">
        <f>IFERROR(INDEX('DESEMPATE Y DISCAPACIDAD'!$D$3:$D$450,MATCH(CE157,'DESEMPATE Y DISCAPACIDAD'!$C$3:$C$450,0)),"")</f>
        <v>0</v>
      </c>
      <c r="CG157" s="4">
        <f>IF(OR(CE157="",CF157=""),"",SUMIF(D153:D162,CF157,CD153:CD162))</f>
        <v>0</v>
      </c>
      <c r="CH157" s="4" t="str">
        <f t="shared" si="95"/>
        <v>NO CUMPLE</v>
      </c>
      <c r="CI157" s="4">
        <f t="shared" si="145"/>
        <v>0</v>
      </c>
      <c r="CJ157" s="4"/>
      <c r="CK157" s="4"/>
      <c r="CL157" s="4" t="str">
        <f t="shared" si="121"/>
        <v/>
      </c>
      <c r="CM157" s="4" t="str">
        <f t="shared" si="122"/>
        <v/>
      </c>
      <c r="CN157" s="4" t="str">
        <f t="shared" si="146"/>
        <v/>
      </c>
      <c r="CO157" s="4"/>
      <c r="CP157" s="4"/>
      <c r="CQ157" s="29" t="str">
        <f t="shared" si="110"/>
        <v/>
      </c>
      <c r="CR157" s="29" t="str">
        <f t="shared" si="139"/>
        <v/>
      </c>
      <c r="CS157" s="4"/>
    </row>
    <row r="158" spans="1:97" ht="2" customHeight="1">
      <c r="B158" s="481"/>
      <c r="C158" s="118"/>
      <c r="D158" s="126" t="str">
        <f>+IFERROR(INDEX('DESEMPATE Y DISCAPACIDAD'!$D$3:$D$450,MATCH(C158,'DESEMPATE Y DISCAPACIDAD'!$C$3:$C$450,0)),"")</f>
        <v/>
      </c>
      <c r="E158" s="127" t="str">
        <f>IFERROR(IF(D158="","",IF(VLOOKUP(D158,'DESEMPATE Y DISCAPACIDAD'!D$3:$E$450,2,FALSE)=1,"N/A",IF(VLOOKUP(D158,'DESEMPATE Y DISCAPACIDAD'!D$3:$F$450,3,FALSE)="X","SI","NO"))),"")</f>
        <v/>
      </c>
      <c r="F158" s="125"/>
      <c r="G158" s="125"/>
      <c r="H158" s="125"/>
      <c r="I158" s="128"/>
      <c r="J158" s="125"/>
      <c r="K158" s="125"/>
      <c r="L158" s="125"/>
      <c r="M158" s="125"/>
      <c r="N158" s="125" t="str">
        <f t="shared" si="142"/>
        <v/>
      </c>
      <c r="O158" s="125" t="str">
        <f t="shared" si="148"/>
        <v/>
      </c>
      <c r="P158" s="125" t="str">
        <f t="shared" si="143"/>
        <v/>
      </c>
      <c r="Q158" s="125" t="str">
        <f t="shared" si="123"/>
        <v/>
      </c>
      <c r="R158" s="68"/>
      <c r="S158" s="129"/>
      <c r="T158" s="129"/>
      <c r="U158" s="125" t="str">
        <f t="shared" si="147"/>
        <v/>
      </c>
      <c r="V158" s="117" t="str">
        <f>IF(U158=2023,1160000,IFERROR(INDEX(SMMLV!$B$2:$B$101,MATCH(U158,SMMLV!$A$2:$A$101,0)),""))</f>
        <v/>
      </c>
      <c r="W158" s="117"/>
      <c r="X158" s="125"/>
      <c r="Y158" s="125"/>
      <c r="Z158" s="474"/>
      <c r="AA158" s="475"/>
      <c r="AB158" s="476"/>
      <c r="AC158" s="125" t="str">
        <f t="shared" si="144"/>
        <v/>
      </c>
      <c r="AD158" s="117" t="str">
        <f t="shared" si="124"/>
        <v/>
      </c>
      <c r="AE158" s="117" t="s">
        <v>894</v>
      </c>
      <c r="AF158" s="117" t="str">
        <f t="shared" si="140"/>
        <v/>
      </c>
      <c r="AG158" s="470"/>
      <c r="AH158" s="470"/>
      <c r="AI158" s="125" t="str">
        <f t="shared" si="141"/>
        <v/>
      </c>
      <c r="AJ158" s="470"/>
      <c r="AK158" s="470"/>
      <c r="AL158" s="472"/>
      <c r="AM158" s="496"/>
      <c r="AN158" s="125"/>
      <c r="AO158" s="490"/>
      <c r="AP158" s="125"/>
      <c r="AQ158" s="490"/>
      <c r="AR158" s="522"/>
      <c r="AS158" s="519"/>
      <c r="AT158" s="204"/>
      <c r="AU158" s="614"/>
      <c r="AV158" s="637"/>
      <c r="AW158" s="620"/>
      <c r="AX158" s="620"/>
      <c r="AY158" s="19"/>
      <c r="CB158" s="29" t="str">
        <f>IFERROR(IF(COUNTIF(AF153:AF162,"")=10,"",IF(COUNTIF(E153:E162,"N/A")&gt;0,IF(AF158&gt;=CMEMM1,AF158,0),"N/A")),"")</f>
        <v>N/A</v>
      </c>
      <c r="CC158" s="4"/>
      <c r="CD158" s="4" t="str">
        <f>IFERROR(IF(COUNTIF(AF153:AF162,"")=10,"",IF(AF158="","",IF(AF158&gt;=CMEMM1,1,0))),"")</f>
        <v/>
      </c>
      <c r="CE158" s="4" t="str">
        <f>B153&amp;"-0"&amp;6</f>
        <v>P16-06</v>
      </c>
      <c r="CF158" s="4">
        <f>IFERROR(INDEX('DESEMPATE Y DISCAPACIDAD'!$D$3:$D$450,MATCH(CE158,'DESEMPATE Y DISCAPACIDAD'!$C$3:$C$450,0)),"")</f>
        <v>0</v>
      </c>
      <c r="CG158" s="4">
        <f>IF(OR(CE158="",CF158=""),"",SUMIF(D153:D162,CF158,CD153:CD162))</f>
        <v>0</v>
      </c>
      <c r="CH158" s="4" t="str">
        <f t="shared" si="95"/>
        <v>NO CUMPLE</v>
      </c>
      <c r="CI158" s="4">
        <f t="shared" si="145"/>
        <v>0</v>
      </c>
      <c r="CJ158" s="4"/>
      <c r="CK158" s="4"/>
      <c r="CL158" s="4" t="str">
        <f t="shared" si="121"/>
        <v/>
      </c>
      <c r="CM158" s="4" t="str">
        <f t="shared" si="122"/>
        <v/>
      </c>
      <c r="CN158" s="4" t="str">
        <f t="shared" si="146"/>
        <v/>
      </c>
      <c r="CO158" s="4"/>
      <c r="CP158" s="4"/>
      <c r="CQ158" s="29" t="str">
        <f t="shared" si="110"/>
        <v/>
      </c>
      <c r="CR158" s="29" t="str">
        <f t="shared" si="139"/>
        <v/>
      </c>
      <c r="CS158" s="4"/>
    </row>
    <row r="159" spans="1:97" ht="2" customHeight="1">
      <c r="B159" s="481"/>
      <c r="C159" s="118"/>
      <c r="D159" s="126" t="str">
        <f>+IFERROR(INDEX('DESEMPATE Y DISCAPACIDAD'!$D$3:$D$450,MATCH(C159,'DESEMPATE Y DISCAPACIDAD'!$C$3:$C$450,0)),"")</f>
        <v/>
      </c>
      <c r="E159" s="127" t="str">
        <f>IFERROR(IF(D159="","",IF(VLOOKUP(D159,'DESEMPATE Y DISCAPACIDAD'!D$3:$E$450,2,FALSE)=1,"N/A",IF(VLOOKUP(D159,'DESEMPATE Y DISCAPACIDAD'!D$3:$F$450,3,FALSE)="X","SI","NO"))),"")</f>
        <v/>
      </c>
      <c r="F159" s="125"/>
      <c r="G159" s="125"/>
      <c r="H159" s="125"/>
      <c r="I159" s="128"/>
      <c r="J159" s="125"/>
      <c r="K159" s="125"/>
      <c r="L159" s="125"/>
      <c r="M159" s="125"/>
      <c r="N159" s="125" t="str">
        <f t="shared" si="142"/>
        <v/>
      </c>
      <c r="O159" s="125" t="str">
        <f t="shared" si="148"/>
        <v/>
      </c>
      <c r="P159" s="125" t="str">
        <f t="shared" si="143"/>
        <v/>
      </c>
      <c r="Q159" s="125" t="str">
        <f t="shared" si="123"/>
        <v/>
      </c>
      <c r="R159" s="68"/>
      <c r="S159" s="129"/>
      <c r="T159" s="129"/>
      <c r="U159" s="125" t="str">
        <f t="shared" si="147"/>
        <v/>
      </c>
      <c r="V159" s="117" t="str">
        <f>IF(U159=2023,1160000,IFERROR(INDEX(SMMLV!$B$2:$B$101,MATCH(U159,SMMLV!$A$2:$A$101,0)),""))</f>
        <v/>
      </c>
      <c r="W159" s="117"/>
      <c r="X159" s="125"/>
      <c r="Y159" s="125"/>
      <c r="Z159" s="474"/>
      <c r="AA159" s="475"/>
      <c r="AB159" s="476"/>
      <c r="AC159" s="125" t="str">
        <f t="shared" si="144"/>
        <v/>
      </c>
      <c r="AD159" s="117" t="str">
        <f t="shared" si="124"/>
        <v/>
      </c>
      <c r="AE159" s="117" t="s">
        <v>894</v>
      </c>
      <c r="AF159" s="117" t="str">
        <f t="shared" si="140"/>
        <v/>
      </c>
      <c r="AG159" s="470"/>
      <c r="AH159" s="470"/>
      <c r="AI159" s="125" t="str">
        <f t="shared" si="141"/>
        <v/>
      </c>
      <c r="AJ159" s="470"/>
      <c r="AK159" s="470"/>
      <c r="AL159" s="472"/>
      <c r="AM159" s="496"/>
      <c r="AN159" s="125"/>
      <c r="AO159" s="490"/>
      <c r="AP159" s="125"/>
      <c r="AQ159" s="490"/>
      <c r="AR159" s="522"/>
      <c r="AS159" s="519"/>
      <c r="AT159" s="204"/>
      <c r="AU159" s="614"/>
      <c r="AV159" s="637"/>
      <c r="AW159" s="620"/>
      <c r="AX159" s="620"/>
      <c r="AY159" s="19"/>
      <c r="CB159" s="29" t="str">
        <f>IFERROR(IF(COUNTIF(AF153:AF162,"")=10,"",IF(COUNTIF(E153:E162,"N/A")&gt;0,IF(AF159&gt;=CMEMM1,AF159,0),"N/A")),"")</f>
        <v>N/A</v>
      </c>
      <c r="CC159" s="4"/>
      <c r="CD159" s="4" t="str">
        <f>IFERROR(IF(COUNTIF(AF153:AF162,"")=10,"",IF(AF159="","",IF(AF159&gt;=CMEMM1,1,0))),"")</f>
        <v/>
      </c>
      <c r="CE159" s="4" t="str">
        <f>B153&amp;"-0"&amp;7</f>
        <v>P16-07</v>
      </c>
      <c r="CF159" s="4" t="str">
        <f>IFERROR(INDEX('DESEMPATE Y DISCAPACIDAD'!$D$3:$D$450,MATCH(CE159,'DESEMPATE Y DISCAPACIDAD'!$C$3:$C$450,0)),"")</f>
        <v/>
      </c>
      <c r="CG159" s="4" t="str">
        <f>IF(OR(CE159="",CF159=""),"",SUMIF(D153:D162,CF159,CD153:CD162))</f>
        <v/>
      </c>
      <c r="CH159" s="4" t="str">
        <f t="shared" si="95"/>
        <v/>
      </c>
      <c r="CI159" s="4" t="str">
        <f t="shared" si="145"/>
        <v/>
      </c>
      <c r="CJ159" s="4"/>
      <c r="CK159" s="4"/>
      <c r="CL159" s="4" t="str">
        <f t="shared" si="121"/>
        <v/>
      </c>
      <c r="CM159" s="4" t="str">
        <f t="shared" si="122"/>
        <v/>
      </c>
      <c r="CN159" s="4" t="str">
        <f t="shared" si="146"/>
        <v/>
      </c>
      <c r="CO159" s="4"/>
      <c r="CP159" s="4"/>
      <c r="CQ159" s="29" t="str">
        <f t="shared" si="110"/>
        <v/>
      </c>
      <c r="CR159" s="29" t="str">
        <f t="shared" si="139"/>
        <v/>
      </c>
      <c r="CS159" s="4"/>
    </row>
    <row r="160" spans="1:97" ht="2" customHeight="1">
      <c r="B160" s="481"/>
      <c r="C160" s="118"/>
      <c r="D160" s="126" t="str">
        <f>+IFERROR(INDEX('DESEMPATE Y DISCAPACIDAD'!$D$3:$D$450,MATCH(C160,'DESEMPATE Y DISCAPACIDAD'!$C$3:$C$450,0)),"")</f>
        <v/>
      </c>
      <c r="E160" s="127" t="str">
        <f>IFERROR(IF(D160="","",IF(VLOOKUP(D160,'DESEMPATE Y DISCAPACIDAD'!D$3:$E$450,2,FALSE)=1,"N/A",IF(VLOOKUP(D160,'DESEMPATE Y DISCAPACIDAD'!D$3:$F$450,3,FALSE)="X","SI","NO"))),"")</f>
        <v/>
      </c>
      <c r="F160" s="125"/>
      <c r="G160" s="125"/>
      <c r="H160" s="125"/>
      <c r="I160" s="128"/>
      <c r="J160" s="125"/>
      <c r="K160" s="125"/>
      <c r="L160" s="125"/>
      <c r="M160" s="125"/>
      <c r="N160" s="125" t="str">
        <f t="shared" si="142"/>
        <v/>
      </c>
      <c r="O160" s="125" t="str">
        <f t="shared" si="148"/>
        <v/>
      </c>
      <c r="P160" s="125" t="str">
        <f t="shared" si="143"/>
        <v/>
      </c>
      <c r="Q160" s="125" t="str">
        <f t="shared" si="123"/>
        <v/>
      </c>
      <c r="R160" s="68"/>
      <c r="S160" s="129"/>
      <c r="T160" s="129"/>
      <c r="U160" s="125" t="str">
        <f t="shared" si="147"/>
        <v/>
      </c>
      <c r="V160" s="117" t="str">
        <f>IF(U160=2023,1160000,IFERROR(INDEX(SMMLV!$B$2:$B$101,MATCH(U160,SMMLV!$A$2:$A$101,0)),""))</f>
        <v/>
      </c>
      <c r="W160" s="117"/>
      <c r="X160" s="125"/>
      <c r="Y160" s="125"/>
      <c r="Z160" s="474"/>
      <c r="AA160" s="475"/>
      <c r="AB160" s="476"/>
      <c r="AC160" s="125" t="str">
        <f t="shared" si="144"/>
        <v/>
      </c>
      <c r="AD160" s="117" t="str">
        <f t="shared" si="124"/>
        <v/>
      </c>
      <c r="AE160" s="117" t="s">
        <v>894</v>
      </c>
      <c r="AF160" s="117" t="str">
        <f t="shared" si="140"/>
        <v/>
      </c>
      <c r="AG160" s="470"/>
      <c r="AH160" s="470"/>
      <c r="AI160" s="125" t="str">
        <f t="shared" si="141"/>
        <v/>
      </c>
      <c r="AJ160" s="470"/>
      <c r="AK160" s="470"/>
      <c r="AL160" s="472"/>
      <c r="AM160" s="496"/>
      <c r="AN160" s="125"/>
      <c r="AO160" s="490"/>
      <c r="AP160" s="125"/>
      <c r="AQ160" s="490"/>
      <c r="AR160" s="522"/>
      <c r="AS160" s="519"/>
      <c r="AT160" s="204"/>
      <c r="AU160" s="614"/>
      <c r="AV160" s="637"/>
      <c r="AW160" s="620"/>
      <c r="AX160" s="620"/>
      <c r="AY160" s="19"/>
      <c r="CB160" s="29" t="str">
        <f>IFERROR(IF(COUNTIF(AF153:AF162,"")=10,"",IF(COUNTIF(E153:E162,"N/A")&gt;0,IF(AF160&gt;=CMEMM1,AF160,0),"N/A")),"")</f>
        <v>N/A</v>
      </c>
      <c r="CC160" s="4"/>
      <c r="CD160" s="4" t="str">
        <f>IFERROR(IF(COUNTIF(AF153:AF162,"")=10,"",IF(AF160="","",IF(AF160&gt;=CMEMM1,1,0))),"")</f>
        <v/>
      </c>
      <c r="CE160" s="4" t="str">
        <f>B153&amp;"-0"&amp;8</f>
        <v>P16-08</v>
      </c>
      <c r="CF160" s="4" t="str">
        <f>IFERROR(INDEX('DESEMPATE Y DISCAPACIDAD'!$D$3:$D$450,MATCH(CE160,'DESEMPATE Y DISCAPACIDAD'!$C$3:$C$450,0)),"")</f>
        <v/>
      </c>
      <c r="CG160" s="4" t="str">
        <f>IF(OR(CE160="",CF160=""),"",SUMIF(D153:D162,CF160,CD153:CD162))</f>
        <v/>
      </c>
      <c r="CH160" s="4" t="str">
        <f t="shared" si="95"/>
        <v/>
      </c>
      <c r="CI160" s="4" t="str">
        <f t="shared" si="145"/>
        <v/>
      </c>
      <c r="CJ160" s="4"/>
      <c r="CK160" s="4"/>
      <c r="CL160" s="4" t="str">
        <f t="shared" si="121"/>
        <v/>
      </c>
      <c r="CM160" s="4" t="str">
        <f t="shared" si="122"/>
        <v/>
      </c>
      <c r="CN160" s="4" t="str">
        <f t="shared" si="146"/>
        <v/>
      </c>
      <c r="CO160" s="4"/>
      <c r="CP160" s="4"/>
      <c r="CQ160" s="29" t="str">
        <f t="shared" si="110"/>
        <v/>
      </c>
      <c r="CR160" s="29" t="str">
        <f t="shared" si="139"/>
        <v/>
      </c>
      <c r="CS160" s="4"/>
    </row>
    <row r="161" spans="1:97" ht="2" customHeight="1">
      <c r="B161" s="481"/>
      <c r="C161" s="118"/>
      <c r="D161" s="126" t="str">
        <f>+IFERROR(INDEX('DESEMPATE Y DISCAPACIDAD'!$D$3:$D$450,MATCH(C161,'DESEMPATE Y DISCAPACIDAD'!$C$3:$C$450,0)),"")</f>
        <v/>
      </c>
      <c r="E161" s="127" t="str">
        <f>IFERROR(IF(D161="","",IF(VLOOKUP(D161,'DESEMPATE Y DISCAPACIDAD'!D$3:$E$450,2,FALSE)=1,"N/A",IF(VLOOKUP(D161,'DESEMPATE Y DISCAPACIDAD'!D$3:$F$450,3,FALSE)="X","SI","NO"))),"")</f>
        <v/>
      </c>
      <c r="F161" s="125"/>
      <c r="G161" s="125"/>
      <c r="H161" s="125"/>
      <c r="I161" s="128"/>
      <c r="J161" s="125"/>
      <c r="K161" s="125"/>
      <c r="L161" s="125"/>
      <c r="M161" s="125"/>
      <c r="N161" s="125" t="str">
        <f t="shared" si="142"/>
        <v/>
      </c>
      <c r="O161" s="125" t="str">
        <f t="shared" si="148"/>
        <v/>
      </c>
      <c r="P161" s="125" t="str">
        <f t="shared" si="143"/>
        <v/>
      </c>
      <c r="Q161" s="125" t="str">
        <f t="shared" si="123"/>
        <v/>
      </c>
      <c r="R161" s="68"/>
      <c r="S161" s="129"/>
      <c r="T161" s="129"/>
      <c r="U161" s="125" t="str">
        <f t="shared" si="147"/>
        <v/>
      </c>
      <c r="V161" s="117" t="str">
        <f>IF(U161=2023,1160000,IFERROR(INDEX(SMMLV!$B$2:$B$101,MATCH(U161,SMMLV!$A$2:$A$101,0)),""))</f>
        <v/>
      </c>
      <c r="W161" s="117"/>
      <c r="X161" s="125"/>
      <c r="Y161" s="125"/>
      <c r="Z161" s="474"/>
      <c r="AA161" s="475"/>
      <c r="AB161" s="476"/>
      <c r="AC161" s="125" t="str">
        <f t="shared" si="144"/>
        <v/>
      </c>
      <c r="AD161" s="117" t="str">
        <f t="shared" si="124"/>
        <v/>
      </c>
      <c r="AE161" s="117" t="s">
        <v>894</v>
      </c>
      <c r="AF161" s="117" t="str">
        <f t="shared" si="140"/>
        <v/>
      </c>
      <c r="AG161" s="470"/>
      <c r="AH161" s="470"/>
      <c r="AI161" s="125" t="str">
        <f t="shared" si="141"/>
        <v/>
      </c>
      <c r="AJ161" s="470"/>
      <c r="AK161" s="470"/>
      <c r="AL161" s="472"/>
      <c r="AM161" s="496"/>
      <c r="AN161" s="125"/>
      <c r="AO161" s="490"/>
      <c r="AP161" s="125"/>
      <c r="AQ161" s="490"/>
      <c r="AR161" s="522"/>
      <c r="AS161" s="519"/>
      <c r="AT161" s="204"/>
      <c r="AU161" s="614"/>
      <c r="AV161" s="637"/>
      <c r="AW161" s="620"/>
      <c r="AX161" s="620"/>
      <c r="AY161" s="19"/>
      <c r="CB161" s="29" t="str">
        <f>IFERROR(IF(COUNTIF(AF153:AF162,"")=10,"",IF(COUNTIF(E153:E162,"N/A")&gt;0,IF(AF161&gt;=CMEMM1,AF161,0),"N/A")),"")</f>
        <v>N/A</v>
      </c>
      <c r="CC161" s="4"/>
      <c r="CD161" s="4" t="str">
        <f>IFERROR(IF(COUNTIF(AF153:AF162,"")=10,"",IF(AF161="","",IF(AF161&gt;=CMEMM1,1,0))),"")</f>
        <v/>
      </c>
      <c r="CE161" s="4" t="str">
        <f>B153&amp;"-0"&amp;9</f>
        <v>P16-09</v>
      </c>
      <c r="CF161" s="4" t="str">
        <f>IFERROR(INDEX('DESEMPATE Y DISCAPACIDAD'!$D$3:$D$450,MATCH(CE161,'DESEMPATE Y DISCAPACIDAD'!$C$3:$C$450,0)),"")</f>
        <v/>
      </c>
      <c r="CG161" s="4" t="str">
        <f>IF(OR(CE161="",CF161=""),"",SUMIF(D153:D162,CF161,CD153:CD162))</f>
        <v/>
      </c>
      <c r="CH161" s="4" t="str">
        <f t="shared" si="95"/>
        <v/>
      </c>
      <c r="CI161" s="4" t="str">
        <f t="shared" si="145"/>
        <v/>
      </c>
      <c r="CJ161" s="4"/>
      <c r="CK161" s="4"/>
      <c r="CL161" s="4" t="str">
        <f t="shared" si="121"/>
        <v/>
      </c>
      <c r="CM161" s="4" t="str">
        <f t="shared" si="122"/>
        <v/>
      </c>
      <c r="CN161" s="4" t="str">
        <f t="shared" si="146"/>
        <v/>
      </c>
      <c r="CO161" s="4"/>
      <c r="CP161" s="4"/>
      <c r="CQ161" s="29" t="str">
        <f t="shared" si="110"/>
        <v/>
      </c>
      <c r="CR161" s="29" t="str">
        <f t="shared" si="139"/>
        <v/>
      </c>
      <c r="CS161" s="4"/>
    </row>
    <row r="162" spans="1:97" ht="2" customHeight="1" thickBot="1">
      <c r="B162" s="482"/>
      <c r="C162" s="130"/>
      <c r="D162" s="131" t="str">
        <f>+IFERROR(INDEX('DESEMPATE Y DISCAPACIDAD'!$D$3:$D$450,MATCH(C162,'DESEMPATE Y DISCAPACIDAD'!$C$3:$C$450,0)),"")</f>
        <v/>
      </c>
      <c r="E162" s="132" t="str">
        <f>IFERROR(IF(D162="","",IF(VLOOKUP(D162,'DESEMPATE Y DISCAPACIDAD'!D$3:$E$450,2,FALSE)=1,"N/A",IF(VLOOKUP(D162,'DESEMPATE Y DISCAPACIDAD'!D$3:$F$450,3,FALSE)="X","SI","NO"))),"")</f>
        <v/>
      </c>
      <c r="F162" s="133"/>
      <c r="G162" s="133"/>
      <c r="H162" s="133"/>
      <c r="I162" s="134"/>
      <c r="J162" s="133"/>
      <c r="K162" s="133"/>
      <c r="L162" s="133"/>
      <c r="M162" s="133"/>
      <c r="N162" s="133" t="str">
        <f t="shared" si="142"/>
        <v/>
      </c>
      <c r="O162" s="133" t="str">
        <f t="shared" si="148"/>
        <v/>
      </c>
      <c r="P162" s="133" t="str">
        <f t="shared" si="143"/>
        <v/>
      </c>
      <c r="Q162" s="133" t="str">
        <f t="shared" si="123"/>
        <v/>
      </c>
      <c r="R162" s="104"/>
      <c r="S162" s="135"/>
      <c r="T162" s="135"/>
      <c r="U162" s="133" t="str">
        <f t="shared" si="147"/>
        <v/>
      </c>
      <c r="V162" s="136" t="str">
        <f>IF(U162=2023,1160000,IFERROR(INDEX(SMMLV!$B$2:$B$101,MATCH(U162,SMMLV!$A$2:$A$101,0)),""))</f>
        <v/>
      </c>
      <c r="W162" s="136"/>
      <c r="X162" s="133"/>
      <c r="Y162" s="133"/>
      <c r="Z162" s="487"/>
      <c r="AA162" s="488"/>
      <c r="AB162" s="489"/>
      <c r="AC162" s="133" t="str">
        <f t="shared" si="144"/>
        <v/>
      </c>
      <c r="AD162" s="136" t="str">
        <f t="shared" si="124"/>
        <v/>
      </c>
      <c r="AE162" s="136" t="s">
        <v>894</v>
      </c>
      <c r="AF162" s="136" t="str">
        <f t="shared" si="140"/>
        <v/>
      </c>
      <c r="AG162" s="471"/>
      <c r="AH162" s="471"/>
      <c r="AI162" s="133" t="str">
        <f t="shared" si="141"/>
        <v/>
      </c>
      <c r="AJ162" s="471"/>
      <c r="AK162" s="471"/>
      <c r="AL162" s="473"/>
      <c r="AM162" s="497"/>
      <c r="AN162" s="133"/>
      <c r="AO162" s="491"/>
      <c r="AP162" s="133"/>
      <c r="AQ162" s="491"/>
      <c r="AR162" s="523"/>
      <c r="AS162" s="520"/>
      <c r="AT162" s="206"/>
      <c r="AU162" s="615"/>
      <c r="AV162" s="638"/>
      <c r="AW162" s="621"/>
      <c r="AX162" s="621"/>
      <c r="AY162" s="19"/>
      <c r="CB162" s="29" t="str">
        <f>IFERROR(IF(COUNTIF(AF153:AF162,"")=10,"",IF(COUNTIF(E153:E162,"N/A")&gt;0,IF(AF162&gt;=CMEMM1,AF162,0),"N/A")),"")</f>
        <v>N/A</v>
      </c>
      <c r="CC162" s="4"/>
      <c r="CD162" s="4" t="str">
        <f>IFERROR(IF(COUNTIF(AF153:AF162,"")=10,"",IF(AF162="","",IF(AF162&gt;=CMEMM1,1,0))),"")</f>
        <v/>
      </c>
      <c r="CE162" s="4" t="str">
        <f>B153&amp;"-"&amp;10</f>
        <v>P16-10</v>
      </c>
      <c r="CF162" s="4" t="str">
        <f>IFERROR(INDEX('DESEMPATE Y DISCAPACIDAD'!$D$3:$D$450,MATCH(CE162,'DESEMPATE Y DISCAPACIDAD'!$C$3:$C$450,0)),"")</f>
        <v/>
      </c>
      <c r="CG162" s="4" t="str">
        <f>IF(OR(CE162="",CF162=""),"",SUMIF(D153:D162,CF162,CD153:CD162))</f>
        <v/>
      </c>
      <c r="CH162" s="4" t="str">
        <f t="shared" ref="CH162:CH225" si="149">IF(OR(CE162="",CF162="",CG162=""),"",IF(CG162&gt;0,"CUMPLE","NO CUMPLE"))</f>
        <v/>
      </c>
      <c r="CI162" s="4" t="str">
        <f t="shared" si="145"/>
        <v/>
      </c>
      <c r="CJ162" s="4"/>
      <c r="CK162" s="4"/>
      <c r="CL162" s="4" t="str">
        <f t="shared" si="121"/>
        <v/>
      </c>
      <c r="CM162" s="4" t="str">
        <f t="shared" si="122"/>
        <v/>
      </c>
      <c r="CN162" s="4" t="str">
        <f t="shared" si="146"/>
        <v/>
      </c>
      <c r="CO162" s="4"/>
      <c r="CP162" s="4"/>
      <c r="CQ162" s="29" t="str">
        <f t="shared" si="110"/>
        <v/>
      </c>
      <c r="CR162" s="29" t="str">
        <f t="shared" si="139"/>
        <v/>
      </c>
      <c r="CS162" s="4"/>
    </row>
    <row r="163" spans="1:97" ht="35" customHeight="1">
      <c r="A163" s="4" t="str">
        <f>"A"&amp;B163</f>
        <v>AP17</v>
      </c>
      <c r="B163" s="480" t="s">
        <v>138</v>
      </c>
      <c r="C163" s="108" t="s">
        <v>324</v>
      </c>
      <c r="D163" s="119" t="str">
        <f>+IFERROR(INDEX('DESEMPATE Y DISCAPACIDAD'!$D$3:$D$450,MATCH(C163,'DESEMPATE Y DISCAPACIDAD'!$C$3:$C$450,0)),"")</f>
        <v>INGEANDINA CONSULTORES DE INGENIERIA S.A.S.</v>
      </c>
      <c r="E163" s="120" t="str">
        <f>IFERROR(IF(D163="","",IF(VLOOKUP(D163,'DESEMPATE Y DISCAPACIDAD'!D$3:$E$450,2,FALSE)=1,"N/A",IF(VLOOKUP(D163,'DESEMPATE Y DISCAPACIDAD'!D$3:$F$450,3,FALSE)="X","SI","NO"))),"")</f>
        <v>NO</v>
      </c>
      <c r="F163" s="3" t="s">
        <v>1021</v>
      </c>
      <c r="G163" s="125" t="s">
        <v>699</v>
      </c>
      <c r="H163" s="121" t="s">
        <v>1022</v>
      </c>
      <c r="I163" s="122" t="s">
        <v>1023</v>
      </c>
      <c r="J163" s="121" t="s">
        <v>74</v>
      </c>
      <c r="K163" s="121" t="s">
        <v>74</v>
      </c>
      <c r="L163" s="121" t="s">
        <v>74</v>
      </c>
      <c r="M163" s="121" t="s">
        <v>75</v>
      </c>
      <c r="N163" s="121" t="str">
        <f>IFERROR(IF(OR(J163="",K163=""),"",IF(J163="NO","NO",K163)),"")</f>
        <v>SI</v>
      </c>
      <c r="O163" s="121" t="str">
        <f>IFERROR(IF(OR(J163="",L163=""),"",IF(J163="NO","NO",L163)),"")</f>
        <v>SI</v>
      </c>
      <c r="P163" s="121" t="str">
        <f>IFERROR(IF(OR(J163="",M163=""),"",IF(J163="NO","NO",M163)),"")</f>
        <v>NO</v>
      </c>
      <c r="Q163" s="121" t="str">
        <f t="shared" si="123"/>
        <v>SI</v>
      </c>
      <c r="R163" s="103">
        <v>0.24</v>
      </c>
      <c r="S163" s="123">
        <v>41992</v>
      </c>
      <c r="T163" s="123">
        <v>44865</v>
      </c>
      <c r="U163" s="121">
        <f>IFERROR(IF(T163="","",YEAR(T163)),"")</f>
        <v>2022</v>
      </c>
      <c r="V163" s="124">
        <f>IF(U163=2023,1160000,IFERROR(INDEX(SMMLV!$B$2:$B$101,MATCH(U163,SMMLV!$A$2:$A$101,0)),""))</f>
        <v>1000000</v>
      </c>
      <c r="W163" s="358" t="s">
        <v>670</v>
      </c>
      <c r="X163" s="121" t="s">
        <v>671</v>
      </c>
      <c r="Y163" s="121">
        <v>77</v>
      </c>
      <c r="Z163" s="483" t="s">
        <v>74</v>
      </c>
      <c r="AA163" s="484"/>
      <c r="AB163" s="485"/>
      <c r="AC163" s="121" t="str">
        <f>IFERROR(IF(Y163="","",IF(ISNUMBER(Y163),IF(COUNTIF(Z163,"SI")&gt;0,"SI","NO"),Y163)),"")</f>
        <v>SI</v>
      </c>
      <c r="AD163" s="124" t="str">
        <f t="shared" si="124"/>
        <v>N/A</v>
      </c>
      <c r="AE163" s="124">
        <v>43673.83</v>
      </c>
      <c r="AF163" s="124">
        <f t="shared" si="140"/>
        <v>10481.7192</v>
      </c>
      <c r="AG163" s="486" t="str">
        <f>IFERROR(IF(COUNTIF(AF163:AF172,"")=10,"",IF(COUNTIF(E163:E172,"N/A")&gt;0,IF(SUM(CB163:CB172)&gt;=CMEM1,"CUMPLE","NO CUMPLE"),IF(SUM(AF163:AF172)&gt;=CMEM1,"CUMPLE","NO CUMPLE"))),"")</f>
        <v>CUMPLE</v>
      </c>
      <c r="AH163" s="486" t="str">
        <f>IF(COUNTIF(AF163:AF172,"")=10,"",IF(SUMIF(C163:C172,C163,AF163:AF172)&gt;=CMLM1,"CUMPLE",IF(SUMIF(C163:C172,C164,AF163:AF172)&gt;=CMLM1,"CUMPLE",IF(SUMIF(C163:C172,C165,AF163:AF172)&gt;=CMLM1,"CUMPLE",IF(SUMIF(C163:C172,C166,AF163:AF172)&gt;=CMLM1,"CUMPLE",IF(SUMIF(C163:C172,C167,AF163:AF172)&gt;=CMLM1,"CUMPLE",IF(SUMIF(C163:C172,C168,AF163:AF172)&gt;=CMLM1,"CUMPLE",IF(SUMIF(C163:C172,C169,AF163:AF172)&gt;=CMLM1,"CUMPLE",IF(SUMIF(C163:C172,C170,AF163:AF172)&gt;=CMLM1,"CUMPLE",IF(SUMIF(C163:C172,C171,AF163:AF172)&gt;=CMLM1,"CUMPLE",IF(SUMIF(C163:C172,C172,AF163:AF172)&gt;=CMLM1,"CUMPLE","NO CUMPLE")))))))))))</f>
        <v>CUMPLE</v>
      </c>
      <c r="AI163" s="121" t="str">
        <f t="shared" si="141"/>
        <v>CUMPLE</v>
      </c>
      <c r="AJ163" s="469" t="str">
        <f>IFERROR(IF(COUNTIF(AF163:AF172,"")=10,"",IF(COUNTIF(E163:E172,"N/A")&gt;0,"N/A",CJ163)),"")</f>
        <v>CUMPLE</v>
      </c>
      <c r="AK163" s="469" t="str">
        <f>IFERROR(IF(AND(COUNTIF(N163:N172,"SI")&gt;=1,COUNTIF(O163:O172,"SI")&gt;=1,COUNTIF(P163:P172,"SI")&gt;=1,COUNTIF(J163:J172,"SI")&lt;=10,CO163="CUMPLE"),"CUMPLE","NO CUMPLE"),"")</f>
        <v>CUMPLE</v>
      </c>
      <c r="AL163" s="472" t="s">
        <v>77</v>
      </c>
      <c r="AM163" s="495">
        <f>IFERROR(IF(B163&lt;&gt;"",IF(VLOOKUP(B163,'DESEMPATE Y DISCAPACIDAD'!$A$3:$Q$450,10,FALSE)="","",VLOOKUP(B163,'DESEMPATE Y DISCAPACIDAD'!$A$3:$Q$450,10,FALSE)+6),""),"")</f>
        <v>7</v>
      </c>
      <c r="AN163" s="121" t="s">
        <v>75</v>
      </c>
      <c r="AO163" s="490" t="s">
        <v>74</v>
      </c>
      <c r="AP163" s="121" t="s">
        <v>74</v>
      </c>
      <c r="AQ163" s="490">
        <f>IFERROR(IF(COUNTIF(AP163:AP172,"")=10,"",IF(AO163="NO",0,COUNTIF(AP163:AP172,"SI"))),"")</f>
        <v>5</v>
      </c>
      <c r="AR163" s="521">
        <f>IFERROR(IF(COUNTIF(AF163:AF172,"")=10,"",IF(AO163="NO",0,IF(COUNTIF(E163:E172,"N/A")&gt;0,SUM(CQ163:CQ172),SUM(CR163:CR172)))),"")</f>
        <v>59641.919200000004</v>
      </c>
      <c r="AS163" s="518">
        <f>IFERROR(IF(OR(COUNTIF(AF163:AF172,"")=10,AQ163="",AR163=""),"",IF(AO163="NO",0,AR163/AQ163)),"")</f>
        <v>11928.38384</v>
      </c>
      <c r="AT163" s="207"/>
      <c r="AU163" s="613" t="s">
        <v>933</v>
      </c>
      <c r="AV163" s="616" t="s">
        <v>931</v>
      </c>
      <c r="AW163" s="619" t="s">
        <v>1357</v>
      </c>
      <c r="AX163" s="619" t="s">
        <v>1357</v>
      </c>
      <c r="AY163" s="19"/>
      <c r="CB163" s="29" t="str">
        <f>IFERROR(IF(COUNTIF(AF163:AF172,"")=10,"",IF(COUNTIF(E163:E172,"N/A")&gt;0,IF(AF163&gt;=CMEMM1,AF163,0),"N/A")),"")</f>
        <v>N/A</v>
      </c>
      <c r="CC163" s="4"/>
      <c r="CD163" s="4">
        <f>IFERROR(IF(COUNTIF(AF163:AF172,"")=10,"",IF(AF163="","",IF(AF163&gt;=CMEMM1,1,0))),"")</f>
        <v>1</v>
      </c>
      <c r="CE163" s="4" t="str">
        <f>B163&amp;"-0"&amp;1</f>
        <v>P17-01</v>
      </c>
      <c r="CF163" s="4" t="str">
        <f>IFERROR(INDEX('DESEMPATE Y DISCAPACIDAD'!$D$3:$D$450,MATCH(CE163,'DESEMPATE Y DISCAPACIDAD'!$C$3:$C$450,0)),"")</f>
        <v>INGEANDINA CONSULTORES DE INGENIERIA S.A.S.</v>
      </c>
      <c r="CG163" s="4">
        <f>IF(OR(CE163="",CF163=""),"",SUMIF(D163:D172,CF163,CD163:CD172))</f>
        <v>2</v>
      </c>
      <c r="CH163" s="4" t="str">
        <f t="shared" si="149"/>
        <v>CUMPLE</v>
      </c>
      <c r="CI163" s="4">
        <f>IF(CF163="","",IF(ISTEXT(CF163),1,0))</f>
        <v>1</v>
      </c>
      <c r="CJ163" s="4" t="str">
        <f>IF(OR(CE163="",CF163="",CG163="",CH163="",CI163=""),"",IF(COUNTIF(CH163:CH172,"CUMPLE")=COUNTIF(CI163:CI172,1),"CUMPLE","NO CUMPLE"))</f>
        <v>CUMPLE</v>
      </c>
      <c r="CK163" s="4"/>
      <c r="CL163" s="4">
        <f t="shared" si="121"/>
        <v>1</v>
      </c>
      <c r="CM163" s="4">
        <f t="shared" si="122"/>
        <v>1</v>
      </c>
      <c r="CN163" s="4" t="str">
        <f>IF(OR(CL163="",CM163=""),"",IF(AND(CL163=0,CM163=0),"N/A",IF(AND(CL163=1,CM163=0),"COND. A",IF(AND(CL163=0,CM163=1),"COND. B",IF(AND(CL163=1,CM163=1),"COND. A Y B","")))))</f>
        <v>COND. A Y B</v>
      </c>
      <c r="CO163" s="4" t="str">
        <f>IF(COUNTIF(CN163:CN172,"N/A")=10,"NO CUMPLE",IF(COUNTIF(CN163:CN172,"COND. A Y B")&gt;1,"CUMPLE",IF(AND(COUNTIF(CN163:CN172,"COND. A")&gt;0,COUNTIF(CN163:CN172,"COND. B")&gt;0),"CUMPLE",IF(AND(COUNTIF(CN163:CN172,"COND. A Y B")&gt;0,COUNTIF(CN163:CN172,"COND. A")&gt;0),"CUMPLE",IF(AND(COUNTIF(CN163:CN172,"COND. A Y B")&gt;0,COUNTIF(CN163:CN172,"COND. B")&gt;0),"CUMPLE","NO CUMPLE")))))</f>
        <v>CUMPLE</v>
      </c>
      <c r="CP163" s="4"/>
      <c r="CQ163" s="29" t="str">
        <f t="shared" si="110"/>
        <v>N/A</v>
      </c>
      <c r="CR163" s="29">
        <f t="shared" si="139"/>
        <v>10481.7192</v>
      </c>
      <c r="CS163" s="4"/>
    </row>
    <row r="164" spans="1:97" ht="35" customHeight="1">
      <c r="B164" s="481"/>
      <c r="C164" s="118" t="s">
        <v>324</v>
      </c>
      <c r="D164" s="119" t="str">
        <f>+IFERROR(INDEX('DESEMPATE Y DISCAPACIDAD'!$D$3:$D$450,MATCH(C164,'DESEMPATE Y DISCAPACIDAD'!$C$3:$C$450,0)),"")</f>
        <v>INGEANDINA CONSULTORES DE INGENIERIA S.A.S.</v>
      </c>
      <c r="E164" s="120" t="str">
        <f>IFERROR(IF(D164="","",IF(VLOOKUP(D164,'DESEMPATE Y DISCAPACIDAD'!D$3:$E$450,2,FALSE)=1,"N/A",IF(VLOOKUP(D164,'DESEMPATE Y DISCAPACIDAD'!D$3:$F$450,3,FALSE)="X","SI","NO"))),"")</f>
        <v>NO</v>
      </c>
      <c r="F164" s="3" t="s">
        <v>1024</v>
      </c>
      <c r="G164" s="125" t="s">
        <v>1025</v>
      </c>
      <c r="H164" s="121" t="s">
        <v>1026</v>
      </c>
      <c r="I164" s="122" t="s">
        <v>1027</v>
      </c>
      <c r="J164" s="121" t="s">
        <v>74</v>
      </c>
      <c r="K164" s="121" t="s">
        <v>75</v>
      </c>
      <c r="L164" s="121" t="s">
        <v>75</v>
      </c>
      <c r="M164" s="121" t="s">
        <v>74</v>
      </c>
      <c r="N164" s="121" t="str">
        <f t="shared" ref="N164:N172" si="150">IFERROR(IF(OR(J164="",K164=""),"",IF(J164="NO","NO",K164)),"")</f>
        <v>NO</v>
      </c>
      <c r="O164" s="121" t="str">
        <f>IFERROR(IF(OR(J164="",L164=""),"",IF(J164="NO","NO",L164)),"")</f>
        <v>NO</v>
      </c>
      <c r="P164" s="121" t="str">
        <f t="shared" ref="P164:P172" si="151">IFERROR(IF(OR(J164="",M164=""),"",IF(J164="NO","NO",M164)),"")</f>
        <v>SI</v>
      </c>
      <c r="Q164" s="121" t="str">
        <f t="shared" si="123"/>
        <v>SI</v>
      </c>
      <c r="R164" s="103">
        <v>1</v>
      </c>
      <c r="S164" s="123">
        <v>38049</v>
      </c>
      <c r="T164" s="123">
        <v>40545</v>
      </c>
      <c r="U164" s="121">
        <f t="shared" ref="U164:U172" si="152">IFERROR(IF(T164="","",YEAR(T164)),"")</f>
        <v>2011</v>
      </c>
      <c r="V164" s="124">
        <f>IF(U164=2023,1160000,IFERROR(INDEX(SMMLV!$B$2:$B$101,MATCH(U164,SMMLV!$A$2:$A$101,0)),""))</f>
        <v>535600</v>
      </c>
      <c r="W164" s="124" t="s">
        <v>670</v>
      </c>
      <c r="X164" s="121" t="s">
        <v>671</v>
      </c>
      <c r="Y164" s="125">
        <v>1</v>
      </c>
      <c r="Z164" s="474" t="s">
        <v>74</v>
      </c>
      <c r="AA164" s="475"/>
      <c r="AB164" s="476"/>
      <c r="AC164" s="125" t="str">
        <f t="shared" ref="AC164:AC172" si="153">IFERROR(IF(Y164="","",IF(ISNUMBER(Y164),IF(COUNTIF(Z164,"SI")&gt;0,"SI","NO"),Y164)),"")</f>
        <v>SI</v>
      </c>
      <c r="AD164" s="117" t="str">
        <f t="shared" si="124"/>
        <v>N/A</v>
      </c>
      <c r="AE164" s="117">
        <v>34193.85</v>
      </c>
      <c r="AF164" s="117">
        <f t="shared" si="140"/>
        <v>34193.85</v>
      </c>
      <c r="AG164" s="470"/>
      <c r="AH164" s="470"/>
      <c r="AI164" s="125" t="str">
        <f t="shared" si="141"/>
        <v>CUMPLE</v>
      </c>
      <c r="AJ164" s="470"/>
      <c r="AK164" s="470"/>
      <c r="AL164" s="472"/>
      <c r="AM164" s="496"/>
      <c r="AN164" s="125" t="s">
        <v>75</v>
      </c>
      <c r="AO164" s="490"/>
      <c r="AP164" s="125" t="s">
        <v>74</v>
      </c>
      <c r="AQ164" s="490"/>
      <c r="AR164" s="522"/>
      <c r="AS164" s="519"/>
      <c r="AT164" s="204"/>
      <c r="AU164" s="614"/>
      <c r="AV164" s="617"/>
      <c r="AW164" s="620"/>
      <c r="AX164" s="620"/>
      <c r="AY164" s="19"/>
      <c r="CB164" s="29" t="str">
        <f>IFERROR(IF(COUNTIF(AF163:AF172,"")=10,"",IF(COUNTIF(E163:E172,"N/A")&gt;0,IF(AF164&gt;=CMEMM1,AF164,0),"N/A")),"")</f>
        <v>N/A</v>
      </c>
      <c r="CC164" s="4"/>
      <c r="CD164" s="4">
        <f>IFERROR(IF(COUNTIF(AF163:AF172,"")=10,"",IF(AF164="","",IF(AF164&gt;=CMEMM1,1,0))),"")</f>
        <v>1</v>
      </c>
      <c r="CE164" s="4" t="str">
        <f>B163&amp;"-0"&amp;2</f>
        <v>P17-02</v>
      </c>
      <c r="CF164" s="4" t="str">
        <f>IFERROR(INDEX('DESEMPATE Y DISCAPACIDAD'!$D$3:$D$450,MATCH(CE164,'DESEMPATE Y DISCAPACIDAD'!$C$3:$C$450,0)),"")</f>
        <v>APPLUS SERVICIOS INTEGRALES SAS</v>
      </c>
      <c r="CG164" s="4">
        <f>IF(OR(CE164="",CF164=""),"",SUMIF(D163:D172,CF164,CD163:CD172))</f>
        <v>2</v>
      </c>
      <c r="CH164" s="4" t="str">
        <f t="shared" si="149"/>
        <v>CUMPLE</v>
      </c>
      <c r="CI164" s="4">
        <f t="shared" ref="CI164:CI172" si="154">IF(CF164="","",IF(ISTEXT(CF164),1,0))</f>
        <v>1</v>
      </c>
      <c r="CJ164" s="4"/>
      <c r="CK164" s="4"/>
      <c r="CL164" s="4">
        <f t="shared" si="121"/>
        <v>0</v>
      </c>
      <c r="CM164" s="4">
        <f t="shared" si="122"/>
        <v>0</v>
      </c>
      <c r="CN164" s="4" t="str">
        <f t="shared" ref="CN164:CN172" si="155">IF(OR(CL164="",CM164=""),"",IF(AND(CL164=0,CM164=0),"N/A",IF(AND(CL164=1,CM164=0),"COND. A",IF(AND(CL164=0,CM164=1),"COND. B",IF(AND(CL164=1,CM164=1),"COND. A Y B","")))))</f>
        <v>N/A</v>
      </c>
      <c r="CO164" s="4"/>
      <c r="CP164" s="4"/>
      <c r="CQ164" s="29" t="str">
        <f t="shared" si="110"/>
        <v>N/A</v>
      </c>
      <c r="CR164" s="29">
        <f t="shared" si="139"/>
        <v>34193.85</v>
      </c>
      <c r="CS164" s="4"/>
    </row>
    <row r="165" spans="1:97" ht="35" customHeight="1">
      <c r="B165" s="481"/>
      <c r="C165" s="118" t="s">
        <v>324</v>
      </c>
      <c r="D165" s="126" t="str">
        <f>+IFERROR(INDEX('DESEMPATE Y DISCAPACIDAD'!$D$3:$D$450,MATCH(C165,'DESEMPATE Y DISCAPACIDAD'!$C$3:$C$450,0)),"")</f>
        <v>INGEANDINA CONSULTORES DE INGENIERIA S.A.S.</v>
      </c>
      <c r="E165" s="127" t="str">
        <f>IFERROR(IF(D165="","",IF(VLOOKUP(D165,'DESEMPATE Y DISCAPACIDAD'!D$3:$E$450,2,FALSE)=1,"N/A",IF(VLOOKUP(D165,'DESEMPATE Y DISCAPACIDAD'!D$3:$F$450,3,FALSE)="X","SI","NO"))),"")</f>
        <v>NO</v>
      </c>
      <c r="F165" s="179" t="s">
        <v>1024</v>
      </c>
      <c r="G165" s="121" t="s">
        <v>1025</v>
      </c>
      <c r="H165" s="125" t="s">
        <v>1026</v>
      </c>
      <c r="I165" s="128" t="s">
        <v>1028</v>
      </c>
      <c r="J165" s="125" t="s">
        <v>74</v>
      </c>
      <c r="K165" s="125" t="s">
        <v>74</v>
      </c>
      <c r="L165" s="125" t="s">
        <v>75</v>
      </c>
      <c r="M165" s="125" t="s">
        <v>74</v>
      </c>
      <c r="N165" s="125" t="str">
        <f t="shared" si="150"/>
        <v>SI</v>
      </c>
      <c r="O165" s="125" t="str">
        <f>IFERROR(IF(OR(J165="",L165=""),"",IF(J165="NO","NO",L165)),"")</f>
        <v>NO</v>
      </c>
      <c r="P165" s="125" t="str">
        <f t="shared" si="151"/>
        <v>SI</v>
      </c>
      <c r="Q165" s="125" t="str">
        <f t="shared" si="123"/>
        <v>SI</v>
      </c>
      <c r="R165" s="68">
        <v>1</v>
      </c>
      <c r="S165" s="129">
        <v>38742</v>
      </c>
      <c r="T165" s="129">
        <v>39244</v>
      </c>
      <c r="U165" s="125">
        <f t="shared" si="152"/>
        <v>2007</v>
      </c>
      <c r="V165" s="117">
        <f>IF(U165=2023,1160000,IFERROR(INDEX(SMMLV!$B$2:$B$101,MATCH(U165,SMMLV!$A$2:$A$101,0)),""))</f>
        <v>433700</v>
      </c>
      <c r="W165" s="124" t="s">
        <v>670</v>
      </c>
      <c r="X165" s="121" t="s">
        <v>671</v>
      </c>
      <c r="Y165" s="125">
        <v>70</v>
      </c>
      <c r="Z165" s="474" t="s">
        <v>74</v>
      </c>
      <c r="AA165" s="475"/>
      <c r="AB165" s="476"/>
      <c r="AC165" s="125" t="str">
        <f t="shared" si="153"/>
        <v>SI</v>
      </c>
      <c r="AD165" s="117" t="str">
        <f t="shared" si="124"/>
        <v>N/A</v>
      </c>
      <c r="AE165" s="117">
        <v>2665.82</v>
      </c>
      <c r="AF165" s="117">
        <f t="shared" si="140"/>
        <v>2665.82</v>
      </c>
      <c r="AG165" s="470"/>
      <c r="AH165" s="470"/>
      <c r="AI165" s="125" t="str">
        <f t="shared" si="141"/>
        <v>NO CUMPLE</v>
      </c>
      <c r="AJ165" s="470"/>
      <c r="AK165" s="470"/>
      <c r="AL165" s="472"/>
      <c r="AM165" s="496"/>
      <c r="AN165" s="125" t="s">
        <v>75</v>
      </c>
      <c r="AO165" s="490"/>
      <c r="AP165" s="125" t="s">
        <v>74</v>
      </c>
      <c r="AQ165" s="490"/>
      <c r="AR165" s="522"/>
      <c r="AS165" s="519"/>
      <c r="AT165" s="204"/>
      <c r="AU165" s="614"/>
      <c r="AV165" s="617"/>
      <c r="AW165" s="620"/>
      <c r="AX165" s="620"/>
      <c r="AY165" s="19"/>
      <c r="CB165" s="29" t="str">
        <f>IFERROR(IF(COUNTIF(AF163:AF172,"")=10,"",IF(COUNTIF(E163:E172,"N/A")&gt;0,IF(AF165&gt;=CMEMM1,AF165,0),"N/A")),"")</f>
        <v>N/A</v>
      </c>
      <c r="CC165" s="4"/>
      <c r="CD165" s="4">
        <f>IFERROR(IF(COUNTIF(AF163:AF172,"")=10,"",IF(AF165="","",IF(AF165&gt;=CMEMM1,1,0))),"")</f>
        <v>0</v>
      </c>
      <c r="CE165" s="4" t="str">
        <f>B163&amp;"-0"&amp;3</f>
        <v>P17-03</v>
      </c>
      <c r="CF165" s="4">
        <f>IFERROR(INDEX('DESEMPATE Y DISCAPACIDAD'!$D$3:$D$450,MATCH(CE165,'DESEMPATE Y DISCAPACIDAD'!$C$3:$C$450,0)),"")</f>
        <v>0</v>
      </c>
      <c r="CG165" s="4">
        <f>IF(OR(CE165="",CF165=""),"",SUMIF(D163:D172,CF165,CD163:CD172))</f>
        <v>0</v>
      </c>
      <c r="CH165" s="4" t="str">
        <f t="shared" si="149"/>
        <v>NO CUMPLE</v>
      </c>
      <c r="CI165" s="4">
        <f t="shared" si="154"/>
        <v>0</v>
      </c>
      <c r="CJ165" s="4"/>
      <c r="CK165" s="4"/>
      <c r="CL165" s="4">
        <f t="shared" si="121"/>
        <v>1</v>
      </c>
      <c r="CM165" s="4">
        <f t="shared" si="122"/>
        <v>0</v>
      </c>
      <c r="CN165" s="4" t="str">
        <f t="shared" si="155"/>
        <v>COND. A</v>
      </c>
      <c r="CO165" s="4"/>
      <c r="CP165" s="4"/>
      <c r="CQ165" s="29" t="str">
        <f t="shared" si="110"/>
        <v>N/A</v>
      </c>
      <c r="CR165" s="29">
        <f t="shared" si="139"/>
        <v>2665.82</v>
      </c>
      <c r="CS165" s="4"/>
    </row>
    <row r="166" spans="1:97" ht="35" customHeight="1">
      <c r="B166" s="481"/>
      <c r="C166" s="118" t="s">
        <v>325</v>
      </c>
      <c r="D166" s="126" t="str">
        <f>+IFERROR(INDEX('DESEMPATE Y DISCAPACIDAD'!$D$3:$D$450,MATCH(C166,'DESEMPATE Y DISCAPACIDAD'!$C$3:$C$450,0)),"")</f>
        <v>APPLUS SERVICIOS INTEGRALES SAS</v>
      </c>
      <c r="E166" s="127" t="str">
        <f>IFERROR(IF(D166="","",IF(VLOOKUP(D166,'DESEMPATE Y DISCAPACIDAD'!D$3:$E$450,2,FALSE)=1,"N/A",IF(VLOOKUP(D166,'DESEMPATE Y DISCAPACIDAD'!D$3:$F$450,3,FALSE)="X","SI","NO"))),"")</f>
        <v>NO</v>
      </c>
      <c r="F166" s="367" t="s">
        <v>1029</v>
      </c>
      <c r="G166" s="125" t="s">
        <v>703</v>
      </c>
      <c r="H166" s="125" t="s">
        <v>1026</v>
      </c>
      <c r="I166" s="128" t="s">
        <v>1030</v>
      </c>
      <c r="J166" s="125" t="s">
        <v>74</v>
      </c>
      <c r="K166" s="125" t="s">
        <v>74</v>
      </c>
      <c r="L166" s="125" t="s">
        <v>75</v>
      </c>
      <c r="M166" s="125" t="s">
        <v>74</v>
      </c>
      <c r="N166" s="125" t="str">
        <f t="shared" si="150"/>
        <v>SI</v>
      </c>
      <c r="O166" s="125" t="str">
        <f>IFERROR(IF(OR(J166="",L166=""),"",IF(J166="NO","NO",L166)),"")</f>
        <v>NO</v>
      </c>
      <c r="P166" s="125" t="str">
        <f t="shared" si="151"/>
        <v>SI</v>
      </c>
      <c r="Q166" s="125" t="str">
        <f t="shared" si="123"/>
        <v>SI</v>
      </c>
      <c r="R166" s="68">
        <v>1</v>
      </c>
      <c r="S166" s="129">
        <v>38777</v>
      </c>
      <c r="T166" s="129">
        <v>40086</v>
      </c>
      <c r="U166" s="125">
        <f t="shared" si="152"/>
        <v>2009</v>
      </c>
      <c r="V166" s="117">
        <f>IF(U166=2023,1160000,IFERROR(INDEX(SMMLV!$B$2:$B$101,MATCH(U166,SMMLV!$A$2:$A$101,0)),""))</f>
        <v>496900</v>
      </c>
      <c r="W166" s="124" t="s">
        <v>670</v>
      </c>
      <c r="X166" s="121" t="s">
        <v>671</v>
      </c>
      <c r="Y166" s="125">
        <v>81</v>
      </c>
      <c r="Z166" s="474" t="s">
        <v>74</v>
      </c>
      <c r="AA166" s="475"/>
      <c r="AB166" s="476"/>
      <c r="AC166" s="125" t="str">
        <f t="shared" si="153"/>
        <v>SI</v>
      </c>
      <c r="AD166" s="117" t="str">
        <f t="shared" si="124"/>
        <v>N/A</v>
      </c>
      <c r="AE166" s="117">
        <v>5336.37</v>
      </c>
      <c r="AF166" s="117">
        <f t="shared" si="140"/>
        <v>5336.37</v>
      </c>
      <c r="AG166" s="470"/>
      <c r="AH166" s="470"/>
      <c r="AI166" s="125" t="str">
        <f t="shared" si="141"/>
        <v>CUMPLE</v>
      </c>
      <c r="AJ166" s="470"/>
      <c r="AK166" s="470"/>
      <c r="AL166" s="472"/>
      <c r="AM166" s="496"/>
      <c r="AN166" s="125" t="s">
        <v>75</v>
      </c>
      <c r="AO166" s="490"/>
      <c r="AP166" s="125" t="s">
        <v>74</v>
      </c>
      <c r="AQ166" s="490"/>
      <c r="AR166" s="522"/>
      <c r="AS166" s="519"/>
      <c r="AT166" s="204"/>
      <c r="AU166" s="614"/>
      <c r="AV166" s="617"/>
      <c r="AW166" s="620"/>
      <c r="AX166" s="620"/>
      <c r="AY166" s="19"/>
      <c r="CB166" s="29" t="str">
        <f>IFERROR(IF(COUNTIF(AF163:AF172,"")=10,"",IF(COUNTIF(E163:E172,"N/A")&gt;0,IF(AF166&gt;=CMEMM1,AF166,0),"N/A")),"")</f>
        <v>N/A</v>
      </c>
      <c r="CC166" s="4"/>
      <c r="CD166" s="4">
        <f>IFERROR(IF(COUNTIF(AF163:AF172,"")=10,"",IF(AF166="","",IF(AF166&gt;=CMEMM1,1,0))),"")</f>
        <v>1</v>
      </c>
      <c r="CE166" s="4" t="str">
        <f>B163&amp;"-0"&amp;4</f>
        <v>P17-04</v>
      </c>
      <c r="CF166" s="4">
        <f>IFERROR(INDEX('DESEMPATE Y DISCAPACIDAD'!$D$3:$D$450,MATCH(CE166,'DESEMPATE Y DISCAPACIDAD'!$C$3:$C$450,0)),"")</f>
        <v>0</v>
      </c>
      <c r="CG166" s="4">
        <f>IF(OR(CE166="",CF166=""),"",SUMIF(D163:D172,CF166,CD163:CD172))</f>
        <v>0</v>
      </c>
      <c r="CH166" s="4" t="str">
        <f t="shared" si="149"/>
        <v>NO CUMPLE</v>
      </c>
      <c r="CI166" s="4">
        <f t="shared" si="154"/>
        <v>0</v>
      </c>
      <c r="CJ166" s="4"/>
      <c r="CK166" s="4"/>
      <c r="CL166" s="4">
        <f t="shared" si="121"/>
        <v>1</v>
      </c>
      <c r="CM166" s="4">
        <f t="shared" si="122"/>
        <v>0</v>
      </c>
      <c r="CN166" s="4" t="str">
        <f t="shared" si="155"/>
        <v>COND. A</v>
      </c>
      <c r="CO166" s="4"/>
      <c r="CP166" s="4"/>
      <c r="CQ166" s="29" t="str">
        <f t="shared" si="110"/>
        <v>N/A</v>
      </c>
      <c r="CR166" s="29">
        <f t="shared" si="139"/>
        <v>5336.37</v>
      </c>
      <c r="CS166" s="4"/>
    </row>
    <row r="167" spans="1:97" ht="35" customHeight="1">
      <c r="B167" s="481"/>
      <c r="C167" s="118" t="s">
        <v>325</v>
      </c>
      <c r="D167" s="126" t="str">
        <f>+IFERROR(INDEX('DESEMPATE Y DISCAPACIDAD'!$D$3:$D$450,MATCH(C167,'DESEMPATE Y DISCAPACIDAD'!$C$3:$C$450,0)),"")</f>
        <v>APPLUS SERVICIOS INTEGRALES SAS</v>
      </c>
      <c r="E167" s="127" t="str">
        <f>IFERROR(IF(D167="","",IF(VLOOKUP(D167,'DESEMPATE Y DISCAPACIDAD'!D$3:$E$450,2,FALSE)=1,"N/A",IF(VLOOKUP(D167,'DESEMPATE Y DISCAPACIDAD'!D$3:$F$450,3,FALSE)="X","SI","NO"))),"")</f>
        <v>NO</v>
      </c>
      <c r="F167" s="3" t="s">
        <v>1031</v>
      </c>
      <c r="G167" s="125" t="s">
        <v>703</v>
      </c>
      <c r="H167" s="125" t="s">
        <v>1026</v>
      </c>
      <c r="I167" s="128" t="s">
        <v>1032</v>
      </c>
      <c r="J167" s="125" t="s">
        <v>74</v>
      </c>
      <c r="K167" s="125" t="s">
        <v>75</v>
      </c>
      <c r="L167" s="125" t="s">
        <v>75</v>
      </c>
      <c r="M167" s="125" t="s">
        <v>74</v>
      </c>
      <c r="N167" s="125" t="str">
        <f t="shared" si="150"/>
        <v>NO</v>
      </c>
      <c r="O167" s="125" t="str">
        <f t="shared" ref="O167:O172" si="156">IFERROR(IF(OR(J167="",L167=""),"",IF(J167="NO","NO",L167)),"")</f>
        <v>NO</v>
      </c>
      <c r="P167" s="125" t="str">
        <f t="shared" si="151"/>
        <v>SI</v>
      </c>
      <c r="Q167" s="125" t="str">
        <f t="shared" si="123"/>
        <v>SI</v>
      </c>
      <c r="R167" s="68">
        <v>0.5</v>
      </c>
      <c r="S167" s="129">
        <v>37469</v>
      </c>
      <c r="T167" s="129">
        <v>38533</v>
      </c>
      <c r="U167" s="125">
        <f t="shared" si="152"/>
        <v>2005</v>
      </c>
      <c r="V167" s="117">
        <f>IF(U167=2023,1160000,IFERROR(INDEX(SMMLV!$B$2:$B$101,MATCH(U167,SMMLV!$A$2:$A$101,0)),""))</f>
        <v>381500</v>
      </c>
      <c r="W167" s="124" t="s">
        <v>670</v>
      </c>
      <c r="X167" s="121" t="s">
        <v>671</v>
      </c>
      <c r="Y167" s="125">
        <v>5</v>
      </c>
      <c r="Z167" s="474" t="s">
        <v>74</v>
      </c>
      <c r="AA167" s="475"/>
      <c r="AB167" s="476"/>
      <c r="AC167" s="125" t="str">
        <f t="shared" si="153"/>
        <v>SI</v>
      </c>
      <c r="AD167" s="117" t="str">
        <f t="shared" si="124"/>
        <v>N/A</v>
      </c>
      <c r="AE167" s="117">
        <v>13928.32</v>
      </c>
      <c r="AF167" s="117">
        <f t="shared" si="140"/>
        <v>6964.16</v>
      </c>
      <c r="AG167" s="470"/>
      <c r="AH167" s="470"/>
      <c r="AI167" s="125" t="str">
        <f t="shared" si="141"/>
        <v>CUMPLE</v>
      </c>
      <c r="AJ167" s="470"/>
      <c r="AK167" s="470"/>
      <c r="AL167" s="472"/>
      <c r="AM167" s="496"/>
      <c r="AN167" s="125" t="s">
        <v>75</v>
      </c>
      <c r="AO167" s="490"/>
      <c r="AP167" s="125" t="s">
        <v>74</v>
      </c>
      <c r="AQ167" s="490"/>
      <c r="AR167" s="522"/>
      <c r="AS167" s="519"/>
      <c r="AT167" s="204"/>
      <c r="AU167" s="614"/>
      <c r="AV167" s="617"/>
      <c r="AW167" s="620"/>
      <c r="AX167" s="620"/>
      <c r="AY167" s="19"/>
      <c r="CB167" s="29" t="str">
        <f>IFERROR(IF(COUNTIF(AF163:AF172,"")=10,"",IF(COUNTIF(E163:E172,"N/A")&gt;0,IF(AF167&gt;=CMEMM1,AF167,0),"N/A")),"")</f>
        <v>N/A</v>
      </c>
      <c r="CC167" s="4"/>
      <c r="CD167" s="4">
        <f>IFERROR(IF(COUNTIF(AF163:AF172,"")=10,"",IF(AF167="","",IF(AF167&gt;=CMEMM1,1,0))),"")</f>
        <v>1</v>
      </c>
      <c r="CE167" s="4" t="str">
        <f>B163&amp;"-0"&amp;5</f>
        <v>P17-05</v>
      </c>
      <c r="CF167" s="4">
        <f>IFERROR(INDEX('DESEMPATE Y DISCAPACIDAD'!$D$3:$D$450,MATCH(CE167,'DESEMPATE Y DISCAPACIDAD'!$C$3:$C$450,0)),"")</f>
        <v>0</v>
      </c>
      <c r="CG167" s="4">
        <f>IF(OR(CE167="",CF167=""),"",SUMIF(D163:D172,CF167,CD163:CD172))</f>
        <v>0</v>
      </c>
      <c r="CH167" s="4" t="str">
        <f t="shared" si="149"/>
        <v>NO CUMPLE</v>
      </c>
      <c r="CI167" s="4">
        <f t="shared" si="154"/>
        <v>0</v>
      </c>
      <c r="CJ167" s="4"/>
      <c r="CK167" s="4"/>
      <c r="CL167" s="4">
        <f t="shared" si="121"/>
        <v>0</v>
      </c>
      <c r="CM167" s="4">
        <f t="shared" si="122"/>
        <v>0</v>
      </c>
      <c r="CN167" s="4" t="str">
        <f t="shared" si="155"/>
        <v>N/A</v>
      </c>
      <c r="CO167" s="4"/>
      <c r="CP167" s="4"/>
      <c r="CQ167" s="29" t="str">
        <f t="shared" si="110"/>
        <v>N/A</v>
      </c>
      <c r="CR167" s="29">
        <f t="shared" si="139"/>
        <v>6964.16</v>
      </c>
      <c r="CS167" s="4"/>
    </row>
    <row r="168" spans="1:97" ht="2" customHeight="1">
      <c r="B168" s="481"/>
      <c r="C168" s="118"/>
      <c r="D168" s="126" t="str">
        <f>+IFERROR(INDEX('DESEMPATE Y DISCAPACIDAD'!$D$3:$D$450,MATCH(C168,'DESEMPATE Y DISCAPACIDAD'!$C$3:$C$450,0)),"")</f>
        <v/>
      </c>
      <c r="E168" s="127" t="str">
        <f>IFERROR(IF(D168="","",IF(VLOOKUP(D168,'DESEMPATE Y DISCAPACIDAD'!D$3:$E$450,2,FALSE)=1,"N/A",IF(VLOOKUP(D168,'DESEMPATE Y DISCAPACIDAD'!D$3:$F$450,3,FALSE)="X","SI","NO"))),"")</f>
        <v/>
      </c>
      <c r="F168" s="3"/>
      <c r="G168" s="125"/>
      <c r="H168" s="125"/>
      <c r="I168" s="128"/>
      <c r="J168" s="125"/>
      <c r="K168" s="125"/>
      <c r="L168" s="125"/>
      <c r="M168" s="125"/>
      <c r="N168" s="125" t="str">
        <f t="shared" si="150"/>
        <v/>
      </c>
      <c r="O168" s="125" t="str">
        <f t="shared" si="156"/>
        <v/>
      </c>
      <c r="P168" s="125" t="str">
        <f t="shared" si="151"/>
        <v/>
      </c>
      <c r="Q168" s="125" t="str">
        <f t="shared" si="123"/>
        <v/>
      </c>
      <c r="R168" s="68"/>
      <c r="S168" s="129"/>
      <c r="T168" s="129"/>
      <c r="U168" s="125" t="str">
        <f t="shared" si="152"/>
        <v/>
      </c>
      <c r="V168" s="117" t="str">
        <f>IF(U168=2023,1160000,IFERROR(INDEX(SMMLV!$B$2:$B$101,MATCH(U168,SMMLV!$A$2:$A$101,0)),""))</f>
        <v/>
      </c>
      <c r="W168" s="117"/>
      <c r="X168" s="125"/>
      <c r="Y168" s="125"/>
      <c r="Z168" s="474"/>
      <c r="AA168" s="475"/>
      <c r="AB168" s="476"/>
      <c r="AC168" s="125" t="str">
        <f t="shared" si="153"/>
        <v/>
      </c>
      <c r="AD168" s="117" t="str">
        <f t="shared" si="124"/>
        <v/>
      </c>
      <c r="AE168" s="117" t="s">
        <v>894</v>
      </c>
      <c r="AF168" s="117" t="str">
        <f t="shared" si="140"/>
        <v/>
      </c>
      <c r="AG168" s="470"/>
      <c r="AH168" s="470"/>
      <c r="AI168" s="125" t="str">
        <f t="shared" si="141"/>
        <v/>
      </c>
      <c r="AJ168" s="470"/>
      <c r="AK168" s="470"/>
      <c r="AL168" s="472"/>
      <c r="AM168" s="496"/>
      <c r="AN168" s="125"/>
      <c r="AO168" s="490"/>
      <c r="AP168" s="125"/>
      <c r="AQ168" s="490"/>
      <c r="AR168" s="522"/>
      <c r="AS168" s="519"/>
      <c r="AT168" s="204"/>
      <c r="AU168" s="614"/>
      <c r="AV168" s="617"/>
      <c r="AW168" s="620"/>
      <c r="AX168" s="620"/>
      <c r="AY168" s="19"/>
      <c r="CB168" s="29" t="str">
        <f>IFERROR(IF(COUNTIF(AF163:AF172,"")=10,"",IF(COUNTIF(E163:E172,"N/A")&gt;0,IF(AF168&gt;=CMEMM1,AF168,0),"N/A")),"")</f>
        <v>N/A</v>
      </c>
      <c r="CC168" s="4"/>
      <c r="CD168" s="4" t="str">
        <f>IFERROR(IF(COUNTIF(AF163:AF172,"")=10,"",IF(AF168="","",IF(AF168&gt;=CMEMM1,1,0))),"")</f>
        <v/>
      </c>
      <c r="CE168" s="4" t="str">
        <f>B163&amp;"-0"&amp;6</f>
        <v>P17-06</v>
      </c>
      <c r="CF168" s="4">
        <f>IFERROR(INDEX('DESEMPATE Y DISCAPACIDAD'!$D$3:$D$450,MATCH(CE168,'DESEMPATE Y DISCAPACIDAD'!$C$3:$C$450,0)),"")</f>
        <v>0</v>
      </c>
      <c r="CG168" s="4">
        <f>IF(OR(CE168="",CF168=""),"",SUMIF(D163:D172,CF168,CD163:CD172))</f>
        <v>0</v>
      </c>
      <c r="CH168" s="4" t="str">
        <f t="shared" si="149"/>
        <v>NO CUMPLE</v>
      </c>
      <c r="CI168" s="4">
        <f t="shared" si="154"/>
        <v>0</v>
      </c>
      <c r="CJ168" s="4"/>
      <c r="CK168" s="4"/>
      <c r="CL168" s="4" t="str">
        <f t="shared" si="121"/>
        <v/>
      </c>
      <c r="CM168" s="4" t="str">
        <f t="shared" si="122"/>
        <v/>
      </c>
      <c r="CN168" s="4" t="str">
        <f t="shared" si="155"/>
        <v/>
      </c>
      <c r="CO168" s="4"/>
      <c r="CP168" s="4"/>
      <c r="CQ168" s="29" t="str">
        <f t="shared" si="110"/>
        <v/>
      </c>
      <c r="CR168" s="29" t="str">
        <f t="shared" si="139"/>
        <v/>
      </c>
      <c r="CS168" s="4"/>
    </row>
    <row r="169" spans="1:97" ht="2" customHeight="1">
      <c r="B169" s="481"/>
      <c r="C169" s="118"/>
      <c r="D169" s="126" t="str">
        <f>+IFERROR(INDEX('DESEMPATE Y DISCAPACIDAD'!$D$3:$D$450,MATCH(C169,'DESEMPATE Y DISCAPACIDAD'!$C$3:$C$450,0)),"")</f>
        <v/>
      </c>
      <c r="E169" s="127" t="str">
        <f>IFERROR(IF(D169="","",IF(VLOOKUP(D169,'DESEMPATE Y DISCAPACIDAD'!D$3:$E$450,2,FALSE)=1,"N/A",IF(VLOOKUP(D169,'DESEMPATE Y DISCAPACIDAD'!D$3:$F$450,3,FALSE)="X","SI","NO"))),"")</f>
        <v/>
      </c>
      <c r="F169" s="3"/>
      <c r="G169" s="125"/>
      <c r="H169" s="125"/>
      <c r="I169" s="128"/>
      <c r="J169" s="125"/>
      <c r="K169" s="125"/>
      <c r="L169" s="125"/>
      <c r="M169" s="125"/>
      <c r="N169" s="125" t="str">
        <f t="shared" si="150"/>
        <v/>
      </c>
      <c r="O169" s="125" t="str">
        <f t="shared" si="156"/>
        <v/>
      </c>
      <c r="P169" s="125" t="str">
        <f t="shared" si="151"/>
        <v/>
      </c>
      <c r="Q169" s="125" t="str">
        <f t="shared" si="123"/>
        <v/>
      </c>
      <c r="R169" s="68"/>
      <c r="S169" s="129"/>
      <c r="T169" s="129"/>
      <c r="U169" s="125" t="str">
        <f t="shared" si="152"/>
        <v/>
      </c>
      <c r="V169" s="117" t="str">
        <f>IF(U169=2023,1160000,IFERROR(INDEX(SMMLV!$B$2:$B$101,MATCH(U169,SMMLV!$A$2:$A$101,0)),""))</f>
        <v/>
      </c>
      <c r="W169" s="117"/>
      <c r="X169" s="125"/>
      <c r="Y169" s="125"/>
      <c r="Z169" s="474"/>
      <c r="AA169" s="475"/>
      <c r="AB169" s="476"/>
      <c r="AC169" s="125" t="str">
        <f t="shared" si="153"/>
        <v/>
      </c>
      <c r="AD169" s="117" t="str">
        <f t="shared" si="124"/>
        <v/>
      </c>
      <c r="AE169" s="117" t="s">
        <v>894</v>
      </c>
      <c r="AF169" s="117" t="str">
        <f t="shared" si="140"/>
        <v/>
      </c>
      <c r="AG169" s="470"/>
      <c r="AH169" s="470"/>
      <c r="AI169" s="125" t="str">
        <f t="shared" si="141"/>
        <v/>
      </c>
      <c r="AJ169" s="470"/>
      <c r="AK169" s="470"/>
      <c r="AL169" s="472"/>
      <c r="AM169" s="496"/>
      <c r="AN169" s="125"/>
      <c r="AO169" s="490"/>
      <c r="AP169" s="125"/>
      <c r="AQ169" s="490"/>
      <c r="AR169" s="522"/>
      <c r="AS169" s="519"/>
      <c r="AT169" s="204"/>
      <c r="AU169" s="614"/>
      <c r="AV169" s="617"/>
      <c r="AW169" s="620"/>
      <c r="AX169" s="620"/>
      <c r="AY169" s="19"/>
      <c r="CB169" s="29" t="str">
        <f>IFERROR(IF(COUNTIF(AF163:AF172,"")=10,"",IF(COUNTIF(E163:E172,"N/A")&gt;0,IF(AF169&gt;=CMEMM1,AF169,0),"N/A")),"")</f>
        <v>N/A</v>
      </c>
      <c r="CC169" s="4"/>
      <c r="CD169" s="4" t="str">
        <f>IFERROR(IF(COUNTIF(AF163:AF172,"")=10,"",IF(AF169="","",IF(AF169&gt;=CMEMM1,1,0))),"")</f>
        <v/>
      </c>
      <c r="CE169" s="4" t="str">
        <f>B163&amp;"-0"&amp;7</f>
        <v>P17-07</v>
      </c>
      <c r="CF169" s="4" t="str">
        <f>IFERROR(INDEX('DESEMPATE Y DISCAPACIDAD'!$D$3:$D$450,MATCH(CE169,'DESEMPATE Y DISCAPACIDAD'!$C$3:$C$450,0)),"")</f>
        <v/>
      </c>
      <c r="CG169" s="4" t="str">
        <f>IF(OR(CE169="",CF169=""),"",SUMIF(D163:D172,CF169,CD163:CD172))</f>
        <v/>
      </c>
      <c r="CH169" s="4" t="str">
        <f t="shared" si="149"/>
        <v/>
      </c>
      <c r="CI169" s="4" t="str">
        <f t="shared" si="154"/>
        <v/>
      </c>
      <c r="CJ169" s="4"/>
      <c r="CK169" s="4"/>
      <c r="CL169" s="4" t="str">
        <f t="shared" si="121"/>
        <v/>
      </c>
      <c r="CM169" s="4" t="str">
        <f t="shared" si="122"/>
        <v/>
      </c>
      <c r="CN169" s="4" t="str">
        <f t="shared" si="155"/>
        <v/>
      </c>
      <c r="CO169" s="4"/>
      <c r="CP169" s="4"/>
      <c r="CQ169" s="29" t="str">
        <f t="shared" si="110"/>
        <v/>
      </c>
      <c r="CR169" s="29" t="str">
        <f t="shared" si="139"/>
        <v/>
      </c>
      <c r="CS169" s="4"/>
    </row>
    <row r="170" spans="1:97" ht="2" customHeight="1">
      <c r="B170" s="481"/>
      <c r="C170" s="118"/>
      <c r="D170" s="126" t="str">
        <f>+IFERROR(INDEX('DESEMPATE Y DISCAPACIDAD'!$D$3:$D$450,MATCH(C170,'DESEMPATE Y DISCAPACIDAD'!$C$3:$C$450,0)),"")</f>
        <v/>
      </c>
      <c r="E170" s="127" t="str">
        <f>IFERROR(IF(D170="","",IF(VLOOKUP(D170,'DESEMPATE Y DISCAPACIDAD'!D$3:$E$450,2,FALSE)=1,"N/A",IF(VLOOKUP(D170,'DESEMPATE Y DISCAPACIDAD'!D$3:$F$450,3,FALSE)="X","SI","NO"))),"")</f>
        <v/>
      </c>
      <c r="F170" s="3"/>
      <c r="G170" s="125"/>
      <c r="H170" s="125"/>
      <c r="I170" s="128"/>
      <c r="J170" s="125"/>
      <c r="K170" s="125"/>
      <c r="L170" s="125"/>
      <c r="M170" s="125"/>
      <c r="N170" s="125" t="str">
        <f t="shared" si="150"/>
        <v/>
      </c>
      <c r="O170" s="125" t="str">
        <f t="shared" si="156"/>
        <v/>
      </c>
      <c r="P170" s="125" t="str">
        <f t="shared" si="151"/>
        <v/>
      </c>
      <c r="Q170" s="125" t="str">
        <f t="shared" si="123"/>
        <v/>
      </c>
      <c r="R170" s="68"/>
      <c r="S170" s="129"/>
      <c r="T170" s="129"/>
      <c r="U170" s="125" t="str">
        <f t="shared" si="152"/>
        <v/>
      </c>
      <c r="V170" s="117" t="str">
        <f>IF(U170=2023,1160000,IFERROR(INDEX(SMMLV!$B$2:$B$101,MATCH(U170,SMMLV!$A$2:$A$101,0)),""))</f>
        <v/>
      </c>
      <c r="W170" s="117"/>
      <c r="X170" s="125"/>
      <c r="Y170" s="125"/>
      <c r="Z170" s="474"/>
      <c r="AA170" s="475"/>
      <c r="AB170" s="476"/>
      <c r="AC170" s="125" t="str">
        <f t="shared" si="153"/>
        <v/>
      </c>
      <c r="AD170" s="117" t="str">
        <f t="shared" si="124"/>
        <v/>
      </c>
      <c r="AE170" s="117" t="s">
        <v>894</v>
      </c>
      <c r="AF170" s="117" t="str">
        <f t="shared" si="140"/>
        <v/>
      </c>
      <c r="AG170" s="470"/>
      <c r="AH170" s="470"/>
      <c r="AI170" s="125" t="str">
        <f t="shared" si="141"/>
        <v/>
      </c>
      <c r="AJ170" s="470"/>
      <c r="AK170" s="470"/>
      <c r="AL170" s="472"/>
      <c r="AM170" s="496"/>
      <c r="AN170" s="125"/>
      <c r="AO170" s="490"/>
      <c r="AP170" s="125"/>
      <c r="AQ170" s="490"/>
      <c r="AR170" s="522"/>
      <c r="AS170" s="519"/>
      <c r="AT170" s="204"/>
      <c r="AU170" s="614"/>
      <c r="AV170" s="617"/>
      <c r="AW170" s="620"/>
      <c r="AX170" s="620"/>
      <c r="AY170" s="19"/>
      <c r="CB170" s="29" t="str">
        <f>IFERROR(IF(COUNTIF(AF163:AF172,"")=10,"",IF(COUNTIF(E163:E172,"N/A")&gt;0,IF(AF170&gt;=CMEMM1,AF170,0),"N/A")),"")</f>
        <v>N/A</v>
      </c>
      <c r="CC170" s="4"/>
      <c r="CD170" s="4" t="str">
        <f>IFERROR(IF(COUNTIF(AF163:AF172,"")=10,"",IF(AF170="","",IF(AF170&gt;=CMEMM1,1,0))),"")</f>
        <v/>
      </c>
      <c r="CE170" s="4" t="str">
        <f>B163&amp;"-0"&amp;8</f>
        <v>P17-08</v>
      </c>
      <c r="CF170" s="4" t="str">
        <f>IFERROR(INDEX('DESEMPATE Y DISCAPACIDAD'!$D$3:$D$450,MATCH(CE170,'DESEMPATE Y DISCAPACIDAD'!$C$3:$C$450,0)),"")</f>
        <v/>
      </c>
      <c r="CG170" s="4" t="str">
        <f>IF(OR(CE170="",CF170=""),"",SUMIF(D163:D172,CF170,CD163:CD172))</f>
        <v/>
      </c>
      <c r="CH170" s="4" t="str">
        <f t="shared" si="149"/>
        <v/>
      </c>
      <c r="CI170" s="4" t="str">
        <f t="shared" si="154"/>
        <v/>
      </c>
      <c r="CJ170" s="4"/>
      <c r="CK170" s="4"/>
      <c r="CL170" s="4" t="str">
        <f t="shared" si="121"/>
        <v/>
      </c>
      <c r="CM170" s="4" t="str">
        <f t="shared" si="122"/>
        <v/>
      </c>
      <c r="CN170" s="4" t="str">
        <f t="shared" si="155"/>
        <v/>
      </c>
      <c r="CO170" s="4"/>
      <c r="CP170" s="4"/>
      <c r="CQ170" s="29" t="str">
        <f t="shared" si="110"/>
        <v/>
      </c>
      <c r="CR170" s="29" t="str">
        <f t="shared" si="139"/>
        <v/>
      </c>
      <c r="CS170" s="4"/>
    </row>
    <row r="171" spans="1:97" ht="2" customHeight="1">
      <c r="B171" s="481"/>
      <c r="C171" s="118"/>
      <c r="D171" s="126" t="str">
        <f>+IFERROR(INDEX('DESEMPATE Y DISCAPACIDAD'!$D$3:$D$450,MATCH(C171,'DESEMPATE Y DISCAPACIDAD'!$C$3:$C$450,0)),"")</f>
        <v/>
      </c>
      <c r="E171" s="127" t="str">
        <f>IFERROR(IF(D171="","",IF(VLOOKUP(D171,'DESEMPATE Y DISCAPACIDAD'!D$3:$E$450,2,FALSE)=1,"N/A",IF(VLOOKUP(D171,'DESEMPATE Y DISCAPACIDAD'!D$3:$F$450,3,FALSE)="X","SI","NO"))),"")</f>
        <v/>
      </c>
      <c r="F171" s="3"/>
      <c r="G171" s="125"/>
      <c r="H171" s="125"/>
      <c r="I171" s="128"/>
      <c r="J171" s="125"/>
      <c r="K171" s="125"/>
      <c r="L171" s="125"/>
      <c r="M171" s="125"/>
      <c r="N171" s="125" t="str">
        <f t="shared" si="150"/>
        <v/>
      </c>
      <c r="O171" s="125" t="str">
        <f t="shared" si="156"/>
        <v/>
      </c>
      <c r="P171" s="125" t="str">
        <f t="shared" si="151"/>
        <v/>
      </c>
      <c r="Q171" s="125" t="str">
        <f t="shared" si="123"/>
        <v/>
      </c>
      <c r="R171" s="68"/>
      <c r="S171" s="129"/>
      <c r="T171" s="129"/>
      <c r="U171" s="125" t="str">
        <f t="shared" si="152"/>
        <v/>
      </c>
      <c r="V171" s="117" t="str">
        <f>IF(U171=2023,1160000,IFERROR(INDEX(SMMLV!$B$2:$B$101,MATCH(U171,SMMLV!$A$2:$A$101,0)),""))</f>
        <v/>
      </c>
      <c r="W171" s="117"/>
      <c r="X171" s="125"/>
      <c r="Y171" s="125"/>
      <c r="Z171" s="474"/>
      <c r="AA171" s="475"/>
      <c r="AB171" s="476"/>
      <c r="AC171" s="125" t="str">
        <f t="shared" si="153"/>
        <v/>
      </c>
      <c r="AD171" s="117" t="str">
        <f t="shared" si="124"/>
        <v/>
      </c>
      <c r="AE171" s="117" t="s">
        <v>894</v>
      </c>
      <c r="AF171" s="117" t="str">
        <f t="shared" si="140"/>
        <v/>
      </c>
      <c r="AG171" s="470"/>
      <c r="AH171" s="470"/>
      <c r="AI171" s="125" t="str">
        <f t="shared" si="141"/>
        <v/>
      </c>
      <c r="AJ171" s="470"/>
      <c r="AK171" s="470"/>
      <c r="AL171" s="472"/>
      <c r="AM171" s="496"/>
      <c r="AN171" s="125"/>
      <c r="AO171" s="490"/>
      <c r="AP171" s="125"/>
      <c r="AQ171" s="490"/>
      <c r="AR171" s="522"/>
      <c r="AS171" s="519"/>
      <c r="AT171" s="204"/>
      <c r="AU171" s="614"/>
      <c r="AV171" s="617"/>
      <c r="AW171" s="620"/>
      <c r="AX171" s="620"/>
      <c r="AY171" s="19"/>
      <c r="CB171" s="29" t="str">
        <f>IFERROR(IF(COUNTIF(AF163:AF172,"")=10,"",IF(COUNTIF(E163:E172,"N/A")&gt;0,IF(AF171&gt;=CMEMM1,AF171,0),"N/A")),"")</f>
        <v>N/A</v>
      </c>
      <c r="CC171" s="4"/>
      <c r="CD171" s="4" t="str">
        <f>IFERROR(IF(COUNTIF(AF163:AF172,"")=10,"",IF(AF171="","",IF(AF171&gt;=CMEMM1,1,0))),"")</f>
        <v/>
      </c>
      <c r="CE171" s="4" t="str">
        <f>B163&amp;"-0"&amp;9</f>
        <v>P17-09</v>
      </c>
      <c r="CF171" s="4" t="str">
        <f>IFERROR(INDEX('DESEMPATE Y DISCAPACIDAD'!$D$3:$D$450,MATCH(CE171,'DESEMPATE Y DISCAPACIDAD'!$C$3:$C$450,0)),"")</f>
        <v/>
      </c>
      <c r="CG171" s="4" t="str">
        <f>IF(OR(CE171="",CF171=""),"",SUMIF(D163:D172,CF171,CD163:CD172))</f>
        <v/>
      </c>
      <c r="CH171" s="4" t="str">
        <f t="shared" si="149"/>
        <v/>
      </c>
      <c r="CI171" s="4" t="str">
        <f t="shared" si="154"/>
        <v/>
      </c>
      <c r="CJ171" s="4"/>
      <c r="CK171" s="4"/>
      <c r="CL171" s="4" t="str">
        <f t="shared" si="121"/>
        <v/>
      </c>
      <c r="CM171" s="4" t="str">
        <f t="shared" si="122"/>
        <v/>
      </c>
      <c r="CN171" s="4" t="str">
        <f t="shared" si="155"/>
        <v/>
      </c>
      <c r="CO171" s="4"/>
      <c r="CP171" s="4"/>
      <c r="CQ171" s="29" t="str">
        <f t="shared" si="110"/>
        <v/>
      </c>
      <c r="CR171" s="29" t="str">
        <f t="shared" si="139"/>
        <v/>
      </c>
      <c r="CS171" s="4"/>
    </row>
    <row r="172" spans="1:97" ht="2" customHeight="1" thickBot="1">
      <c r="B172" s="482"/>
      <c r="C172" s="130"/>
      <c r="D172" s="131" t="str">
        <f>+IFERROR(INDEX('DESEMPATE Y DISCAPACIDAD'!$D$3:$D$450,MATCH(C172,'DESEMPATE Y DISCAPACIDAD'!$C$3:$C$450,0)),"")</f>
        <v/>
      </c>
      <c r="E172" s="132" t="str">
        <f>IFERROR(IF(D172="","",IF(VLOOKUP(D172,'DESEMPATE Y DISCAPACIDAD'!D$3:$E$450,2,FALSE)=1,"N/A",IF(VLOOKUP(D172,'DESEMPATE Y DISCAPACIDAD'!D$3:$F$450,3,FALSE)="X","SI","NO"))),"")</f>
        <v/>
      </c>
      <c r="F172" s="5"/>
      <c r="G172" s="133"/>
      <c r="H172" s="133"/>
      <c r="I172" s="134"/>
      <c r="J172" s="133"/>
      <c r="K172" s="133"/>
      <c r="L172" s="133"/>
      <c r="M172" s="133"/>
      <c r="N172" s="133" t="str">
        <f t="shared" si="150"/>
        <v/>
      </c>
      <c r="O172" s="133" t="str">
        <f t="shared" si="156"/>
        <v/>
      </c>
      <c r="P172" s="133" t="str">
        <f t="shared" si="151"/>
        <v/>
      </c>
      <c r="Q172" s="133" t="str">
        <f t="shared" si="123"/>
        <v/>
      </c>
      <c r="R172" s="104"/>
      <c r="S172" s="135"/>
      <c r="T172" s="135"/>
      <c r="U172" s="133" t="str">
        <f t="shared" si="152"/>
        <v/>
      </c>
      <c r="V172" s="136" t="str">
        <f>IF(U172=2023,1160000,IFERROR(INDEX(SMMLV!$B$2:$B$101,MATCH(U172,SMMLV!$A$2:$A$101,0)),""))</f>
        <v/>
      </c>
      <c r="W172" s="136"/>
      <c r="X172" s="133"/>
      <c r="Y172" s="133"/>
      <c r="Z172" s="487"/>
      <c r="AA172" s="488"/>
      <c r="AB172" s="489"/>
      <c r="AC172" s="133" t="str">
        <f t="shared" si="153"/>
        <v/>
      </c>
      <c r="AD172" s="136" t="str">
        <f t="shared" si="124"/>
        <v/>
      </c>
      <c r="AE172" s="117" t="s">
        <v>894</v>
      </c>
      <c r="AF172" s="136" t="str">
        <f t="shared" si="140"/>
        <v/>
      </c>
      <c r="AG172" s="471"/>
      <c r="AH172" s="471"/>
      <c r="AI172" s="133" t="str">
        <f t="shared" si="141"/>
        <v/>
      </c>
      <c r="AJ172" s="471"/>
      <c r="AK172" s="471"/>
      <c r="AL172" s="473"/>
      <c r="AM172" s="497"/>
      <c r="AN172" s="133"/>
      <c r="AO172" s="491"/>
      <c r="AP172" s="133"/>
      <c r="AQ172" s="491"/>
      <c r="AR172" s="523"/>
      <c r="AS172" s="520"/>
      <c r="AT172" s="206"/>
      <c r="AU172" s="615"/>
      <c r="AV172" s="618"/>
      <c r="AW172" s="621"/>
      <c r="AX172" s="621"/>
      <c r="AY172" s="19"/>
      <c r="CB172" s="29" t="str">
        <f>IFERROR(IF(COUNTIF(AF163:AF172,"")=10,"",IF(COUNTIF(E163:E172,"N/A")&gt;0,IF(AF172&gt;=CMEMM1,AF172,0),"N/A")),"")</f>
        <v>N/A</v>
      </c>
      <c r="CC172" s="4"/>
      <c r="CD172" s="4" t="str">
        <f>IFERROR(IF(COUNTIF(AF163:AF172,"")=10,"",IF(AF172="","",IF(AF172&gt;=CMEMM1,1,0))),"")</f>
        <v/>
      </c>
      <c r="CE172" s="4" t="str">
        <f>B163&amp;"-"&amp;10</f>
        <v>P17-10</v>
      </c>
      <c r="CF172" s="4" t="str">
        <f>IFERROR(INDEX('DESEMPATE Y DISCAPACIDAD'!$D$3:$D$450,MATCH(CE172,'DESEMPATE Y DISCAPACIDAD'!$C$3:$C$450,0)),"")</f>
        <v/>
      </c>
      <c r="CG172" s="4" t="str">
        <f>IF(OR(CE172="",CF172=""),"",SUMIF(D163:D172,CF172,CD163:CD172))</f>
        <v/>
      </c>
      <c r="CH172" s="4" t="str">
        <f t="shared" si="149"/>
        <v/>
      </c>
      <c r="CI172" s="4" t="str">
        <f t="shared" si="154"/>
        <v/>
      </c>
      <c r="CJ172" s="4"/>
      <c r="CK172" s="4"/>
      <c r="CL172" s="4" t="str">
        <f t="shared" si="121"/>
        <v/>
      </c>
      <c r="CM172" s="4" t="str">
        <f t="shared" si="122"/>
        <v/>
      </c>
      <c r="CN172" s="4" t="str">
        <f t="shared" si="155"/>
        <v/>
      </c>
      <c r="CO172" s="4"/>
      <c r="CP172" s="4"/>
      <c r="CQ172" s="29" t="str">
        <f t="shared" si="110"/>
        <v/>
      </c>
      <c r="CR172" s="29" t="str">
        <f t="shared" si="139"/>
        <v/>
      </c>
      <c r="CS172" s="4"/>
    </row>
    <row r="173" spans="1:97" ht="35" customHeight="1">
      <c r="A173" s="4" t="str">
        <f>"A"&amp;B173</f>
        <v>AP18</v>
      </c>
      <c r="B173" s="480" t="s">
        <v>139</v>
      </c>
      <c r="C173" s="108" t="s">
        <v>331</v>
      </c>
      <c r="D173" s="119" t="str">
        <f>+IFERROR(INDEX('DESEMPATE Y DISCAPACIDAD'!$D$3:$D$450,MATCH(C173,'DESEMPATE Y DISCAPACIDAD'!$C$3:$C$450,0)),"")</f>
        <v>R&amp;Q INGENIERIA COLOMBIA SA</v>
      </c>
      <c r="E173" s="120" t="str">
        <f>IFERROR(IF(D173="","",IF(VLOOKUP(D173,'DESEMPATE Y DISCAPACIDAD'!D$3:$E$450,2,FALSE)=1,"N/A",IF(VLOOKUP(D173,'DESEMPATE Y DISCAPACIDAD'!D$3:$F$450,3,FALSE)="X","SI","NO"))),"")</f>
        <v>NO</v>
      </c>
      <c r="F173" s="3" t="s">
        <v>1033</v>
      </c>
      <c r="G173" s="125" t="s">
        <v>1034</v>
      </c>
      <c r="H173" s="121" t="s">
        <v>793</v>
      </c>
      <c r="I173" s="122" t="s">
        <v>1035</v>
      </c>
      <c r="J173" s="121" t="s">
        <v>74</v>
      </c>
      <c r="K173" s="121" t="s">
        <v>74</v>
      </c>
      <c r="L173" s="121" t="s">
        <v>75</v>
      </c>
      <c r="M173" s="121" t="s">
        <v>74</v>
      </c>
      <c r="N173" s="121" t="str">
        <f>IFERROR(IF(OR(J173="",K173=""),"",IF(J173="NO","NO",K173)),"")</f>
        <v>SI</v>
      </c>
      <c r="O173" s="121" t="str">
        <f>IFERROR(IF(OR(J173="",L173=""),"",IF(J173="NO","NO",L173)),"")</f>
        <v>NO</v>
      </c>
      <c r="P173" s="121" t="str">
        <f>IFERROR(IF(OR(J173="",M173=""),"",IF(J173="NO","NO",M173)),"")</f>
        <v>SI</v>
      </c>
      <c r="Q173" s="121" t="str">
        <f t="shared" si="123"/>
        <v>SI</v>
      </c>
      <c r="R173" s="103">
        <v>1</v>
      </c>
      <c r="S173" s="123">
        <v>38021</v>
      </c>
      <c r="T173" s="123">
        <v>38421</v>
      </c>
      <c r="U173" s="121">
        <f>IFERROR(IF(T173="","",YEAR(T173)),"")</f>
        <v>2005</v>
      </c>
      <c r="V173" s="124">
        <f>IF(U173=2023,1160000,IFERROR(INDEX(SMMLV!$B$2:$B$101,MATCH(U173,SMMLV!$A$2:$A$101,0)),""))</f>
        <v>381500</v>
      </c>
      <c r="W173" s="124" t="s">
        <v>670</v>
      </c>
      <c r="X173" s="121" t="s">
        <v>671</v>
      </c>
      <c r="Y173" s="121">
        <v>40</v>
      </c>
      <c r="Z173" s="483" t="s">
        <v>74</v>
      </c>
      <c r="AA173" s="484"/>
      <c r="AB173" s="485"/>
      <c r="AC173" s="121" t="str">
        <f>IFERROR(IF(Y173="","",IF(ISNUMBER(Y173),IF(COUNTIF(Z173,"SI")&gt;0,"SI","NO"),Y173)),"")</f>
        <v>SI</v>
      </c>
      <c r="AD173" s="124" t="str">
        <f t="shared" si="124"/>
        <v>N/A</v>
      </c>
      <c r="AE173" s="117">
        <v>7738.46</v>
      </c>
      <c r="AF173" s="124">
        <f t="shared" si="140"/>
        <v>7738.46</v>
      </c>
      <c r="AG173" s="486" t="str">
        <f>IFERROR(IF(COUNTIF(AF173:AF182,"")=10,"",IF(COUNTIF(E173:E182,"N/A")&gt;0,IF(SUM(CB173:CB182)&gt;=CMEM1,"CUMPLE","NO CUMPLE"),IF(SUM(AF173:AF182)&gt;=CMEM1,"CUMPLE","NO CUMPLE"))),"")</f>
        <v>CUMPLE</v>
      </c>
      <c r="AH173" s="486" t="str">
        <f>IF(COUNTIF(AF173:AF182,"")=10,"",IF(SUMIF(C173:C182,C173,AF173:AF182)&gt;=CMLM1,"CUMPLE",IF(SUMIF(C173:C182,C174,AF173:AF182)&gt;=CMLM1,"CUMPLE",IF(SUMIF(C173:C182,C175,AF173:AF182)&gt;=CMLM1,"CUMPLE",IF(SUMIF(C173:C182,C176,AF173:AF182)&gt;=CMLM1,"CUMPLE",IF(SUMIF(C173:C182,C177,AF173:AF182)&gt;=CMLM1,"CUMPLE",IF(SUMIF(C173:C182,C178,AF173:AF182)&gt;=CMLM1,"CUMPLE",IF(SUMIF(C173:C182,C179,AF173:AF182)&gt;=CMLM1,"CUMPLE",IF(SUMIF(C173:C182,C180,AF173:AF182)&gt;=CMLM1,"CUMPLE",IF(SUMIF(C173:C182,C181,AF173:AF182)&gt;=CMLM1,"CUMPLE",IF(SUMIF(C173:C182,C182,AF173:AF182)&gt;=CMLM1,"CUMPLE","NO CUMPLE")))))))))))</f>
        <v>CUMPLE</v>
      </c>
      <c r="AI173" s="121" t="str">
        <f t="shared" si="141"/>
        <v>CUMPLE</v>
      </c>
      <c r="AJ173" s="469" t="str">
        <f>IFERROR(IF(COUNTIF(AF173:AF182,"")=10,"",IF(COUNTIF(E173:E182,"N/A")&gt;0,"N/A",CJ173)),"")</f>
        <v>CUMPLE</v>
      </c>
      <c r="AK173" s="469" t="str">
        <f>IFERROR(IF(AND(COUNTIF(N173:N182,"SI")&gt;=1,COUNTIF(O173:O182,"SI")&gt;=1,COUNTIF(P173:P182,"SI")&gt;=1,COUNTIF(J173:J182,"SI")&lt;=10,CO173="CUMPLE"),"CUMPLE","NO CUMPLE"),"")</f>
        <v>CUMPLE</v>
      </c>
      <c r="AL173" s="527" t="s">
        <v>77</v>
      </c>
      <c r="AM173" s="504">
        <f>IFERROR(IF(B173&lt;&gt;"",IF(VLOOKUP(B173,'DESEMPATE Y DISCAPACIDAD'!$A$3:$Q$450,10,FALSE)="","",VLOOKUP(B173,'DESEMPATE Y DISCAPACIDAD'!$A$3:$Q$450,10,FALSE)+6),""),"")</f>
        <v>8</v>
      </c>
      <c r="AN173" s="179" t="s">
        <v>75</v>
      </c>
      <c r="AO173" s="498" t="s">
        <v>74</v>
      </c>
      <c r="AP173" s="179" t="s">
        <v>74</v>
      </c>
      <c r="AQ173" s="498">
        <f>IFERROR(IF(COUNTIF(AP173:AP182,"")=10,"",IF(AO173="NO",0,COUNTIF(AP173:AP182,"SI"))),"")</f>
        <v>7</v>
      </c>
      <c r="AR173" s="599">
        <f>IFERROR(IF(COUNTIF(AF173:AF182,"")=10,"",IF(AO173="NO",0,IF(COUNTIF(E173:E182,"N/A")&gt;0,SUM(CQ173:CQ182),SUM(CR173:CR182)))),"")</f>
        <v>104726.03899999999</v>
      </c>
      <c r="AS173" s="586">
        <f>IFERROR(IF(OR(COUNTIF(AF173:AF182,"")=10,AQ173="",AR173=""),"",IF(AO173="NO",0,AR173/AQ173)),"")</f>
        <v>14960.862714285713</v>
      </c>
      <c r="AT173" s="207"/>
      <c r="AU173" s="613" t="s">
        <v>938</v>
      </c>
      <c r="AV173" s="616" t="s">
        <v>939</v>
      </c>
      <c r="AW173" s="619" t="s">
        <v>1360</v>
      </c>
      <c r="AX173" s="619" t="s">
        <v>1361</v>
      </c>
      <c r="AY173" s="19"/>
      <c r="CB173" s="29" t="str">
        <f>IFERROR(IF(COUNTIF(AF173:AF182,"")=10,"",IF(COUNTIF(E173:E182,"N/A")&gt;0,IF(AF173&gt;=CMEMM1,AF173,0),"N/A")),"")</f>
        <v>N/A</v>
      </c>
      <c r="CC173" s="4"/>
      <c r="CD173" s="4">
        <f>IFERROR(IF(COUNTIF(AF173:AF182,"")=10,"",IF(AF173="","",IF(AF173&gt;=CMEMM1,1,0))),"")</f>
        <v>1</v>
      </c>
      <c r="CE173" s="4" t="str">
        <f>B173&amp;"-0"&amp;1</f>
        <v>P18-01</v>
      </c>
      <c r="CF173" s="4" t="str">
        <f>IFERROR(INDEX('DESEMPATE Y DISCAPACIDAD'!$D$3:$D$450,MATCH(CE173,'DESEMPATE Y DISCAPACIDAD'!$C$3:$C$450,0)),"")</f>
        <v>FJB INGENIERIA SAS</v>
      </c>
      <c r="CG173" s="4">
        <f>IF(OR(CE173="",CF173=""),"",SUMIF(D173:D182,CF173,CD173:CD182))</f>
        <v>2</v>
      </c>
      <c r="CH173" s="4" t="str">
        <f t="shared" si="149"/>
        <v>CUMPLE</v>
      </c>
      <c r="CI173" s="4">
        <f>IF(CF173="","",IF(ISTEXT(CF173),1,0))</f>
        <v>1</v>
      </c>
      <c r="CJ173" s="4" t="str">
        <f>IF(OR(CE173="",CF173="",CG173="",CH173="",CI173=""),"",IF(COUNTIF(CH173:CH182,"CUMPLE")=COUNTIF(CI173:CI182,1),"CUMPLE","NO CUMPLE"))</f>
        <v>CUMPLE</v>
      </c>
      <c r="CK173" s="4"/>
      <c r="CL173" s="4">
        <f t="shared" si="121"/>
        <v>1</v>
      </c>
      <c r="CM173" s="4">
        <f t="shared" si="122"/>
        <v>0</v>
      </c>
      <c r="CN173" s="4" t="str">
        <f>IF(OR(CL173="",CM173=""),"",IF(AND(CL173=0,CM173=0),"N/A",IF(AND(CL173=1,CM173=0),"COND. A",IF(AND(CL173=0,CM173=1),"COND. B",IF(AND(CL173=1,CM173=1),"COND. A Y B","")))))</f>
        <v>COND. A</v>
      </c>
      <c r="CO173" s="4" t="str">
        <f>IF(COUNTIF(CN173:CN182,"N/A")=10,"NO CUMPLE",IF(COUNTIF(CN173:CN182,"COND. A Y B")&gt;1,"CUMPLE",IF(AND(COUNTIF(CN173:CN182,"COND. A")&gt;0,COUNTIF(CN173:CN182,"COND. B")&gt;0),"CUMPLE",IF(AND(COUNTIF(CN173:CN182,"COND. A Y B")&gt;0,COUNTIF(CN173:CN182,"COND. A")&gt;0),"CUMPLE",IF(AND(COUNTIF(CN173:CN182,"COND. A Y B")&gt;0,COUNTIF(CN173:CN182,"COND. B")&gt;0),"CUMPLE","NO CUMPLE")))))</f>
        <v>CUMPLE</v>
      </c>
      <c r="CP173" s="4"/>
      <c r="CQ173" s="29" t="str">
        <f t="shared" si="110"/>
        <v>N/A</v>
      </c>
      <c r="CR173" s="29">
        <f t="shared" si="139"/>
        <v>7738.46</v>
      </c>
      <c r="CS173" s="4"/>
    </row>
    <row r="174" spans="1:97" ht="35" customHeight="1">
      <c r="B174" s="481"/>
      <c r="C174" s="118" t="s">
        <v>330</v>
      </c>
      <c r="D174" s="119" t="str">
        <f>+IFERROR(INDEX('DESEMPATE Y DISCAPACIDAD'!$D$3:$D$450,MATCH(C174,'DESEMPATE Y DISCAPACIDAD'!$C$3:$C$450,0)),"")</f>
        <v>FJB INGENIERIA SAS</v>
      </c>
      <c r="E174" s="120" t="str">
        <f>IFERROR(IF(D174="","",IF(VLOOKUP(D174,'DESEMPATE Y DISCAPACIDAD'!D$3:$E$450,2,FALSE)=1,"N/A",IF(VLOOKUP(D174,'DESEMPATE Y DISCAPACIDAD'!D$3:$F$450,3,FALSE)="X","SI","NO"))),"")</f>
        <v>NO</v>
      </c>
      <c r="F174" s="3" t="s">
        <v>1036</v>
      </c>
      <c r="G174" s="125" t="s">
        <v>660</v>
      </c>
      <c r="H174" s="121" t="s">
        <v>1037</v>
      </c>
      <c r="I174" s="122" t="s">
        <v>1038</v>
      </c>
      <c r="J174" s="121" t="s">
        <v>74</v>
      </c>
      <c r="K174" s="121" t="s">
        <v>74</v>
      </c>
      <c r="L174" s="121" t="s">
        <v>74</v>
      </c>
      <c r="M174" s="121" t="s">
        <v>74</v>
      </c>
      <c r="N174" s="121" t="str">
        <f t="shared" ref="N174:N182" si="157">IFERROR(IF(OR(J174="",K174=""),"",IF(J174="NO","NO",K174)),"")</f>
        <v>SI</v>
      </c>
      <c r="O174" s="121" t="str">
        <f>IFERROR(IF(OR(J174="",L174=""),"",IF(J174="NO","NO",L174)),"")</f>
        <v>SI</v>
      </c>
      <c r="P174" s="121" t="str">
        <f t="shared" ref="P174:P182" si="158">IFERROR(IF(OR(J174="",M174=""),"",IF(J174="NO","NO",M174)),"")</f>
        <v>SI</v>
      </c>
      <c r="Q174" s="121" t="str">
        <f t="shared" si="123"/>
        <v>SI</v>
      </c>
      <c r="R174" s="103">
        <v>0.6</v>
      </c>
      <c r="S174" s="123">
        <v>41075</v>
      </c>
      <c r="T174" s="123">
        <v>43532</v>
      </c>
      <c r="U174" s="121">
        <f t="shared" ref="U174:U182" si="159">IFERROR(IF(T174="","",YEAR(T174)),"")</f>
        <v>2019</v>
      </c>
      <c r="V174" s="358">
        <f>IF(U174=2023,1160000,IFERROR(INDEX(SMMLV!$B$2:$B$101,MATCH(U174,SMMLV!$A$2:$A$101,0)),""))</f>
        <v>828116</v>
      </c>
      <c r="W174" s="358" t="s">
        <v>670</v>
      </c>
      <c r="X174" s="179" t="s">
        <v>671</v>
      </c>
      <c r="Y174" s="3">
        <v>49</v>
      </c>
      <c r="Z174" s="477" t="s">
        <v>74</v>
      </c>
      <c r="AA174" s="478"/>
      <c r="AB174" s="479"/>
      <c r="AC174" s="3" t="str">
        <f t="shared" ref="AC174:AC182" si="160">IFERROR(IF(Y174="","",IF(ISNUMBER(Y174),IF(COUNTIF(Z174,"SI")&gt;0,"SI","NO"),Y174)),"")</f>
        <v>SI</v>
      </c>
      <c r="AD174" s="117" t="str">
        <f t="shared" si="124"/>
        <v>N/A</v>
      </c>
      <c r="AE174" s="117">
        <v>83320.73</v>
      </c>
      <c r="AF174" s="117">
        <f t="shared" si="140"/>
        <v>49992.437999999995</v>
      </c>
      <c r="AG174" s="470"/>
      <c r="AH174" s="470"/>
      <c r="AI174" s="125" t="str">
        <f t="shared" si="141"/>
        <v>CUMPLE</v>
      </c>
      <c r="AJ174" s="470"/>
      <c r="AK174" s="470"/>
      <c r="AL174" s="527"/>
      <c r="AM174" s="505"/>
      <c r="AN174" s="3" t="s">
        <v>75</v>
      </c>
      <c r="AO174" s="498"/>
      <c r="AP174" s="3" t="s">
        <v>74</v>
      </c>
      <c r="AQ174" s="498"/>
      <c r="AR174" s="600"/>
      <c r="AS174" s="587"/>
      <c r="AT174" s="208"/>
      <c r="AU174" s="614"/>
      <c r="AV174" s="617"/>
      <c r="AW174" s="620"/>
      <c r="AX174" s="620"/>
      <c r="AY174" s="19"/>
      <c r="CB174" s="29" t="str">
        <f>IFERROR(IF(COUNTIF(AF173:AF182,"")=10,"",IF(COUNTIF(E173:E182,"N/A")&gt;0,IF(AF174&gt;=CMEMM1,AF174,0),"N/A")),"")</f>
        <v>N/A</v>
      </c>
      <c r="CC174" s="4"/>
      <c r="CD174" s="4">
        <f>IFERROR(IF(COUNTIF(AF173:AF182,"")=10,"",IF(AF174="","",IF(AF174&gt;=CMEMM1,1,0))),"")</f>
        <v>1</v>
      </c>
      <c r="CE174" s="4" t="str">
        <f>B173&amp;"-0"&amp;2</f>
        <v>P18-02</v>
      </c>
      <c r="CF174" s="4" t="str">
        <f>IFERROR(INDEX('DESEMPATE Y DISCAPACIDAD'!$D$3:$D$450,MATCH(CE174,'DESEMPATE Y DISCAPACIDAD'!$C$3:$C$450,0)),"")</f>
        <v>R&amp;Q INGENIERIA COLOMBIA SA</v>
      </c>
      <c r="CG174" s="4">
        <f>IF(OR(CE174="",CF174=""),"",SUMIF(D173:D182,CF174,CD173:CD182))</f>
        <v>2</v>
      </c>
      <c r="CH174" s="4" t="str">
        <f t="shared" si="149"/>
        <v>CUMPLE</v>
      </c>
      <c r="CI174" s="4">
        <f t="shared" ref="CI174:CI182" si="161">IF(CF174="","",IF(ISTEXT(CF174),1,0))</f>
        <v>1</v>
      </c>
      <c r="CJ174" s="4"/>
      <c r="CK174" s="4"/>
      <c r="CL174" s="4">
        <f t="shared" si="121"/>
        <v>1</v>
      </c>
      <c r="CM174" s="4">
        <f t="shared" si="122"/>
        <v>1</v>
      </c>
      <c r="CN174" s="4" t="str">
        <f t="shared" ref="CN174:CN182" si="162">IF(OR(CL174="",CM174=""),"",IF(AND(CL174=0,CM174=0),"N/A",IF(AND(CL174=1,CM174=0),"COND. A",IF(AND(CL174=0,CM174=1),"COND. B",IF(AND(CL174=1,CM174=1),"COND. A Y B","")))))</f>
        <v>COND. A Y B</v>
      </c>
      <c r="CO174" s="4"/>
      <c r="CP174" s="4"/>
      <c r="CQ174" s="29" t="str">
        <f t="shared" si="110"/>
        <v>N/A</v>
      </c>
      <c r="CR174" s="29">
        <f t="shared" si="139"/>
        <v>49992.437999999995</v>
      </c>
      <c r="CS174" s="4"/>
    </row>
    <row r="175" spans="1:97" ht="35" customHeight="1">
      <c r="B175" s="481"/>
      <c r="C175" s="118" t="s">
        <v>330</v>
      </c>
      <c r="D175" s="126" t="str">
        <f>+IFERROR(INDEX('DESEMPATE Y DISCAPACIDAD'!$D$3:$D$450,MATCH(C175,'DESEMPATE Y DISCAPACIDAD'!$C$3:$C$450,0)),"")</f>
        <v>FJB INGENIERIA SAS</v>
      </c>
      <c r="E175" s="127" t="str">
        <f>IFERROR(IF(D175="","",IF(VLOOKUP(D175,'DESEMPATE Y DISCAPACIDAD'!D$3:$E$450,2,FALSE)=1,"N/A",IF(VLOOKUP(D175,'DESEMPATE Y DISCAPACIDAD'!D$3:$F$450,3,FALSE)="X","SI","NO"))),"")</f>
        <v>NO</v>
      </c>
      <c r="F175" s="121" t="s">
        <v>1033</v>
      </c>
      <c r="G175" s="121" t="s">
        <v>1034</v>
      </c>
      <c r="H175" s="125" t="s">
        <v>793</v>
      </c>
      <c r="I175" s="128" t="s">
        <v>1039</v>
      </c>
      <c r="J175" s="121" t="s">
        <v>74</v>
      </c>
      <c r="K175" s="121" t="s">
        <v>74</v>
      </c>
      <c r="L175" s="121" t="s">
        <v>75</v>
      </c>
      <c r="M175" s="121" t="s">
        <v>1040</v>
      </c>
      <c r="N175" s="125" t="str">
        <f t="shared" si="157"/>
        <v>SI</v>
      </c>
      <c r="O175" s="125" t="str">
        <f>IFERROR(IF(OR(J175="",L175=""),"",IF(J175="NO","NO",L175)),"")</f>
        <v>NO</v>
      </c>
      <c r="P175" s="125" t="str">
        <f t="shared" si="158"/>
        <v>si</v>
      </c>
      <c r="Q175" s="125" t="str">
        <f t="shared" si="123"/>
        <v>SI</v>
      </c>
      <c r="R175" s="68">
        <v>1</v>
      </c>
      <c r="S175" s="123">
        <v>38751</v>
      </c>
      <c r="T175" s="123">
        <v>39644</v>
      </c>
      <c r="U175" s="125">
        <f t="shared" si="159"/>
        <v>2008</v>
      </c>
      <c r="V175" s="21">
        <f>IF(U175=2023,1160000,IFERROR(INDEX(SMMLV!$B$2:$B$101,MATCH(U175,SMMLV!$A$2:$A$101,0)),""))</f>
        <v>461500</v>
      </c>
      <c r="W175" s="358" t="s">
        <v>670</v>
      </c>
      <c r="X175" s="179" t="s">
        <v>671</v>
      </c>
      <c r="Y175" s="3">
        <v>1</v>
      </c>
      <c r="Z175" s="477" t="s">
        <v>74</v>
      </c>
      <c r="AA175" s="478"/>
      <c r="AB175" s="479"/>
      <c r="AC175" s="3" t="str">
        <f t="shared" si="160"/>
        <v>SI</v>
      </c>
      <c r="AD175" s="117" t="str">
        <f t="shared" si="124"/>
        <v>N/A</v>
      </c>
      <c r="AE175" s="117">
        <v>6279.88</v>
      </c>
      <c r="AF175" s="117">
        <f t="shared" si="140"/>
        <v>6279.88</v>
      </c>
      <c r="AG175" s="470"/>
      <c r="AH175" s="470"/>
      <c r="AI175" s="125" t="str">
        <f t="shared" si="141"/>
        <v>CUMPLE</v>
      </c>
      <c r="AJ175" s="470"/>
      <c r="AK175" s="470"/>
      <c r="AL175" s="527"/>
      <c r="AM175" s="505"/>
      <c r="AN175" s="179" t="s">
        <v>75</v>
      </c>
      <c r="AO175" s="498"/>
      <c r="AP175" s="3" t="s">
        <v>74</v>
      </c>
      <c r="AQ175" s="498"/>
      <c r="AR175" s="600"/>
      <c r="AS175" s="587"/>
      <c r="AT175" s="208"/>
      <c r="AU175" s="614"/>
      <c r="AV175" s="617"/>
      <c r="AW175" s="620"/>
      <c r="AX175" s="620"/>
      <c r="AY175" s="19"/>
      <c r="CB175" s="29" t="str">
        <f>IFERROR(IF(COUNTIF(AF173:AF182,"")=10,"",IF(COUNTIF(E173:E182,"N/A")&gt;0,IF(AF175&gt;=CMEMM1,AF175,0),"N/A")),"")</f>
        <v>N/A</v>
      </c>
      <c r="CC175" s="4"/>
      <c r="CD175" s="4">
        <f>IFERROR(IF(COUNTIF(AF173:AF182,"")=10,"",IF(AF175="","",IF(AF175&gt;=CMEMM1,1,0))),"")</f>
        <v>1</v>
      </c>
      <c r="CE175" s="4" t="str">
        <f>B173&amp;"-0"&amp;3</f>
        <v>P18-03</v>
      </c>
      <c r="CF175" s="4" t="str">
        <f>IFERROR(INDEX('DESEMPATE Y DISCAPACIDAD'!$D$3:$D$450,MATCH(CE175,'DESEMPATE Y DISCAPACIDAD'!$C$3:$C$450,0)),"")</f>
        <v>JOYCO S.A.S. BIC</v>
      </c>
      <c r="CG175" s="4">
        <f>IF(OR(CE175="",CF175=""),"",SUMIF(D173:D182,CF175,CD173:CD182))</f>
        <v>4</v>
      </c>
      <c r="CH175" s="4" t="str">
        <f t="shared" si="149"/>
        <v>CUMPLE</v>
      </c>
      <c r="CI175" s="4">
        <f t="shared" si="161"/>
        <v>1</v>
      </c>
      <c r="CJ175" s="4"/>
      <c r="CK175" s="4"/>
      <c r="CL175" s="4">
        <f t="shared" si="121"/>
        <v>1</v>
      </c>
      <c r="CM175" s="4">
        <f t="shared" si="122"/>
        <v>0</v>
      </c>
      <c r="CN175" s="4" t="str">
        <f t="shared" si="162"/>
        <v>COND. A</v>
      </c>
      <c r="CO175" s="4"/>
      <c r="CP175" s="4"/>
      <c r="CQ175" s="29" t="str">
        <f>IF(OR(AN174="",CB175=""),"",IF(AN174="NO",CB175,0))</f>
        <v>N/A</v>
      </c>
      <c r="CR175" s="29">
        <f>IF(OR(AN174="",AF175=""),"",IF(AN174="NO",AF175,0))</f>
        <v>6279.88</v>
      </c>
      <c r="CS175" s="4"/>
    </row>
    <row r="176" spans="1:97" ht="35" customHeight="1">
      <c r="B176" s="481"/>
      <c r="C176" s="118" t="s">
        <v>331</v>
      </c>
      <c r="D176" s="126" t="str">
        <f>+IFERROR(INDEX('DESEMPATE Y DISCAPACIDAD'!$D$3:$D$450,MATCH(C176,'DESEMPATE Y DISCAPACIDAD'!$C$3:$C$450,0)),"")</f>
        <v>R&amp;Q INGENIERIA COLOMBIA SA</v>
      </c>
      <c r="E176" s="127" t="str">
        <f>IFERROR(IF(D176="","",IF(VLOOKUP(D176,'DESEMPATE Y DISCAPACIDAD'!D$3:$E$450,2,FALSE)=1,"N/A",IF(VLOOKUP(D176,'DESEMPATE Y DISCAPACIDAD'!D$3:$F$450,3,FALSE)="X","SI","NO"))),"")</f>
        <v>NO</v>
      </c>
      <c r="F176" s="367" t="s">
        <v>1041</v>
      </c>
      <c r="G176" s="3" t="s">
        <v>660</v>
      </c>
      <c r="H176" s="3" t="s">
        <v>1042</v>
      </c>
      <c r="I176" s="364" t="s">
        <v>1043</v>
      </c>
      <c r="J176" s="179" t="s">
        <v>74</v>
      </c>
      <c r="K176" s="574" t="s">
        <v>74</v>
      </c>
      <c r="L176" s="448" t="s">
        <v>75</v>
      </c>
      <c r="M176" s="574" t="s">
        <v>74</v>
      </c>
      <c r="N176" s="125" t="str">
        <f t="shared" si="157"/>
        <v>SI</v>
      </c>
      <c r="O176" s="125" t="str">
        <f>IFERROR(IF(OR(J176="",L176=""),"",IF(J176="NO","NO",L176)),"")</f>
        <v>NO</v>
      </c>
      <c r="P176" s="125" t="str">
        <f t="shared" si="158"/>
        <v>SI</v>
      </c>
      <c r="Q176" s="125" t="str">
        <f t="shared" si="123"/>
        <v>SI</v>
      </c>
      <c r="R176" s="68">
        <v>0.4</v>
      </c>
      <c r="S176" s="129">
        <v>42947</v>
      </c>
      <c r="T176" s="129">
        <v>43799</v>
      </c>
      <c r="U176" s="125">
        <f t="shared" si="159"/>
        <v>2019</v>
      </c>
      <c r="V176" s="21">
        <f>IF(U176=2023,1160000,IFERROR(INDEX(SMMLV!$B$2:$B$101,MATCH(U176,SMMLV!$A$2:$A$101,0)),""))</f>
        <v>828116</v>
      </c>
      <c r="W176" s="358" t="s">
        <v>670</v>
      </c>
      <c r="X176" s="179" t="s">
        <v>671</v>
      </c>
      <c r="Y176" s="3">
        <v>66</v>
      </c>
      <c r="Z176" s="477" t="s">
        <v>74</v>
      </c>
      <c r="AA176" s="478"/>
      <c r="AB176" s="479"/>
      <c r="AC176" s="3" t="str">
        <f t="shared" si="160"/>
        <v>SI</v>
      </c>
      <c r="AD176" s="117" t="str">
        <f t="shared" si="124"/>
        <v>N/A</v>
      </c>
      <c r="AE176" s="117">
        <v>26653.200000000001</v>
      </c>
      <c r="AF176" s="117">
        <f t="shared" si="140"/>
        <v>10661.28</v>
      </c>
      <c r="AG176" s="470"/>
      <c r="AH176" s="470"/>
      <c r="AI176" s="125" t="str">
        <f t="shared" si="141"/>
        <v>CUMPLE</v>
      </c>
      <c r="AJ176" s="470"/>
      <c r="AK176" s="470"/>
      <c r="AL176" s="527"/>
      <c r="AM176" s="505"/>
      <c r="AN176" s="574" t="s">
        <v>75</v>
      </c>
      <c r="AO176" s="498"/>
      <c r="AP176" s="574" t="s">
        <v>74</v>
      </c>
      <c r="AQ176" s="498"/>
      <c r="AR176" s="600"/>
      <c r="AS176" s="587"/>
      <c r="AT176" s="204"/>
      <c r="AU176" s="614"/>
      <c r="AV176" s="617"/>
      <c r="AW176" s="620"/>
      <c r="AX176" s="620"/>
      <c r="AY176" s="19"/>
      <c r="CB176" s="29" t="str">
        <f>IFERROR(IF(COUNTIF(AF173:AF182,"")=10,"",IF(COUNTIF(E173:E182,"N/A")&gt;0,IF(AF176&gt;=CMEMM1,AF176,0),"N/A")),"")</f>
        <v>N/A</v>
      </c>
      <c r="CC176" s="4"/>
      <c r="CD176" s="4">
        <f>IFERROR(IF(COUNTIF(AF173:AF182,"")=10,"",IF(AF176="","",IF(AF176&gt;=CMEMM1,1,0))),"")</f>
        <v>1</v>
      </c>
      <c r="CE176" s="4" t="str">
        <f>B173&amp;"-0"&amp;4</f>
        <v>P18-04</v>
      </c>
      <c r="CF176" s="4">
        <f>IFERROR(INDEX('DESEMPATE Y DISCAPACIDAD'!$D$3:$D$450,MATCH(CE176,'DESEMPATE Y DISCAPACIDAD'!$C$3:$C$450,0)),"")</f>
        <v>0</v>
      </c>
      <c r="CG176" s="4">
        <f>IF(OR(CE176="",CF176=""),"",SUMIF(D173:D182,CF176,CD173:CD182))</f>
        <v>0</v>
      </c>
      <c r="CH176" s="4" t="str">
        <f t="shared" si="149"/>
        <v>NO CUMPLE</v>
      </c>
      <c r="CI176" s="4">
        <f t="shared" si="161"/>
        <v>0</v>
      </c>
      <c r="CJ176" s="4"/>
      <c r="CK176" s="4"/>
      <c r="CL176" s="4">
        <f t="shared" si="121"/>
        <v>1</v>
      </c>
      <c r="CM176" s="4">
        <f t="shared" si="122"/>
        <v>0</v>
      </c>
      <c r="CN176" s="4" t="str">
        <f t="shared" si="162"/>
        <v>COND. A</v>
      </c>
      <c r="CO176" s="4"/>
      <c r="CP176" s="4"/>
      <c r="CQ176" s="29" t="str">
        <f t="shared" si="110"/>
        <v>N/A</v>
      </c>
      <c r="CR176" s="29">
        <f t="shared" si="139"/>
        <v>10661.28</v>
      </c>
      <c r="CS176" s="4"/>
    </row>
    <row r="177" spans="1:97" ht="35" customHeight="1">
      <c r="B177" s="481"/>
      <c r="C177" s="118" t="s">
        <v>332</v>
      </c>
      <c r="D177" s="126" t="str">
        <f>+IFERROR(INDEX('DESEMPATE Y DISCAPACIDAD'!$D$3:$D$450,MATCH(C177,'DESEMPATE Y DISCAPACIDAD'!$C$3:$C$450,0)),"")</f>
        <v>JOYCO S.A.S. BIC</v>
      </c>
      <c r="E177" s="127" t="str">
        <f>IFERROR(IF(D177="","",IF(VLOOKUP(D177,'DESEMPATE Y DISCAPACIDAD'!D$3:$E$450,2,FALSE)=1,"N/A",IF(VLOOKUP(D177,'DESEMPATE Y DISCAPACIDAD'!D$3:$F$450,3,FALSE)="X","SI","NO"))),"")</f>
        <v>NO</v>
      </c>
      <c r="F177" s="3" t="s">
        <v>1041</v>
      </c>
      <c r="G177" s="3" t="s">
        <v>660</v>
      </c>
      <c r="H177" s="3" t="s">
        <v>1042</v>
      </c>
      <c r="I177" s="364" t="s">
        <v>1043</v>
      </c>
      <c r="J177" s="179" t="s">
        <v>74</v>
      </c>
      <c r="K177" s="575"/>
      <c r="L177" s="609"/>
      <c r="M177" s="575"/>
      <c r="N177" s="125" t="str">
        <f t="shared" si="157"/>
        <v/>
      </c>
      <c r="O177" s="125" t="str">
        <f t="shared" ref="O177:O182" si="163">IFERROR(IF(OR(J177="",L177=""),"",IF(J177="NO","NO",L177)),"")</f>
        <v/>
      </c>
      <c r="P177" s="125" t="str">
        <f t="shared" si="158"/>
        <v/>
      </c>
      <c r="Q177" s="125" t="str">
        <f t="shared" si="123"/>
        <v>SI</v>
      </c>
      <c r="R177" s="68">
        <v>0.3</v>
      </c>
      <c r="S177" s="129">
        <v>42947</v>
      </c>
      <c r="T177" s="129">
        <v>43799</v>
      </c>
      <c r="U177" s="125">
        <f t="shared" si="159"/>
        <v>2019</v>
      </c>
      <c r="V177" s="21">
        <f>IF(U177=2023,1160000,IFERROR(INDEX(SMMLV!$B$2:$B$101,MATCH(U177,SMMLV!$A$2:$A$101,0)),""))</f>
        <v>828116</v>
      </c>
      <c r="W177" s="358" t="s">
        <v>670</v>
      </c>
      <c r="X177" s="179" t="s">
        <v>671</v>
      </c>
      <c r="Y177" s="3">
        <v>181</v>
      </c>
      <c r="Z177" s="477" t="s">
        <v>74</v>
      </c>
      <c r="AA177" s="478"/>
      <c r="AB177" s="479"/>
      <c r="AC177" s="3" t="str">
        <f t="shared" si="160"/>
        <v>SI</v>
      </c>
      <c r="AD177" s="117" t="str">
        <f t="shared" si="124"/>
        <v>N/A</v>
      </c>
      <c r="AE177" s="117">
        <v>26653.29</v>
      </c>
      <c r="AF177" s="117">
        <f t="shared" si="140"/>
        <v>7995.9870000000001</v>
      </c>
      <c r="AG177" s="470"/>
      <c r="AH177" s="470"/>
      <c r="AI177" s="125" t="str">
        <f t="shared" si="141"/>
        <v>CUMPLE</v>
      </c>
      <c r="AJ177" s="470"/>
      <c r="AK177" s="470"/>
      <c r="AL177" s="527"/>
      <c r="AM177" s="505"/>
      <c r="AN177" s="575"/>
      <c r="AO177" s="498"/>
      <c r="AP177" s="575"/>
      <c r="AQ177" s="498"/>
      <c r="AR177" s="600"/>
      <c r="AS177" s="587"/>
      <c r="AT177" s="204"/>
      <c r="AU177" s="614"/>
      <c r="AV177" s="617"/>
      <c r="AW177" s="620"/>
      <c r="AX177" s="620"/>
      <c r="AY177" s="19"/>
      <c r="CB177" s="29" t="str">
        <f>IFERROR(IF(COUNTIF(AF173:AF182,"")=10,"",IF(COUNTIF(E173:E182,"N/A")&gt;0,IF(AF177&gt;=CMEMM1,AF177,0),"N/A")),"")</f>
        <v>N/A</v>
      </c>
      <c r="CC177" s="4"/>
      <c r="CD177" s="4">
        <f>IFERROR(IF(COUNTIF(AF173:AF182,"")=10,"",IF(AF177="","",IF(AF177&gt;=CMEMM1,1,0))),"")</f>
        <v>1</v>
      </c>
      <c r="CE177" s="4" t="str">
        <f>B173&amp;"-0"&amp;5</f>
        <v>P18-05</v>
      </c>
      <c r="CF177" s="4">
        <f>IFERROR(INDEX('DESEMPATE Y DISCAPACIDAD'!$D$3:$D$450,MATCH(CE177,'DESEMPATE Y DISCAPACIDAD'!$C$3:$C$450,0)),"")</f>
        <v>0</v>
      </c>
      <c r="CG177" s="4">
        <f>IF(OR(CE177="",CF177=""),"",SUMIF(D173:D182,CF177,CD173:CD182))</f>
        <v>0</v>
      </c>
      <c r="CH177" s="4" t="str">
        <f t="shared" si="149"/>
        <v>NO CUMPLE</v>
      </c>
      <c r="CI177" s="4">
        <f t="shared" si="161"/>
        <v>0</v>
      </c>
      <c r="CJ177" s="4"/>
      <c r="CK177" s="4"/>
      <c r="CL177" s="4" t="str">
        <f t="shared" si="121"/>
        <v/>
      </c>
      <c r="CM177" s="4" t="str">
        <f t="shared" si="122"/>
        <v/>
      </c>
      <c r="CN177" s="4" t="str">
        <f t="shared" si="162"/>
        <v/>
      </c>
      <c r="CO177" s="4"/>
      <c r="CP177" s="4"/>
      <c r="CQ177" s="29" t="str">
        <f t="shared" si="110"/>
        <v/>
      </c>
      <c r="CR177" s="29">
        <f>IF(OR(AN176="",AF177=""),"",IF(AN176="NO",AF177,0))</f>
        <v>7995.9870000000001</v>
      </c>
      <c r="CS177" s="4"/>
    </row>
    <row r="178" spans="1:97" ht="35" customHeight="1">
      <c r="B178" s="481"/>
      <c r="C178" s="118" t="s">
        <v>332</v>
      </c>
      <c r="D178" s="126" t="str">
        <f>+IFERROR(INDEX('DESEMPATE Y DISCAPACIDAD'!$D$3:$D$450,MATCH(C178,'DESEMPATE Y DISCAPACIDAD'!$C$3:$C$450,0)),"")</f>
        <v>JOYCO S.A.S. BIC</v>
      </c>
      <c r="E178" s="127" t="str">
        <f>IFERROR(IF(D178="","",IF(VLOOKUP(D178,'DESEMPATE Y DISCAPACIDAD'!D$3:$E$450,2,FALSE)=1,"N/A",IF(VLOOKUP(D178,'DESEMPATE Y DISCAPACIDAD'!D$3:$F$450,3,FALSE)="X","SI","NO"))),"")</f>
        <v>NO</v>
      </c>
      <c r="F178" s="125" t="s">
        <v>1041</v>
      </c>
      <c r="G178" s="125" t="s">
        <v>660</v>
      </c>
      <c r="H178" s="125" t="s">
        <v>1044</v>
      </c>
      <c r="I178" s="128" t="s">
        <v>1045</v>
      </c>
      <c r="J178" s="121" t="s">
        <v>74</v>
      </c>
      <c r="K178" s="121" t="s">
        <v>74</v>
      </c>
      <c r="L178" s="121" t="s">
        <v>75</v>
      </c>
      <c r="M178" s="121" t="s">
        <v>74</v>
      </c>
      <c r="N178" s="125" t="str">
        <f t="shared" si="157"/>
        <v>SI</v>
      </c>
      <c r="O178" s="125" t="str">
        <f t="shared" si="163"/>
        <v>NO</v>
      </c>
      <c r="P178" s="125" t="str">
        <f t="shared" si="158"/>
        <v>SI</v>
      </c>
      <c r="Q178" s="125" t="str">
        <f t="shared" si="123"/>
        <v>SI</v>
      </c>
      <c r="R178" s="68">
        <v>1</v>
      </c>
      <c r="S178" s="129">
        <v>35171</v>
      </c>
      <c r="T178" s="129">
        <v>36083</v>
      </c>
      <c r="U178" s="125">
        <f t="shared" si="159"/>
        <v>1998</v>
      </c>
      <c r="V178" s="21">
        <f>IF(U178=2023,1160000,IFERROR(INDEX(SMMLV!$B$2:$B$101,MATCH(U178,SMMLV!$A$2:$A$101,0)),""))</f>
        <v>203826</v>
      </c>
      <c r="W178" s="358" t="s">
        <v>670</v>
      </c>
      <c r="X178" s="179" t="s">
        <v>671</v>
      </c>
      <c r="Y178" s="3">
        <v>12</v>
      </c>
      <c r="Z178" s="477" t="s">
        <v>74</v>
      </c>
      <c r="AA178" s="478"/>
      <c r="AB178" s="479"/>
      <c r="AC178" s="3" t="str">
        <f t="shared" si="160"/>
        <v>SI</v>
      </c>
      <c r="AD178" s="117" t="str">
        <f t="shared" si="124"/>
        <v>N/A</v>
      </c>
      <c r="AE178" s="117">
        <v>6008.21</v>
      </c>
      <c r="AF178" s="117">
        <f t="shared" si="140"/>
        <v>6008.21</v>
      </c>
      <c r="AG178" s="470"/>
      <c r="AH178" s="470"/>
      <c r="AI178" s="125" t="str">
        <f t="shared" si="141"/>
        <v>CUMPLE</v>
      </c>
      <c r="AJ178" s="470"/>
      <c r="AK178" s="470"/>
      <c r="AL178" s="527"/>
      <c r="AM178" s="505"/>
      <c r="AN178" s="179" t="s">
        <v>75</v>
      </c>
      <c r="AO178" s="498"/>
      <c r="AP178" s="3" t="s">
        <v>74</v>
      </c>
      <c r="AQ178" s="498"/>
      <c r="AR178" s="600"/>
      <c r="AS178" s="587"/>
      <c r="AT178" s="204"/>
      <c r="AU178" s="614"/>
      <c r="AV178" s="617"/>
      <c r="AW178" s="620"/>
      <c r="AX178" s="620"/>
      <c r="AY178" s="19"/>
      <c r="CB178" s="29" t="str">
        <f>IFERROR(IF(COUNTIF(AF173:AF182,"")=10,"",IF(COUNTIF(E173:E182,"N/A")&gt;0,IF(AF178&gt;=CMEMM1,AF178,0),"N/A")),"")</f>
        <v>N/A</v>
      </c>
      <c r="CC178" s="4"/>
      <c r="CD178" s="4">
        <f>IFERROR(IF(COUNTIF(AF173:AF182,"")=10,"",IF(AF178="","",IF(AF178&gt;=CMEMM1,1,0))),"")</f>
        <v>1</v>
      </c>
      <c r="CE178" s="4" t="str">
        <f>B173&amp;"-0"&amp;6</f>
        <v>P18-06</v>
      </c>
      <c r="CF178" s="4">
        <f>IFERROR(INDEX('DESEMPATE Y DISCAPACIDAD'!$D$3:$D$450,MATCH(CE178,'DESEMPATE Y DISCAPACIDAD'!$C$3:$C$450,0)),"")</f>
        <v>0</v>
      </c>
      <c r="CG178" s="4">
        <f>IF(OR(CE178="",CF178=""),"",SUMIF(D173:D182,CF178,CD173:CD182))</f>
        <v>0</v>
      </c>
      <c r="CH178" s="4" t="str">
        <f t="shared" si="149"/>
        <v>NO CUMPLE</v>
      </c>
      <c r="CI178" s="4">
        <f t="shared" si="161"/>
        <v>0</v>
      </c>
      <c r="CJ178" s="4"/>
      <c r="CK178" s="4"/>
      <c r="CL178" s="4">
        <f t="shared" si="121"/>
        <v>1</v>
      </c>
      <c r="CM178" s="4">
        <f t="shared" si="122"/>
        <v>0</v>
      </c>
      <c r="CN178" s="4" t="str">
        <f t="shared" si="162"/>
        <v>COND. A</v>
      </c>
      <c r="CO178" s="4"/>
      <c r="CP178" s="4"/>
      <c r="CQ178" s="29" t="str">
        <f t="shared" si="110"/>
        <v>N/A</v>
      </c>
      <c r="CR178" s="29">
        <f t="shared" si="139"/>
        <v>6008.21</v>
      </c>
      <c r="CS178" s="4"/>
    </row>
    <row r="179" spans="1:97" ht="35" customHeight="1">
      <c r="B179" s="481"/>
      <c r="C179" s="118" t="s">
        <v>332</v>
      </c>
      <c r="D179" s="126" t="str">
        <f>+IFERROR(INDEX('DESEMPATE Y DISCAPACIDAD'!$D$3:$D$450,MATCH(C179,'DESEMPATE Y DISCAPACIDAD'!$C$3:$C$450,0)),"")</f>
        <v>JOYCO S.A.S. BIC</v>
      </c>
      <c r="E179" s="127" t="str">
        <f>IFERROR(IF(D179="","",IF(VLOOKUP(D179,'DESEMPATE Y DISCAPACIDAD'!D$3:$E$450,2,FALSE)=1,"N/A",IF(VLOOKUP(D179,'DESEMPATE Y DISCAPACIDAD'!D$3:$F$450,3,FALSE)="X","SI","NO"))),"")</f>
        <v>NO</v>
      </c>
      <c r="F179" s="125" t="s">
        <v>1046</v>
      </c>
      <c r="G179" s="125" t="s">
        <v>660</v>
      </c>
      <c r="H179" s="125" t="s">
        <v>1047</v>
      </c>
      <c r="I179" s="128" t="s">
        <v>1048</v>
      </c>
      <c r="J179" s="121" t="s">
        <v>74</v>
      </c>
      <c r="K179" s="121" t="s">
        <v>74</v>
      </c>
      <c r="L179" s="121" t="s">
        <v>75</v>
      </c>
      <c r="M179" s="121" t="s">
        <v>74</v>
      </c>
      <c r="N179" s="125" t="str">
        <f t="shared" si="157"/>
        <v>SI</v>
      </c>
      <c r="O179" s="125" t="str">
        <f t="shared" si="163"/>
        <v>NO</v>
      </c>
      <c r="P179" s="125" t="str">
        <f t="shared" si="158"/>
        <v>SI</v>
      </c>
      <c r="Q179" s="125" t="str">
        <f t="shared" si="123"/>
        <v>SI</v>
      </c>
      <c r="R179" s="68">
        <v>0.5</v>
      </c>
      <c r="S179" s="129">
        <v>40143</v>
      </c>
      <c r="T179" s="129">
        <v>42847</v>
      </c>
      <c r="U179" s="125">
        <f t="shared" si="159"/>
        <v>2017</v>
      </c>
      <c r="V179" s="21">
        <f>IF(U179=2023,1160000,IFERROR(INDEX(SMMLV!$B$2:$B$101,MATCH(U179,SMMLV!$A$2:$A$101,0)),""))</f>
        <v>737717</v>
      </c>
      <c r="W179" s="358" t="s">
        <v>670</v>
      </c>
      <c r="X179" s="179" t="s">
        <v>671</v>
      </c>
      <c r="Y179" s="3">
        <v>158</v>
      </c>
      <c r="Z179" s="477" t="s">
        <v>74</v>
      </c>
      <c r="AA179" s="478"/>
      <c r="AB179" s="479"/>
      <c r="AC179" s="3" t="str">
        <f t="shared" si="160"/>
        <v>SI</v>
      </c>
      <c r="AD179" s="117" t="str">
        <f t="shared" si="124"/>
        <v>N/A</v>
      </c>
      <c r="AE179" s="117">
        <v>13425.78</v>
      </c>
      <c r="AF179" s="117">
        <f t="shared" si="140"/>
        <v>6712.89</v>
      </c>
      <c r="AG179" s="470"/>
      <c r="AH179" s="470"/>
      <c r="AI179" s="125" t="str">
        <f t="shared" si="141"/>
        <v>CUMPLE</v>
      </c>
      <c r="AJ179" s="470"/>
      <c r="AK179" s="470"/>
      <c r="AL179" s="527"/>
      <c r="AM179" s="505"/>
      <c r="AN179" s="3" t="s">
        <v>75</v>
      </c>
      <c r="AO179" s="498"/>
      <c r="AP179" s="3" t="s">
        <v>74</v>
      </c>
      <c r="AQ179" s="498"/>
      <c r="AR179" s="600"/>
      <c r="AS179" s="587"/>
      <c r="AT179" s="204"/>
      <c r="AU179" s="614"/>
      <c r="AV179" s="617"/>
      <c r="AW179" s="620"/>
      <c r="AX179" s="620"/>
      <c r="AY179" s="19"/>
      <c r="CB179" s="29" t="str">
        <f>IFERROR(IF(COUNTIF(AF173:AF182,"")=10,"",IF(COUNTIF(E173:E182,"N/A")&gt;0,IF(AF179&gt;=CMEMM1,AF179,0),"N/A")),"")</f>
        <v>N/A</v>
      </c>
      <c r="CC179" s="4"/>
      <c r="CD179" s="4">
        <f>IFERROR(IF(COUNTIF(AF173:AF182,"")=10,"",IF(AF179="","",IF(AF179&gt;=CMEMM1,1,0))),"")</f>
        <v>1</v>
      </c>
      <c r="CE179" s="4" t="str">
        <f>B173&amp;"-0"&amp;7</f>
        <v>P18-07</v>
      </c>
      <c r="CF179" s="4" t="str">
        <f>IFERROR(INDEX('DESEMPATE Y DISCAPACIDAD'!$D$3:$D$450,MATCH(CE179,'DESEMPATE Y DISCAPACIDAD'!$C$3:$C$450,0)),"")</f>
        <v/>
      </c>
      <c r="CG179" s="4" t="str">
        <f>IF(OR(CE179="",CF179=""),"",SUMIF(D173:D182,CF179,CD173:CD182))</f>
        <v/>
      </c>
      <c r="CH179" s="4" t="str">
        <f t="shared" si="149"/>
        <v/>
      </c>
      <c r="CI179" s="4" t="str">
        <f t="shared" si="161"/>
        <v/>
      </c>
      <c r="CJ179" s="4"/>
      <c r="CK179" s="4"/>
      <c r="CL179" s="4">
        <f t="shared" si="121"/>
        <v>1</v>
      </c>
      <c r="CM179" s="4">
        <f t="shared" si="122"/>
        <v>0</v>
      </c>
      <c r="CN179" s="4" t="str">
        <f t="shared" si="162"/>
        <v>COND. A</v>
      </c>
      <c r="CO179" s="4"/>
      <c r="CP179" s="4"/>
      <c r="CQ179" s="29" t="str">
        <f t="shared" si="110"/>
        <v>N/A</v>
      </c>
      <c r="CR179" s="29">
        <f t="shared" si="139"/>
        <v>6712.89</v>
      </c>
      <c r="CS179" s="4"/>
    </row>
    <row r="180" spans="1:97" ht="35" customHeight="1">
      <c r="B180" s="481"/>
      <c r="C180" s="118" t="s">
        <v>332</v>
      </c>
      <c r="D180" s="126" t="str">
        <f>+IFERROR(INDEX('DESEMPATE Y DISCAPACIDAD'!$D$3:$D$450,MATCH(C180,'DESEMPATE Y DISCAPACIDAD'!$C$3:$C$450,0)),"")</f>
        <v>JOYCO S.A.S. BIC</v>
      </c>
      <c r="E180" s="127" t="str">
        <f>IFERROR(IF(D180="","",IF(VLOOKUP(D180,'DESEMPATE Y DISCAPACIDAD'!D$3:$E$450,2,FALSE)=1,"N/A",IF(VLOOKUP(D180,'DESEMPATE Y DISCAPACIDAD'!D$3:$F$450,3,FALSE)="X","SI","NO"))),"")</f>
        <v>NO</v>
      </c>
      <c r="F180" s="125" t="s">
        <v>1041</v>
      </c>
      <c r="G180" s="125" t="s">
        <v>660</v>
      </c>
      <c r="H180" s="125" t="s">
        <v>1049</v>
      </c>
      <c r="I180" s="128" t="s">
        <v>1050</v>
      </c>
      <c r="J180" s="121" t="s">
        <v>74</v>
      </c>
      <c r="K180" s="121" t="s">
        <v>74</v>
      </c>
      <c r="L180" s="121" t="s">
        <v>75</v>
      </c>
      <c r="M180" s="121" t="s">
        <v>74</v>
      </c>
      <c r="N180" s="125" t="str">
        <f t="shared" si="157"/>
        <v>SI</v>
      </c>
      <c r="O180" s="125" t="str">
        <f t="shared" si="163"/>
        <v>NO</v>
      </c>
      <c r="P180" s="125" t="str">
        <f t="shared" si="158"/>
        <v>SI</v>
      </c>
      <c r="Q180" s="125" t="str">
        <f t="shared" si="123"/>
        <v>SI</v>
      </c>
      <c r="R180" s="68">
        <v>0.6</v>
      </c>
      <c r="S180" s="129">
        <v>41109</v>
      </c>
      <c r="T180" s="129">
        <v>42916</v>
      </c>
      <c r="U180" s="125">
        <f t="shared" si="159"/>
        <v>2017</v>
      </c>
      <c r="V180" s="117">
        <f>IF(U180=2023,1160000,IFERROR(INDEX(SMMLV!$B$2:$B$101,MATCH(U180,SMMLV!$A$2:$A$101,0)),""))</f>
        <v>737717</v>
      </c>
      <c r="W180" s="124" t="s">
        <v>670</v>
      </c>
      <c r="X180" s="121" t="s">
        <v>671</v>
      </c>
      <c r="Y180" s="125">
        <v>159</v>
      </c>
      <c r="Z180" s="474" t="s">
        <v>74</v>
      </c>
      <c r="AA180" s="475"/>
      <c r="AB180" s="476"/>
      <c r="AC180" s="125" t="str">
        <f t="shared" si="160"/>
        <v>SI</v>
      </c>
      <c r="AD180" s="117" t="str">
        <f t="shared" si="124"/>
        <v>N/A</v>
      </c>
      <c r="AE180" s="117">
        <v>15561.49</v>
      </c>
      <c r="AF180" s="117">
        <f t="shared" si="140"/>
        <v>9336.8940000000002</v>
      </c>
      <c r="AG180" s="470"/>
      <c r="AH180" s="470"/>
      <c r="AI180" s="125" t="str">
        <f t="shared" si="141"/>
        <v>CUMPLE</v>
      </c>
      <c r="AJ180" s="470"/>
      <c r="AK180" s="470"/>
      <c r="AL180" s="527"/>
      <c r="AM180" s="505"/>
      <c r="AN180" s="3" t="s">
        <v>75</v>
      </c>
      <c r="AO180" s="498"/>
      <c r="AP180" s="3" t="s">
        <v>74</v>
      </c>
      <c r="AQ180" s="498"/>
      <c r="AR180" s="600"/>
      <c r="AS180" s="587"/>
      <c r="AT180" s="204"/>
      <c r="AU180" s="614"/>
      <c r="AV180" s="617"/>
      <c r="AW180" s="620"/>
      <c r="AX180" s="620"/>
      <c r="AY180" s="19"/>
      <c r="CB180" s="29" t="str">
        <f>IFERROR(IF(COUNTIF(AF173:AF182,"")=10,"",IF(COUNTIF(E173:E182,"N/A")&gt;0,IF(AF180&gt;=CMEMM1,AF180,0),"N/A")),"")</f>
        <v>N/A</v>
      </c>
      <c r="CC180" s="4"/>
      <c r="CD180" s="4">
        <f>IFERROR(IF(COUNTIF(AF173:AF182,"")=10,"",IF(AF180="","",IF(AF180&gt;=CMEMM1,1,0))),"")</f>
        <v>1</v>
      </c>
      <c r="CE180" s="4" t="str">
        <f>B173&amp;"-0"&amp;8</f>
        <v>P18-08</v>
      </c>
      <c r="CF180" s="4" t="str">
        <f>IFERROR(INDEX('DESEMPATE Y DISCAPACIDAD'!$D$3:$D$450,MATCH(CE180,'DESEMPATE Y DISCAPACIDAD'!$C$3:$C$450,0)),"")</f>
        <v/>
      </c>
      <c r="CG180" s="4" t="str">
        <f>IF(OR(CE180="",CF180=""),"",SUMIF(D173:D182,CF180,CD173:CD182))</f>
        <v/>
      </c>
      <c r="CH180" s="4" t="str">
        <f t="shared" si="149"/>
        <v/>
      </c>
      <c r="CI180" s="4" t="str">
        <f t="shared" si="161"/>
        <v/>
      </c>
      <c r="CJ180" s="4"/>
      <c r="CK180" s="4"/>
      <c r="CL180" s="4">
        <f t="shared" si="121"/>
        <v>1</v>
      </c>
      <c r="CM180" s="4">
        <f t="shared" si="122"/>
        <v>0</v>
      </c>
      <c r="CN180" s="4" t="str">
        <f t="shared" si="162"/>
        <v>COND. A</v>
      </c>
      <c r="CO180" s="4"/>
      <c r="CP180" s="4"/>
      <c r="CQ180" s="29" t="str">
        <f t="shared" ref="CQ180:CQ243" si="164">IF(OR(AN180="",CB180=""),"",IF(AN180="NO",CB180,0))</f>
        <v>N/A</v>
      </c>
      <c r="CR180" s="29">
        <f t="shared" ref="CR180:CR194" si="165">IF(OR(AN180="",AF180=""),"",IF(AN180="NO",AF180,0))</f>
        <v>9336.8940000000002</v>
      </c>
      <c r="CS180" s="4"/>
    </row>
    <row r="181" spans="1:97" ht="2" customHeight="1">
      <c r="B181" s="481"/>
      <c r="C181" s="118"/>
      <c r="D181" s="126" t="str">
        <f>+IFERROR(INDEX('DESEMPATE Y DISCAPACIDAD'!$D$3:$D$450,MATCH(C181,'DESEMPATE Y DISCAPACIDAD'!$C$3:$C$450,0)),"")</f>
        <v/>
      </c>
      <c r="E181" s="127" t="str">
        <f>IFERROR(IF(D181="","",IF(VLOOKUP(D181,'DESEMPATE Y DISCAPACIDAD'!D$3:$E$450,2,FALSE)=1,"N/A",IF(VLOOKUP(D181,'DESEMPATE Y DISCAPACIDAD'!D$3:$F$450,3,FALSE)="X","SI","NO"))),"")</f>
        <v/>
      </c>
      <c r="F181" s="125"/>
      <c r="G181" s="125"/>
      <c r="H181" s="125"/>
      <c r="I181" s="128"/>
      <c r="J181" s="125"/>
      <c r="K181" s="125"/>
      <c r="L181" s="125"/>
      <c r="M181" s="125"/>
      <c r="N181" s="125" t="str">
        <f t="shared" si="157"/>
        <v/>
      </c>
      <c r="O181" s="125" t="str">
        <f t="shared" si="163"/>
        <v/>
      </c>
      <c r="P181" s="125" t="str">
        <f t="shared" si="158"/>
        <v/>
      </c>
      <c r="Q181" s="125" t="str">
        <f t="shared" si="123"/>
        <v/>
      </c>
      <c r="R181" s="68"/>
      <c r="S181" s="129"/>
      <c r="T181" s="129"/>
      <c r="U181" s="125" t="str">
        <f t="shared" si="159"/>
        <v/>
      </c>
      <c r="V181" s="117" t="str">
        <f>IF(U181=2023,1160000,IFERROR(INDEX(SMMLV!$B$2:$B$101,MATCH(U181,SMMLV!$A$2:$A$101,0)),""))</f>
        <v/>
      </c>
      <c r="W181" s="117"/>
      <c r="X181" s="125"/>
      <c r="Y181" s="125"/>
      <c r="Z181" s="474"/>
      <c r="AA181" s="475"/>
      <c r="AB181" s="476"/>
      <c r="AC181" s="125" t="str">
        <f t="shared" si="160"/>
        <v/>
      </c>
      <c r="AD181" s="117" t="str">
        <f t="shared" si="124"/>
        <v/>
      </c>
      <c r="AE181" s="117" t="s">
        <v>894</v>
      </c>
      <c r="AF181" s="117" t="str">
        <f t="shared" si="140"/>
        <v/>
      </c>
      <c r="AG181" s="470"/>
      <c r="AH181" s="470"/>
      <c r="AI181" s="125" t="str">
        <f t="shared" si="141"/>
        <v/>
      </c>
      <c r="AJ181" s="470"/>
      <c r="AK181" s="470"/>
      <c r="AL181" s="527"/>
      <c r="AM181" s="505"/>
      <c r="AN181" s="3"/>
      <c r="AO181" s="498"/>
      <c r="AP181" s="3"/>
      <c r="AQ181" s="498"/>
      <c r="AR181" s="600"/>
      <c r="AS181" s="587"/>
      <c r="AT181" s="204"/>
      <c r="AU181" s="614"/>
      <c r="AV181" s="617"/>
      <c r="AW181" s="620"/>
      <c r="AX181" s="620"/>
      <c r="AY181" s="19"/>
      <c r="CB181" s="29" t="str">
        <f>IFERROR(IF(COUNTIF(AF173:AF182,"")=10,"",IF(COUNTIF(E173:E182,"N/A")&gt;0,IF(AF181&gt;=CMEMM1,AF181,0),"N/A")),"")</f>
        <v>N/A</v>
      </c>
      <c r="CC181" s="4"/>
      <c r="CD181" s="4" t="str">
        <f>IFERROR(IF(COUNTIF(AF173:AF182,"")=10,"",IF(AF181="","",IF(AF181&gt;=CMEMM1,1,0))),"")</f>
        <v/>
      </c>
      <c r="CE181" s="4" t="str">
        <f>B173&amp;"-0"&amp;9</f>
        <v>P18-09</v>
      </c>
      <c r="CF181" s="4" t="str">
        <f>IFERROR(INDEX('DESEMPATE Y DISCAPACIDAD'!$D$3:$D$450,MATCH(CE181,'DESEMPATE Y DISCAPACIDAD'!$C$3:$C$450,0)),"")</f>
        <v/>
      </c>
      <c r="CG181" s="4" t="str">
        <f>IF(OR(CE181="",CF181=""),"",SUMIF(D173:D182,CF181,CD173:CD182))</f>
        <v/>
      </c>
      <c r="CH181" s="4" t="str">
        <f t="shared" si="149"/>
        <v/>
      </c>
      <c r="CI181" s="4" t="str">
        <f t="shared" si="161"/>
        <v/>
      </c>
      <c r="CJ181" s="4"/>
      <c r="CK181" s="4"/>
      <c r="CL181" s="4" t="str">
        <f t="shared" si="121"/>
        <v/>
      </c>
      <c r="CM181" s="4" t="str">
        <f t="shared" si="122"/>
        <v/>
      </c>
      <c r="CN181" s="4" t="str">
        <f t="shared" si="162"/>
        <v/>
      </c>
      <c r="CO181" s="4"/>
      <c r="CP181" s="4"/>
      <c r="CQ181" s="29" t="str">
        <f t="shared" si="164"/>
        <v/>
      </c>
      <c r="CR181" s="29" t="str">
        <f t="shared" si="165"/>
        <v/>
      </c>
      <c r="CS181" s="4"/>
    </row>
    <row r="182" spans="1:97" ht="2" customHeight="1" thickBot="1">
      <c r="B182" s="482"/>
      <c r="C182" s="130"/>
      <c r="D182" s="131" t="str">
        <f>+IFERROR(INDEX('DESEMPATE Y DISCAPACIDAD'!$D$3:$D$450,MATCH(C182,'DESEMPATE Y DISCAPACIDAD'!$C$3:$C$450,0)),"")</f>
        <v/>
      </c>
      <c r="E182" s="132" t="str">
        <f>IFERROR(IF(D182="","",IF(VLOOKUP(D182,'DESEMPATE Y DISCAPACIDAD'!D$3:$E$450,2,FALSE)=1,"N/A",IF(VLOOKUP(D182,'DESEMPATE Y DISCAPACIDAD'!D$3:$F$450,3,FALSE)="X","SI","NO"))),"")</f>
        <v/>
      </c>
      <c r="F182" s="133"/>
      <c r="G182" s="133"/>
      <c r="H182" s="133"/>
      <c r="I182" s="134"/>
      <c r="J182" s="133"/>
      <c r="K182" s="133"/>
      <c r="L182" s="133"/>
      <c r="M182" s="133"/>
      <c r="N182" s="133" t="str">
        <f t="shared" si="157"/>
        <v/>
      </c>
      <c r="O182" s="133" t="str">
        <f t="shared" si="163"/>
        <v/>
      </c>
      <c r="P182" s="133" t="str">
        <f t="shared" si="158"/>
        <v/>
      </c>
      <c r="Q182" s="133" t="str">
        <f t="shared" si="123"/>
        <v/>
      </c>
      <c r="R182" s="104"/>
      <c r="S182" s="135"/>
      <c r="T182" s="135"/>
      <c r="U182" s="133" t="str">
        <f t="shared" si="159"/>
        <v/>
      </c>
      <c r="V182" s="136" t="str">
        <f>IF(U182=2023,1160000,IFERROR(INDEX(SMMLV!$B$2:$B$101,MATCH(U182,SMMLV!$A$2:$A$101,0)),""))</f>
        <v/>
      </c>
      <c r="W182" s="136"/>
      <c r="X182" s="133"/>
      <c r="Y182" s="133"/>
      <c r="Z182" s="487"/>
      <c r="AA182" s="488"/>
      <c r="AB182" s="489"/>
      <c r="AC182" s="133" t="str">
        <f t="shared" si="160"/>
        <v/>
      </c>
      <c r="AD182" s="136" t="str">
        <f t="shared" si="124"/>
        <v/>
      </c>
      <c r="AE182" s="117" t="s">
        <v>894</v>
      </c>
      <c r="AF182" s="136" t="str">
        <f t="shared" si="140"/>
        <v/>
      </c>
      <c r="AG182" s="471"/>
      <c r="AH182" s="471"/>
      <c r="AI182" s="133" t="str">
        <f t="shared" si="141"/>
        <v/>
      </c>
      <c r="AJ182" s="471"/>
      <c r="AK182" s="471"/>
      <c r="AL182" s="528"/>
      <c r="AM182" s="506"/>
      <c r="AN182" s="5"/>
      <c r="AO182" s="499"/>
      <c r="AP182" s="5"/>
      <c r="AQ182" s="499"/>
      <c r="AR182" s="601"/>
      <c r="AS182" s="588"/>
      <c r="AT182" s="206"/>
      <c r="AU182" s="615"/>
      <c r="AV182" s="618"/>
      <c r="AW182" s="621"/>
      <c r="AX182" s="621"/>
      <c r="AY182" s="19"/>
      <c r="CB182" s="29" t="str">
        <f>IFERROR(IF(COUNTIF(AF173:AF182,"")=10,"",IF(COUNTIF(E173:E182,"N/A")&gt;0,IF(AF182&gt;=CMEMM1,AF182,0),"N/A")),"")</f>
        <v>N/A</v>
      </c>
      <c r="CC182" s="4"/>
      <c r="CD182" s="4" t="str">
        <f>IFERROR(IF(COUNTIF(AF173:AF182,"")=10,"",IF(AF182="","",IF(AF182&gt;=CMEMM1,1,0))),"")</f>
        <v/>
      </c>
      <c r="CE182" s="4" t="str">
        <f>B173&amp;"-"&amp;10</f>
        <v>P18-10</v>
      </c>
      <c r="CF182" s="4" t="str">
        <f>IFERROR(INDEX('DESEMPATE Y DISCAPACIDAD'!$D$3:$D$450,MATCH(CE182,'DESEMPATE Y DISCAPACIDAD'!$C$3:$C$450,0)),"")</f>
        <v/>
      </c>
      <c r="CG182" s="4" t="str">
        <f>IF(OR(CE182="",CF182=""),"",SUMIF(D173:D182,CF182,CD173:CD182))</f>
        <v/>
      </c>
      <c r="CH182" s="4" t="str">
        <f t="shared" si="149"/>
        <v/>
      </c>
      <c r="CI182" s="4" t="str">
        <f t="shared" si="161"/>
        <v/>
      </c>
      <c r="CJ182" s="4"/>
      <c r="CK182" s="4"/>
      <c r="CL182" s="4" t="str">
        <f t="shared" si="121"/>
        <v/>
      </c>
      <c r="CM182" s="4" t="str">
        <f t="shared" si="122"/>
        <v/>
      </c>
      <c r="CN182" s="4" t="str">
        <f t="shared" si="162"/>
        <v/>
      </c>
      <c r="CO182" s="4"/>
      <c r="CP182" s="4"/>
      <c r="CQ182" s="29" t="str">
        <f t="shared" si="164"/>
        <v/>
      </c>
      <c r="CR182" s="29" t="str">
        <f t="shared" si="165"/>
        <v/>
      </c>
      <c r="CS182" s="4"/>
    </row>
    <row r="183" spans="1:97" ht="45" customHeight="1">
      <c r="A183" s="4" t="str">
        <f>"A"&amp;B183</f>
        <v>AP19</v>
      </c>
      <c r="B183" s="480" t="s">
        <v>140</v>
      </c>
      <c r="C183" s="108" t="s">
        <v>336</v>
      </c>
      <c r="D183" s="119" t="str">
        <f>+IFERROR(INDEX('DESEMPATE Y DISCAPACIDAD'!$D$3:$D$450,MATCH(C183,'DESEMPATE Y DISCAPACIDAD'!$C$3:$C$450,0)),"")</f>
        <v>INGENIERÍA DE PROYECTOS S.A.S.</v>
      </c>
      <c r="E183" s="120" t="str">
        <f>IFERROR(IF(D183="","",IF(VLOOKUP(D183,'DESEMPATE Y DISCAPACIDAD'!D$3:$E$450,2,FALSE)=1,"N/A",IF(VLOOKUP(D183,'DESEMPATE Y DISCAPACIDAD'!D$3:$F$450,3,FALSE)="X","SI","NO"))),"")</f>
        <v>NO</v>
      </c>
      <c r="F183" s="3" t="s">
        <v>940</v>
      </c>
      <c r="G183" s="125" t="s">
        <v>660</v>
      </c>
      <c r="H183" s="121" t="s">
        <v>1084</v>
      </c>
      <c r="I183" s="122" t="s">
        <v>1085</v>
      </c>
      <c r="J183" s="125" t="s">
        <v>74</v>
      </c>
      <c r="K183" s="730" t="s">
        <v>74</v>
      </c>
      <c r="L183" s="730" t="s">
        <v>74</v>
      </c>
      <c r="M183" s="730" t="s">
        <v>74</v>
      </c>
      <c r="N183" s="121" t="str">
        <f>IFERROR(IF(OR(J183="",K183=""),"",IF(J183="NO","NO",K183)),"")</f>
        <v>SI</v>
      </c>
      <c r="O183" s="121" t="str">
        <f>IFERROR(IF(OR(J183="",L183=""),"",IF(J183="NO","NO",L183)),"")</f>
        <v>SI</v>
      </c>
      <c r="P183" s="121" t="str">
        <f>IFERROR(IF(OR(J183="",M183=""),"",IF(J183="NO","NO",M183)),"")</f>
        <v>SI</v>
      </c>
      <c r="Q183" s="121" t="str">
        <f t="shared" si="123"/>
        <v>SI</v>
      </c>
      <c r="R183" s="103">
        <v>0.25</v>
      </c>
      <c r="S183" s="370">
        <v>45890</v>
      </c>
      <c r="T183" s="370">
        <v>45777</v>
      </c>
      <c r="U183" s="179">
        <f>IFERROR(IF(T183="","",YEAR(T183)),"")</f>
        <v>2025</v>
      </c>
      <c r="V183" s="358">
        <v>1750905</v>
      </c>
      <c r="W183" s="21">
        <v>38043035658</v>
      </c>
      <c r="X183" s="3" t="s">
        <v>671</v>
      </c>
      <c r="Y183" s="179">
        <v>375</v>
      </c>
      <c r="Z183" s="492" t="s">
        <v>74</v>
      </c>
      <c r="AA183" s="493"/>
      <c r="AB183" s="494"/>
      <c r="AC183" s="179" t="str">
        <f>IFERROR(IF(Y183="","",IF(ISNUMBER(Y183),IF(COUNTIF(Z183,"SI")&gt;0,"SI","NO"),Y183)),"")</f>
        <v>SI</v>
      </c>
      <c r="AD183" s="358">
        <f t="shared" si="124"/>
        <v>38043035658</v>
      </c>
      <c r="AE183" s="21">
        <f t="shared" ref="AE183:AE192" si="166">IFERROR(IF(OR(V183="",AD183=""),"",ROUND(AD183/V183,2)),"")</f>
        <v>21727.64</v>
      </c>
      <c r="AF183" s="358">
        <f t="shared" si="140"/>
        <v>5431.91</v>
      </c>
      <c r="AG183" s="486" t="str">
        <f>IFERROR(IF(COUNTIF(AF183:AF192,"")=10,"",IF(COUNTIF(E183:E192,"N/A")&gt;0,IF(SUM(CB183:CB192)&gt;=CMEM1,"CUMPLE","NO CUMPLE"),IF(SUM(AF183:AF192)&gt;=CMEM1,"CUMPLE","NO CUMPLE"))),"")</f>
        <v>CUMPLE</v>
      </c>
      <c r="AH183" s="486" t="str">
        <f>IF(COUNTIF(AF183:AF192,"")=10,"",IF(SUMIF(C183:C192,C183,AF183:AF192)&gt;=CMLM1,"CUMPLE",IF(SUMIF(C183:C192,C184,AF183:AF192)&gt;=CMLM1,"CUMPLE",IF(SUMIF(C183:C192,C185,AF183:AF192)&gt;=CMLM1,"CUMPLE",IF(SUMIF(C183:C192,C186,AF183:AF192)&gt;=CMLM1,"CUMPLE",IF(SUMIF(C183:C192,C187,AF183:AF192)&gt;=CMLM1,"CUMPLE",IF(SUMIF(C183:C192,C188,AF183:AF192)&gt;=CMLM1,"CUMPLE",IF(SUMIF(C183:C192,C189,AF183:AF192)&gt;=CMLM1,"CUMPLE",IF(SUMIF(C183:C192,C190,AF183:AF192)&gt;=CMLM1,"CUMPLE",IF(SUMIF(C183:C192,C191,AF183:AF192)&gt;=CMLM1,"CUMPLE",IF(SUMIF(C183:C192,C192,AF183:AF192)&gt;=CMLM1,"CUMPLE","NO CUMPLE")))))))))))</f>
        <v>CUMPLE</v>
      </c>
      <c r="AI183" s="121" t="str">
        <f t="shared" si="141"/>
        <v>CUMPLE</v>
      </c>
      <c r="AJ183" s="469" t="str">
        <f>IFERROR(IF(COUNTIF(AF183:AF192,"")=10,"",IF(COUNTIF(E183:E192,"N/A")&gt;0,"N/A",CJ183)),"")</f>
        <v>CUMPLE</v>
      </c>
      <c r="AK183" s="469" t="str">
        <f>IFERROR(IF(AND(COUNTIF(N183:N192,"SI")&gt;=1,COUNTIF(O183:O192,"SI")&gt;=1,COUNTIF(P183:P192,"SI")&gt;=1,COUNTIF(J183:J192,"SI")&lt;=10,CO183="CUMPLE"),"CUMPLE","NO CUMPLE"),"")</f>
        <v>CUMPLE</v>
      </c>
      <c r="AL183" s="527" t="s">
        <v>77</v>
      </c>
      <c r="AM183" s="495">
        <f>IFERROR(IF(B183&lt;&gt;"",IF(VLOOKUP(B183,'DESEMPATE Y DISCAPACIDAD'!$A$3:$Q$450,10,FALSE)="","",VLOOKUP(B183,'DESEMPATE Y DISCAPACIDAD'!$A$3:$Q$450,10,FALSE)+6),""),"")</f>
        <v>8</v>
      </c>
      <c r="AN183" s="606" t="s">
        <v>75</v>
      </c>
      <c r="AO183" s="498" t="s">
        <v>74</v>
      </c>
      <c r="AP183" s="606" t="s">
        <v>74</v>
      </c>
      <c r="AQ183" s="498">
        <f>IFERROR(IF(COUNTIF(AP183:AP192,"")=10,"",IF(AO183="NO",0,COUNTIF(AP183:AP192,"SI"))),"")</f>
        <v>3</v>
      </c>
      <c r="AR183" s="599">
        <f>IFERROR(IF(COUNTIF(AF183:AF192,"")=10,"",IF(AO183="NO",0,IF(COUNTIF(E183:E192,"N/A")&gt;0,SUM(CQ183:CQ192),SUM(CR183:CR192)))),"")</f>
        <v>37340.0164</v>
      </c>
      <c r="AS183" s="586">
        <f>IFERROR(IF(OR(COUNTIF(AF183:AF192,"")=10,AQ183="",AR183=""),"",IF(AO183="NO",0,AR183/AQ183)),"")</f>
        <v>12446.672133333333</v>
      </c>
      <c r="AT183" s="207"/>
      <c r="AU183" s="627" t="s">
        <v>1340</v>
      </c>
      <c r="AV183" s="630" t="s">
        <v>1357</v>
      </c>
      <c r="AW183" s="633" t="s">
        <v>1363</v>
      </c>
      <c r="AX183" s="633" t="s">
        <v>1364</v>
      </c>
      <c r="AY183" s="19"/>
      <c r="CB183" s="29" t="str">
        <f>IFERROR(IF(COUNTIF(AF183:AF192,"")=10,"",IF(COUNTIF(E183:E192,"N/A")&gt;0,IF(AF183&gt;=CMEMM1,AF183,0),"N/A")),"")</f>
        <v>N/A</v>
      </c>
      <c r="CC183" s="4"/>
      <c r="CD183" s="4">
        <f>IFERROR(IF(COUNTIF(AF183:AF192,"")=10,"",IF(AF183="","",IF(AF183&gt;=CMEMM1,1,0))),"")</f>
        <v>1</v>
      </c>
      <c r="CE183" s="4" t="str">
        <f>B183&amp;"-0"&amp;1</f>
        <v>P19-01</v>
      </c>
      <c r="CF183" s="4" t="str">
        <f>IFERROR(INDEX('DESEMPATE Y DISCAPACIDAD'!$D$3:$D$450,MATCH(CE183,'DESEMPATE Y DISCAPACIDAD'!$C$3:$C$450,0)),"")</f>
        <v>INGENIERÍA DE PROYECTOS S.A.S.</v>
      </c>
      <c r="CG183" s="4">
        <f>IF(OR(CE183="",CF183=""),"",SUMIF(D183:D192,CF183,CD183:CD192))</f>
        <v>3</v>
      </c>
      <c r="CH183" s="4" t="str">
        <f t="shared" si="149"/>
        <v>CUMPLE</v>
      </c>
      <c r="CI183" s="4">
        <f>IF(CF183="","",IF(ISTEXT(CF183),1,0))</f>
        <v>1</v>
      </c>
      <c r="CJ183" s="4" t="str">
        <f>IF(OR(CD183="",CE183="",CF183="",CG183="",CH183="",CI183=""),"",IF(COUNTIF(CH183:CH192,"CUMPLE")=COUNTIF(CI183:CI192,1),"CUMPLE","NO CUMPLE"))</f>
        <v>CUMPLE</v>
      </c>
      <c r="CK183" s="4"/>
      <c r="CL183" s="4">
        <f t="shared" si="121"/>
        <v>1</v>
      </c>
      <c r="CM183" s="4">
        <f t="shared" si="122"/>
        <v>1</v>
      </c>
      <c r="CN183" s="4" t="str">
        <f>IF(OR(CL183="",CM183=""),"",IF(AND(CL183=0,CM183=0),"N/A",IF(AND(CL183=1,CM183=0),"COND. A",IF(AND(CL183=0,CM183=1),"COND. B",IF(AND(CL183=1,CM183=1),"COND. A Y B","")))))</f>
        <v>COND. A Y B</v>
      </c>
      <c r="CO183" s="4" t="str">
        <f>IF(COUNTIF(CN183:CN192,"N/A")=10,"NO CUMPLE",IF(COUNTIF(CN183:CN192,"COND. A Y B")&gt;1,"CUMPLE",IF(AND(COUNTIF(CN183:CN192,"COND. A")&gt;0,COUNTIF(CN183:CN192,"COND. B")&gt;0),"CUMPLE",IF(AND(COUNTIF(CN183:CN192,"COND. A Y B")&gt;0,COUNTIF(CN183:CN192,"COND. A")&gt;0),"CUMPLE",IF(AND(COUNTIF(CN183:CN192,"COND. A Y B")&gt;0,COUNTIF(CN183:CN192,"COND. B")&gt;0),"CUMPLE","NO CUMPLE")))))</f>
        <v>CUMPLE</v>
      </c>
      <c r="CP183" s="4"/>
      <c r="CQ183" s="29" t="str">
        <f t="shared" si="164"/>
        <v>N/A</v>
      </c>
      <c r="CR183" s="29">
        <f t="shared" si="165"/>
        <v>5431.91</v>
      </c>
      <c r="CS183" s="4"/>
    </row>
    <row r="184" spans="1:97" ht="45" customHeight="1">
      <c r="B184" s="481"/>
      <c r="C184" s="118" t="s">
        <v>337</v>
      </c>
      <c r="D184" s="119" t="str">
        <f>+IFERROR(INDEX('DESEMPATE Y DISCAPACIDAD'!$D$3:$D$450,MATCH(C184,'DESEMPATE Y DISCAPACIDAD'!$C$3:$C$450,0)),"")</f>
        <v>INGENIEROS CIVILES ESPECIALISTAS S.A.S.</v>
      </c>
      <c r="E184" s="120" t="str">
        <f>IFERROR(IF(D184="","",IF(VLOOKUP(D184,'DESEMPATE Y DISCAPACIDAD'!D$3:$E$450,2,FALSE)=1,"N/A",IF(VLOOKUP(D184,'DESEMPATE Y DISCAPACIDAD'!D$3:$F$450,3,FALSE)="X","SI","NO"))),"")</f>
        <v>NO</v>
      </c>
      <c r="F184" s="3" t="s">
        <v>940</v>
      </c>
      <c r="G184" s="3" t="s">
        <v>660</v>
      </c>
      <c r="H184" s="179" t="s">
        <v>1084</v>
      </c>
      <c r="I184" s="239" t="s">
        <v>1085</v>
      </c>
      <c r="J184" s="125" t="s">
        <v>74</v>
      </c>
      <c r="K184" s="583"/>
      <c r="L184" s="583"/>
      <c r="M184" s="583"/>
      <c r="N184" s="121" t="str">
        <f t="shared" ref="N184:N192" si="167">IFERROR(IF(OR(J184="",K184=""),"",IF(J184="NO","NO",K184)),"")</f>
        <v/>
      </c>
      <c r="O184" s="121" t="str">
        <f>IFERROR(IF(OR(J184="",L184=""),"",IF(J184="NO","NO",L184)),"")</f>
        <v/>
      </c>
      <c r="P184" s="121" t="str">
        <f t="shared" ref="P184:P192" si="168">IFERROR(IF(OR(J184="",M184=""),"",IF(J184="NO","NO",M184)),"")</f>
        <v/>
      </c>
      <c r="Q184" s="121" t="str">
        <f t="shared" si="123"/>
        <v>SI</v>
      </c>
      <c r="R184" s="103">
        <v>0.51</v>
      </c>
      <c r="S184" s="370">
        <v>45890</v>
      </c>
      <c r="T184" s="370">
        <v>45777</v>
      </c>
      <c r="U184" s="179">
        <f t="shared" ref="U184:U192" si="169">IFERROR(IF(T184="","",YEAR(T184)),"")</f>
        <v>2025</v>
      </c>
      <c r="V184" s="358">
        <v>1750905</v>
      </c>
      <c r="W184" s="21">
        <v>38043035658</v>
      </c>
      <c r="X184" s="3" t="s">
        <v>671</v>
      </c>
      <c r="Y184" s="3">
        <v>56</v>
      </c>
      <c r="Z184" s="477" t="s">
        <v>74</v>
      </c>
      <c r="AA184" s="478"/>
      <c r="AB184" s="479"/>
      <c r="AC184" s="3" t="str">
        <f t="shared" ref="AC184:AC192" si="170">IFERROR(IF(Y184="","",IF(ISNUMBER(Y184),IF(COUNTIF(Z184,"SI")&gt;0,"SI","NO"),Y184)),"")</f>
        <v>SI</v>
      </c>
      <c r="AD184" s="21">
        <f t="shared" si="124"/>
        <v>38043035658</v>
      </c>
      <c r="AE184" s="21">
        <f t="shared" si="166"/>
        <v>21727.64</v>
      </c>
      <c r="AF184" s="21">
        <f t="shared" si="140"/>
        <v>11081.0964</v>
      </c>
      <c r="AG184" s="470"/>
      <c r="AH184" s="470"/>
      <c r="AI184" s="125" t="str">
        <f t="shared" si="141"/>
        <v>CUMPLE</v>
      </c>
      <c r="AJ184" s="470"/>
      <c r="AK184" s="470"/>
      <c r="AL184" s="527"/>
      <c r="AM184" s="496"/>
      <c r="AN184" s="575"/>
      <c r="AO184" s="498"/>
      <c r="AP184" s="575"/>
      <c r="AQ184" s="498"/>
      <c r="AR184" s="600"/>
      <c r="AS184" s="587"/>
      <c r="AT184" s="204"/>
      <c r="AU184" s="628"/>
      <c r="AV184" s="631"/>
      <c r="AW184" s="634"/>
      <c r="AX184" s="634"/>
      <c r="AY184" s="19"/>
      <c r="CB184" s="29" t="str">
        <f>IFERROR(IF(COUNTIF(AF183:AF192,"")=10,"",IF(COUNTIF(E183:E192,"N/A")&gt;0,IF(AF184&gt;=CMEMM1,AF184,0),"N/A")),"")</f>
        <v>N/A</v>
      </c>
      <c r="CC184" s="4"/>
      <c r="CD184" s="4">
        <f>IFERROR(IF(COUNTIF(AF183:AF192,"")=10,"",IF(AF184="","",IF(AF184&gt;=CMEMM1,1,0))),"")</f>
        <v>1</v>
      </c>
      <c r="CE184" s="4" t="str">
        <f>B183&amp;"-0"&amp;2</f>
        <v>P19-02</v>
      </c>
      <c r="CF184" s="4" t="str">
        <f>IFERROR(INDEX('DESEMPATE Y DISCAPACIDAD'!$D$3:$D$450,MATCH(CE184,'DESEMPATE Y DISCAPACIDAD'!$C$3:$C$450,0)),"")</f>
        <v>INGENIEROS CIVILES ESPECIALISTAS S.A.S.</v>
      </c>
      <c r="CG184" s="4">
        <f>IF(OR(CE184="",CF184=""),"",SUMIF(D183:D192,CF184,CD183:CD192))</f>
        <v>3</v>
      </c>
      <c r="CH184" s="4" t="str">
        <f t="shared" si="149"/>
        <v>CUMPLE</v>
      </c>
      <c r="CI184" s="4">
        <f t="shared" ref="CI184:CI192" si="171">IF(CF184="","",IF(ISTEXT(CF184),1,0))</f>
        <v>1</v>
      </c>
      <c r="CJ184" s="4"/>
      <c r="CK184" s="4"/>
      <c r="CL184" s="4" t="str">
        <f t="shared" si="121"/>
        <v/>
      </c>
      <c r="CM184" s="4" t="str">
        <f t="shared" si="122"/>
        <v/>
      </c>
      <c r="CN184" s="4" t="str">
        <f t="shared" ref="CN184:CN192" si="172">IF(OR(CL184="",CM184=""),"",IF(AND(CL184=0,CM184=0),"N/A",IF(AND(CL184=1,CM184=0),"COND. A",IF(AND(CL184=0,CM184=1),"COND. B",IF(AND(CL184=1,CM184=1),"COND. A Y B","")))))</f>
        <v/>
      </c>
      <c r="CO184" s="4"/>
      <c r="CP184" s="4"/>
      <c r="CQ184" s="29" t="str">
        <f t="shared" si="164"/>
        <v/>
      </c>
      <c r="CR184" s="29">
        <f>IF(OR(AN183="",AF184=""),"",IF(AN183="NO",AF184,0))</f>
        <v>11081.0964</v>
      </c>
      <c r="CS184" s="4"/>
    </row>
    <row r="185" spans="1:97" ht="45" customHeight="1">
      <c r="B185" s="481"/>
      <c r="C185" s="247" t="s">
        <v>336</v>
      </c>
      <c r="D185" s="238" t="str">
        <f>+IFERROR(INDEX('DESEMPATE Y DISCAPACIDAD'!$D$3:$D$450,MATCH(C185,'DESEMPATE Y DISCAPACIDAD'!$C$3:$C$450,0)),"")</f>
        <v>INGENIERÍA DE PROYECTOS S.A.S.</v>
      </c>
      <c r="E185" s="25" t="str">
        <f>IFERROR(IF(D185="","",IF(VLOOKUP(D185,'DESEMPATE Y DISCAPACIDAD'!D$3:$E$450,2,FALSE)=1,"N/A",IF(VLOOKUP(D185,'DESEMPATE Y DISCAPACIDAD'!D$3:$F$450,3,FALSE)="X","SI","NO"))),"")</f>
        <v>NO</v>
      </c>
      <c r="F185" s="179" t="s">
        <v>940</v>
      </c>
      <c r="G185" s="179" t="s">
        <v>660</v>
      </c>
      <c r="H185" s="3" t="s">
        <v>1086</v>
      </c>
      <c r="I185" s="364" t="s">
        <v>1087</v>
      </c>
      <c r="J185" s="125" t="s">
        <v>74</v>
      </c>
      <c r="K185" s="582" t="s">
        <v>74</v>
      </c>
      <c r="L185" s="582" t="s">
        <v>74</v>
      </c>
      <c r="M185" s="582" t="s">
        <v>74</v>
      </c>
      <c r="N185" s="125" t="str">
        <f t="shared" si="167"/>
        <v>SI</v>
      </c>
      <c r="O185" s="125" t="str">
        <f>IFERROR(IF(OR(J185="",L185=""),"",IF(J185="NO","NO",L185)),"")</f>
        <v>SI</v>
      </c>
      <c r="P185" s="125" t="str">
        <f t="shared" si="168"/>
        <v>SI</v>
      </c>
      <c r="Q185" s="125" t="str">
        <f t="shared" si="123"/>
        <v>SI</v>
      </c>
      <c r="R185" s="68">
        <v>0.51</v>
      </c>
      <c r="S185" s="248">
        <v>46966</v>
      </c>
      <c r="T185" s="248">
        <v>45294</v>
      </c>
      <c r="U185" s="3">
        <f t="shared" si="169"/>
        <v>2024</v>
      </c>
      <c r="V185" s="21" t="str">
        <f>IF(U185=2023,1160000,IFERROR(INDEX([1]SMMLV!$B$2:$B$101,MATCH(U185,[1]SMMLV!$A$2:$A$101,0)),""))</f>
        <v/>
      </c>
      <c r="W185" s="21" t="s">
        <v>670</v>
      </c>
      <c r="X185" s="3" t="s">
        <v>671</v>
      </c>
      <c r="Y185" s="3">
        <v>376</v>
      </c>
      <c r="Z185" s="477" t="s">
        <v>74</v>
      </c>
      <c r="AA185" s="478"/>
      <c r="AB185" s="479"/>
      <c r="AC185" s="3" t="str">
        <f t="shared" si="170"/>
        <v>SI</v>
      </c>
      <c r="AD185" s="21" t="str">
        <f t="shared" si="124"/>
        <v>N/A</v>
      </c>
      <c r="AE185" s="21">
        <v>15379.43</v>
      </c>
      <c r="AF185" s="21">
        <f t="shared" si="140"/>
        <v>7843.5093000000006</v>
      </c>
      <c r="AG185" s="470"/>
      <c r="AH185" s="470"/>
      <c r="AI185" s="125" t="str">
        <f t="shared" si="141"/>
        <v>CUMPLE</v>
      </c>
      <c r="AJ185" s="470"/>
      <c r="AK185" s="470"/>
      <c r="AL185" s="527"/>
      <c r="AM185" s="496"/>
      <c r="AN185" s="574" t="s">
        <v>75</v>
      </c>
      <c r="AO185" s="498"/>
      <c r="AP185" s="574" t="s">
        <v>74</v>
      </c>
      <c r="AQ185" s="498"/>
      <c r="AR185" s="600"/>
      <c r="AS185" s="587"/>
      <c r="AT185" s="204"/>
      <c r="AU185" s="628"/>
      <c r="AV185" s="631"/>
      <c r="AW185" s="634"/>
      <c r="AX185" s="634"/>
      <c r="AY185" s="19"/>
      <c r="CB185" s="29" t="str">
        <f>IFERROR(IF(COUNTIF(AF183:AF192,"")=10,"",IF(COUNTIF(E183:E192,"N/A")&gt;0,IF(AF185&gt;=CMEMM1,AF185,0),"N/A")),"")</f>
        <v>N/A</v>
      </c>
      <c r="CC185" s="4"/>
      <c r="CD185" s="4">
        <f>IFERROR(IF(COUNTIF(AF183:AF192,"")=10,"",IF(AF185="","",IF(AF185&gt;=CMEMM1,1,0))),"")</f>
        <v>1</v>
      </c>
      <c r="CE185" s="4" t="str">
        <f>B183&amp;"-0"&amp;3</f>
        <v>P19-03</v>
      </c>
      <c r="CF185" s="4">
        <f>IFERROR(INDEX('DESEMPATE Y DISCAPACIDAD'!$D$3:$D$450,MATCH(CE185,'DESEMPATE Y DISCAPACIDAD'!$C$3:$C$450,0)),"")</f>
        <v>0</v>
      </c>
      <c r="CG185" s="4">
        <f>IF(OR(CE185="",CF185=""),"",SUMIF(D183:D192,CF185,CD183:CD192))</f>
        <v>0</v>
      </c>
      <c r="CH185" s="4" t="str">
        <f t="shared" si="149"/>
        <v>NO CUMPLE</v>
      </c>
      <c r="CI185" s="4">
        <f t="shared" si="171"/>
        <v>0</v>
      </c>
      <c r="CJ185" s="4"/>
      <c r="CK185" s="4"/>
      <c r="CL185" s="4">
        <f t="shared" si="121"/>
        <v>1</v>
      </c>
      <c r="CM185" s="4">
        <f t="shared" si="122"/>
        <v>1</v>
      </c>
      <c r="CN185" s="4" t="str">
        <f t="shared" si="172"/>
        <v>COND. A Y B</v>
      </c>
      <c r="CO185" s="4"/>
      <c r="CP185" s="4"/>
      <c r="CQ185" s="29" t="str">
        <f t="shared" si="164"/>
        <v>N/A</v>
      </c>
      <c r="CR185" s="29">
        <f t="shared" si="165"/>
        <v>7843.5093000000006</v>
      </c>
      <c r="CS185" s="4"/>
    </row>
    <row r="186" spans="1:97" ht="45" customHeight="1">
      <c r="B186" s="481"/>
      <c r="C186" s="247" t="s">
        <v>337</v>
      </c>
      <c r="D186" s="238" t="str">
        <f>+IFERROR(INDEX('DESEMPATE Y DISCAPACIDAD'!$D$3:$D$450,MATCH(C186,'DESEMPATE Y DISCAPACIDAD'!$C$3:$C$450,0)),"")</f>
        <v>INGENIEROS CIVILES ESPECIALISTAS S.A.S.</v>
      </c>
      <c r="E186" s="25" t="str">
        <f>IFERROR(IF(D186="","",IF(VLOOKUP(D186,'DESEMPATE Y DISCAPACIDAD'!D$3:$E$450,2,FALSE)=1,"N/A",IF(VLOOKUP(D186,'DESEMPATE Y DISCAPACIDAD'!D$3:$F$450,3,FALSE)="X","SI","NO"))),"")</f>
        <v>NO</v>
      </c>
      <c r="F186" s="179" t="s">
        <v>940</v>
      </c>
      <c r="G186" s="3" t="s">
        <v>660</v>
      </c>
      <c r="H186" s="3" t="s">
        <v>1086</v>
      </c>
      <c r="I186" s="364" t="s">
        <v>1087</v>
      </c>
      <c r="J186" s="125" t="s">
        <v>74</v>
      </c>
      <c r="K186" s="583"/>
      <c r="L186" s="583"/>
      <c r="M186" s="583"/>
      <c r="N186" s="125" t="str">
        <f t="shared" si="167"/>
        <v/>
      </c>
      <c r="O186" s="125" t="str">
        <f>IFERROR(IF(OR(J186="",L186=""),"",IF(J186="NO","NO",L186)),"")</f>
        <v/>
      </c>
      <c r="P186" s="125" t="str">
        <f t="shared" si="168"/>
        <v/>
      </c>
      <c r="Q186" s="125" t="str">
        <f t="shared" si="123"/>
        <v>SI</v>
      </c>
      <c r="R186" s="68">
        <v>0.49</v>
      </c>
      <c r="S186" s="248">
        <v>46966</v>
      </c>
      <c r="T186" s="248">
        <v>45294</v>
      </c>
      <c r="U186" s="3">
        <f t="shared" si="169"/>
        <v>2024</v>
      </c>
      <c r="V186" s="21" t="str">
        <f>IF(U186=2023,1160000,IFERROR(INDEX([1]SMMLV!$B$2:$B$101,MATCH(U186,[1]SMMLV!$A$2:$A$101,0)),""))</f>
        <v/>
      </c>
      <c r="W186" s="21" t="s">
        <v>670</v>
      </c>
      <c r="X186" s="3" t="s">
        <v>671</v>
      </c>
      <c r="Y186" s="3">
        <v>57</v>
      </c>
      <c r="Z186" s="477" t="s">
        <v>74</v>
      </c>
      <c r="AA186" s="478"/>
      <c r="AB186" s="479"/>
      <c r="AC186" s="3" t="str">
        <f t="shared" si="170"/>
        <v>SI</v>
      </c>
      <c r="AD186" s="21" t="str">
        <f t="shared" si="124"/>
        <v>N/A</v>
      </c>
      <c r="AE186" s="21">
        <v>15379.43</v>
      </c>
      <c r="AF186" s="21">
        <f t="shared" si="140"/>
        <v>7535.9206999999997</v>
      </c>
      <c r="AG186" s="470"/>
      <c r="AH186" s="470"/>
      <c r="AI186" s="125" t="str">
        <f t="shared" si="141"/>
        <v>CUMPLE</v>
      </c>
      <c r="AJ186" s="470"/>
      <c r="AK186" s="470"/>
      <c r="AL186" s="527"/>
      <c r="AM186" s="496"/>
      <c r="AN186" s="575"/>
      <c r="AO186" s="498"/>
      <c r="AP186" s="575"/>
      <c r="AQ186" s="498"/>
      <c r="AR186" s="600"/>
      <c r="AS186" s="587"/>
      <c r="AT186" s="204"/>
      <c r="AU186" s="628"/>
      <c r="AV186" s="631"/>
      <c r="AW186" s="634"/>
      <c r="AX186" s="634"/>
      <c r="AY186" s="19"/>
      <c r="CB186" s="29" t="str">
        <f>IFERROR(IF(COUNTIF(AF183:AF192,"")=10,"",IF(COUNTIF(E183:E192,"N/A")&gt;0,IF(AF186&gt;=CMEMM1,AF186,0),"N/A")),"")</f>
        <v>N/A</v>
      </c>
      <c r="CC186" s="4"/>
      <c r="CD186" s="4">
        <f>IFERROR(IF(COUNTIF(AF183:AF192,"")=10,"",IF(AF186="","",IF(AF186&gt;=CMEMM1,1,0))),"")</f>
        <v>1</v>
      </c>
      <c r="CE186" s="4" t="str">
        <f>B183&amp;"-0"&amp;4</f>
        <v>P19-04</v>
      </c>
      <c r="CF186" s="4">
        <f>IFERROR(INDEX('DESEMPATE Y DISCAPACIDAD'!$D$3:$D$450,MATCH(CE186,'DESEMPATE Y DISCAPACIDAD'!$C$3:$C$450,0)),"")</f>
        <v>0</v>
      </c>
      <c r="CG186" s="4">
        <f>IF(OR(CE186="",CF186=""),"",SUMIF(D183:D192,CF186,CD183:CD192))</f>
        <v>0</v>
      </c>
      <c r="CH186" s="4" t="str">
        <f t="shared" si="149"/>
        <v>NO CUMPLE</v>
      </c>
      <c r="CI186" s="4">
        <f t="shared" si="171"/>
        <v>0</v>
      </c>
      <c r="CJ186" s="4"/>
      <c r="CK186" s="4"/>
      <c r="CL186" s="4" t="str">
        <f t="shared" si="121"/>
        <v/>
      </c>
      <c r="CM186" s="4" t="str">
        <f t="shared" si="122"/>
        <v/>
      </c>
      <c r="CN186" s="4" t="str">
        <f t="shared" si="172"/>
        <v/>
      </c>
      <c r="CO186" s="4"/>
      <c r="CP186" s="4"/>
      <c r="CQ186" s="29" t="str">
        <f t="shared" si="164"/>
        <v/>
      </c>
      <c r="CR186" s="29">
        <f>IF(OR(AN185="",AF186=""),"",IF(AN185="NO",AF186,0))</f>
        <v>7535.9206999999997</v>
      </c>
      <c r="CS186" s="4"/>
    </row>
    <row r="187" spans="1:97" ht="45" customHeight="1">
      <c r="B187" s="481"/>
      <c r="C187" s="118" t="s">
        <v>336</v>
      </c>
      <c r="D187" s="126" t="str">
        <f>+IFERROR(INDEX('DESEMPATE Y DISCAPACIDAD'!$D$3:$D$450,MATCH(C187,'DESEMPATE Y DISCAPACIDAD'!$C$3:$C$450,0)),"")</f>
        <v>INGENIERÍA DE PROYECTOS S.A.S.</v>
      </c>
      <c r="E187" s="127" t="str">
        <f>IFERROR(IF(D187="","",IF(VLOOKUP(D187,'DESEMPATE Y DISCAPACIDAD'!D$3:$E$450,2,FALSE)=1,"N/A",IF(VLOOKUP(D187,'DESEMPATE Y DISCAPACIDAD'!D$3:$F$450,3,FALSE)="X","SI","NO"))),"")</f>
        <v>NO</v>
      </c>
      <c r="F187" s="3" t="s">
        <v>1088</v>
      </c>
      <c r="G187" s="3" t="s">
        <v>660</v>
      </c>
      <c r="H187" s="3" t="s">
        <v>1089</v>
      </c>
      <c r="I187" s="364" t="s">
        <v>1090</v>
      </c>
      <c r="J187" s="125" t="s">
        <v>74</v>
      </c>
      <c r="K187" s="125" t="s">
        <v>74</v>
      </c>
      <c r="L187" s="125" t="s">
        <v>75</v>
      </c>
      <c r="M187" s="125" t="s">
        <v>74</v>
      </c>
      <c r="N187" s="125" t="str">
        <f t="shared" si="167"/>
        <v>SI</v>
      </c>
      <c r="O187" s="125" t="str">
        <f t="shared" ref="O187:O192" si="173">IFERROR(IF(OR(J187="",L187=""),"",IF(J187="NO","NO",L187)),"")</f>
        <v>NO</v>
      </c>
      <c r="P187" s="125" t="str">
        <f t="shared" si="168"/>
        <v>SI</v>
      </c>
      <c r="Q187" s="125" t="str">
        <f t="shared" si="123"/>
        <v>SI</v>
      </c>
      <c r="R187" s="68">
        <v>0.5</v>
      </c>
      <c r="S187" s="248">
        <v>41990</v>
      </c>
      <c r="T187" s="248">
        <v>40296</v>
      </c>
      <c r="U187" s="3">
        <f t="shared" si="169"/>
        <v>2010</v>
      </c>
      <c r="V187" s="21">
        <f>IF(U187=2023,1160000,IFERROR(INDEX([1]SMMLV!$B$2:$B$101,MATCH(U187,[1]SMMLV!$A$2:$A$101,0)),""))</f>
        <v>515000</v>
      </c>
      <c r="W187" s="21" t="s">
        <v>670</v>
      </c>
      <c r="X187" s="3" t="s">
        <v>671</v>
      </c>
      <c r="Y187" s="3">
        <v>109</v>
      </c>
      <c r="Z187" s="477" t="s">
        <v>74</v>
      </c>
      <c r="AA187" s="478"/>
      <c r="AB187" s="479"/>
      <c r="AC187" s="3" t="str">
        <f t="shared" si="170"/>
        <v>SI</v>
      </c>
      <c r="AD187" s="21" t="str">
        <f t="shared" si="124"/>
        <v>N/A</v>
      </c>
      <c r="AE187" s="21">
        <v>10895.16</v>
      </c>
      <c r="AF187" s="21">
        <f t="shared" si="140"/>
        <v>5447.58</v>
      </c>
      <c r="AG187" s="470"/>
      <c r="AH187" s="470"/>
      <c r="AI187" s="125" t="str">
        <f t="shared" si="141"/>
        <v>CUMPLE</v>
      </c>
      <c r="AJ187" s="470"/>
      <c r="AK187" s="470"/>
      <c r="AL187" s="527"/>
      <c r="AM187" s="496"/>
      <c r="AN187" s="3" t="s">
        <v>75</v>
      </c>
      <c r="AO187" s="498"/>
      <c r="AP187" s="3" t="s">
        <v>74</v>
      </c>
      <c r="AQ187" s="498"/>
      <c r="AR187" s="600"/>
      <c r="AS187" s="587"/>
      <c r="AT187" s="204"/>
      <c r="AU187" s="628"/>
      <c r="AV187" s="631"/>
      <c r="AW187" s="634"/>
      <c r="AX187" s="634"/>
      <c r="AY187" s="19"/>
      <c r="CB187" s="29" t="str">
        <f>IFERROR(IF(COUNTIF(AF183:AF192,"")=10,"",IF(COUNTIF(E183:E192,"N/A")&gt;0,IF(AF187&gt;=CMEMM1,AF187,0),"N/A")),"")</f>
        <v>N/A</v>
      </c>
      <c r="CC187" s="4"/>
      <c r="CD187" s="4">
        <f>IFERROR(IF(COUNTIF(AF183:AF192,"")=10,"",IF(AF187="","",IF(AF187&gt;=CMEMM1,1,0))),"")</f>
        <v>1</v>
      </c>
      <c r="CE187" s="4" t="str">
        <f>B183&amp;"-0"&amp;5</f>
        <v>P19-05</v>
      </c>
      <c r="CF187" s="4">
        <f>IFERROR(INDEX('DESEMPATE Y DISCAPACIDAD'!$D$3:$D$450,MATCH(CE187,'DESEMPATE Y DISCAPACIDAD'!$C$3:$C$450,0)),"")</f>
        <v>0</v>
      </c>
      <c r="CG187" s="4">
        <f>IF(OR(CE187="",CF187=""),"",SUMIF(D183:D192,CF187,CD183:CD192))</f>
        <v>0</v>
      </c>
      <c r="CH187" s="4" t="str">
        <f t="shared" si="149"/>
        <v>NO CUMPLE</v>
      </c>
      <c r="CI187" s="4">
        <f t="shared" si="171"/>
        <v>0</v>
      </c>
      <c r="CJ187" s="4"/>
      <c r="CK187" s="4"/>
      <c r="CL187" s="4">
        <f t="shared" si="121"/>
        <v>1</v>
      </c>
      <c r="CM187" s="4">
        <f t="shared" si="122"/>
        <v>0</v>
      </c>
      <c r="CN187" s="4" t="str">
        <f t="shared" si="172"/>
        <v>COND. A</v>
      </c>
      <c r="CO187" s="4"/>
      <c r="CP187" s="4"/>
      <c r="CQ187" s="29" t="str">
        <f t="shared" si="164"/>
        <v>N/A</v>
      </c>
      <c r="CR187" s="29">
        <f t="shared" si="165"/>
        <v>5447.58</v>
      </c>
      <c r="CS187" s="4"/>
    </row>
    <row r="188" spans="1:97" ht="45" customHeight="1">
      <c r="B188" s="481"/>
      <c r="C188" s="118" t="s">
        <v>337</v>
      </c>
      <c r="D188" s="126" t="str">
        <f>+IFERROR(INDEX('DESEMPATE Y DISCAPACIDAD'!$D$3:$D$450,MATCH(C188,'DESEMPATE Y DISCAPACIDAD'!$C$3:$C$450,0)),"")</f>
        <v>INGENIEROS CIVILES ESPECIALISTAS S.A.S.</v>
      </c>
      <c r="E188" s="127" t="str">
        <f>IFERROR(IF(D188="","",IF(VLOOKUP(D188,'DESEMPATE Y DISCAPACIDAD'!D$3:$E$450,2,FALSE)=1,"N/A",IF(VLOOKUP(D188,'DESEMPATE Y DISCAPACIDAD'!D$3:$F$450,3,FALSE)="X","SI","NO"))),"")</f>
        <v>NO</v>
      </c>
      <c r="F188" s="3" t="s">
        <v>684</v>
      </c>
      <c r="G188" s="3" t="s">
        <v>660</v>
      </c>
      <c r="H188" s="3" t="s">
        <v>1367</v>
      </c>
      <c r="I188" s="364" t="s">
        <v>1368</v>
      </c>
      <c r="J188" s="125" t="s">
        <v>74</v>
      </c>
      <c r="K188" s="125" t="s">
        <v>74</v>
      </c>
      <c r="L188" s="125" t="s">
        <v>75</v>
      </c>
      <c r="M188" s="125" t="s">
        <v>74</v>
      </c>
      <c r="N188" s="125" t="str">
        <f t="shared" si="167"/>
        <v>SI</v>
      </c>
      <c r="O188" s="125" t="str">
        <f t="shared" si="173"/>
        <v>NO</v>
      </c>
      <c r="P188" s="125" t="str">
        <f t="shared" si="168"/>
        <v>SI</v>
      </c>
      <c r="Q188" s="125" t="str">
        <f t="shared" si="123"/>
        <v>SI</v>
      </c>
      <c r="R188" s="68">
        <v>1</v>
      </c>
      <c r="S188" s="248">
        <v>44491</v>
      </c>
      <c r="T188" s="248">
        <v>45260</v>
      </c>
      <c r="U188" s="3">
        <f t="shared" si="169"/>
        <v>2023</v>
      </c>
      <c r="V188" s="21">
        <f>IF(U188=2023,1160000,IFERROR(INDEX([1]SMMLV!$B$2:$B$101,MATCH(U188,[1]SMMLV!$A$2:$A$101,0)),""))</f>
        <v>1160000</v>
      </c>
      <c r="W188" s="21" t="s">
        <v>670</v>
      </c>
      <c r="X188" s="3" t="s">
        <v>671</v>
      </c>
      <c r="Y188" s="3">
        <v>59</v>
      </c>
      <c r="Z188" s="477" t="s">
        <v>74</v>
      </c>
      <c r="AA188" s="478"/>
      <c r="AB188" s="479"/>
      <c r="AC188" s="3" t="str">
        <f t="shared" si="170"/>
        <v>SI</v>
      </c>
      <c r="AD188" s="21" t="str">
        <f t="shared" si="124"/>
        <v>N/A</v>
      </c>
      <c r="AE188" s="21">
        <v>5641.38</v>
      </c>
      <c r="AF188" s="21">
        <f t="shared" si="140"/>
        <v>5641.38</v>
      </c>
      <c r="AG188" s="470"/>
      <c r="AH188" s="470"/>
      <c r="AI188" s="125" t="str">
        <f t="shared" si="141"/>
        <v>CUMPLE</v>
      </c>
      <c r="AJ188" s="470"/>
      <c r="AK188" s="470"/>
      <c r="AL188" s="527"/>
      <c r="AM188" s="496"/>
      <c r="AN188" s="3" t="s">
        <v>74</v>
      </c>
      <c r="AO188" s="498"/>
      <c r="AP188" s="3" t="s">
        <v>75</v>
      </c>
      <c r="AQ188" s="498"/>
      <c r="AR188" s="600"/>
      <c r="AS188" s="587"/>
      <c r="AT188" s="204"/>
      <c r="AU188" s="628"/>
      <c r="AV188" s="631"/>
      <c r="AW188" s="634"/>
      <c r="AX188" s="634"/>
      <c r="AY188" s="19"/>
      <c r="CB188" s="29" t="str">
        <f>IFERROR(IF(COUNTIF(AF183:AF192,"")=10,"",IF(COUNTIF(E183:E192,"N/A")&gt;0,IF(AF188&gt;=CMEMM1,AF188,0),"N/A")),"")</f>
        <v>N/A</v>
      </c>
      <c r="CC188" s="4"/>
      <c r="CD188" s="4">
        <f>IFERROR(IF(COUNTIF(AF183:AF192,"")=10,"",IF(AF188="","",IF(AF188&gt;=CMEMM1,1,0))),"")</f>
        <v>1</v>
      </c>
      <c r="CE188" s="4" t="str">
        <f>B183&amp;"-0"&amp;6</f>
        <v>P19-06</v>
      </c>
      <c r="CF188" s="4">
        <f>IFERROR(INDEX('DESEMPATE Y DISCAPACIDAD'!$D$3:$D$450,MATCH(CE188,'DESEMPATE Y DISCAPACIDAD'!$C$3:$C$450,0)),"")</f>
        <v>0</v>
      </c>
      <c r="CG188" s="4">
        <f>IF(OR(CE188="",CF188=""),"",SUMIF(D183:D192,CF188,CD183:CD192))</f>
        <v>0</v>
      </c>
      <c r="CH188" s="4" t="str">
        <f t="shared" si="149"/>
        <v>NO CUMPLE</v>
      </c>
      <c r="CI188" s="4">
        <f t="shared" si="171"/>
        <v>0</v>
      </c>
      <c r="CJ188" s="4"/>
      <c r="CK188" s="4"/>
      <c r="CL188" s="4">
        <f t="shared" si="121"/>
        <v>1</v>
      </c>
      <c r="CM188" s="4">
        <f t="shared" si="122"/>
        <v>0</v>
      </c>
      <c r="CN188" s="4" t="str">
        <f t="shared" si="172"/>
        <v>COND. A</v>
      </c>
      <c r="CO188" s="4"/>
      <c r="CP188" s="4"/>
      <c r="CQ188" s="29">
        <f t="shared" si="164"/>
        <v>0</v>
      </c>
      <c r="CR188" s="29">
        <f t="shared" si="165"/>
        <v>0</v>
      </c>
      <c r="CS188" s="4"/>
    </row>
    <row r="189" spans="1:97" ht="2" customHeight="1">
      <c r="B189" s="481"/>
      <c r="C189" s="118"/>
      <c r="D189" s="126" t="str">
        <f>+IFERROR(INDEX('DESEMPATE Y DISCAPACIDAD'!$D$3:$D$450,MATCH(C189,'DESEMPATE Y DISCAPACIDAD'!$C$3:$C$450,0)),"")</f>
        <v/>
      </c>
      <c r="E189" s="127" t="str">
        <f>IFERROR(IF(D189="","",IF(VLOOKUP(D189,'DESEMPATE Y DISCAPACIDAD'!D$3:$E$450,2,FALSE)=1,"N/A",IF(VLOOKUP(D189,'DESEMPATE Y DISCAPACIDAD'!D$3:$F$450,3,FALSE)="X","SI","NO"))),"")</f>
        <v/>
      </c>
      <c r="F189" s="3"/>
      <c r="G189" s="3"/>
      <c r="H189" s="3"/>
      <c r="I189" s="364"/>
      <c r="J189" s="125"/>
      <c r="K189" s="125"/>
      <c r="L189" s="125"/>
      <c r="M189" s="125"/>
      <c r="N189" s="125" t="str">
        <f t="shared" si="167"/>
        <v/>
      </c>
      <c r="O189" s="125" t="str">
        <f t="shared" si="173"/>
        <v/>
      </c>
      <c r="P189" s="125" t="str">
        <f t="shared" si="168"/>
        <v/>
      </c>
      <c r="Q189" s="125" t="str">
        <f t="shared" si="123"/>
        <v/>
      </c>
      <c r="R189" s="68"/>
      <c r="S189" s="248"/>
      <c r="T189" s="248"/>
      <c r="U189" s="3" t="str">
        <f t="shared" si="169"/>
        <v/>
      </c>
      <c r="V189" s="21" t="str">
        <f>IF(U189=2023,1160000,IFERROR(INDEX([1]SMMLV!$B$2:$B$101,MATCH(U189,[1]SMMLV!$A$2:$A$101,0)),""))</f>
        <v/>
      </c>
      <c r="W189" s="21"/>
      <c r="X189" s="3"/>
      <c r="Y189" s="3"/>
      <c r="Z189" s="477"/>
      <c r="AA189" s="478"/>
      <c r="AB189" s="479"/>
      <c r="AC189" s="3" t="str">
        <f t="shared" si="170"/>
        <v/>
      </c>
      <c r="AD189" s="21" t="str">
        <f t="shared" si="124"/>
        <v/>
      </c>
      <c r="AE189" s="21" t="str">
        <f t="shared" si="166"/>
        <v/>
      </c>
      <c r="AF189" s="21" t="str">
        <f t="shared" si="140"/>
        <v/>
      </c>
      <c r="AG189" s="470"/>
      <c r="AH189" s="470"/>
      <c r="AI189" s="125" t="str">
        <f t="shared" si="141"/>
        <v/>
      </c>
      <c r="AJ189" s="470"/>
      <c r="AK189" s="470"/>
      <c r="AL189" s="527"/>
      <c r="AM189" s="496"/>
      <c r="AN189" s="3"/>
      <c r="AO189" s="498"/>
      <c r="AP189" s="3"/>
      <c r="AQ189" s="498"/>
      <c r="AR189" s="600"/>
      <c r="AS189" s="587"/>
      <c r="AT189" s="204"/>
      <c r="AU189" s="628"/>
      <c r="AV189" s="631"/>
      <c r="AW189" s="634"/>
      <c r="AX189" s="634"/>
      <c r="AY189" s="19"/>
      <c r="CB189" s="29" t="str">
        <f>IFERROR(IF(COUNTIF(AF183:AF192,"")=10,"",IF(COUNTIF(E183:E192,"N/A")&gt;0,IF(AF189&gt;=CMEMM1,AF189,0),"N/A")),"")</f>
        <v>N/A</v>
      </c>
      <c r="CC189" s="4"/>
      <c r="CD189" s="4" t="str">
        <f>IFERROR(IF(COUNTIF(AF183:AF192,"")=10,"",IF(AF189="","",IF(AF189&gt;=CMEMM1,1,0))),"")</f>
        <v/>
      </c>
      <c r="CE189" s="4" t="str">
        <f>B183&amp;"-0"&amp;7</f>
        <v>P19-07</v>
      </c>
      <c r="CF189" s="4" t="str">
        <f>IFERROR(INDEX('DESEMPATE Y DISCAPACIDAD'!$D$3:$D$450,MATCH(CE189,'DESEMPATE Y DISCAPACIDAD'!$C$3:$C$450,0)),"")</f>
        <v/>
      </c>
      <c r="CG189" s="4" t="str">
        <f>IF(OR(CE189="",CF189=""),"",SUMIF(D183:D192,CF189,CD183:CD192))</f>
        <v/>
      </c>
      <c r="CH189" s="4" t="str">
        <f t="shared" si="149"/>
        <v/>
      </c>
      <c r="CI189" s="4" t="str">
        <f t="shared" si="171"/>
        <v/>
      </c>
      <c r="CJ189" s="4"/>
      <c r="CK189" s="4"/>
      <c r="CL189" s="4" t="str">
        <f t="shared" si="121"/>
        <v/>
      </c>
      <c r="CM189" s="4" t="str">
        <f t="shared" si="122"/>
        <v/>
      </c>
      <c r="CN189" s="4" t="str">
        <f t="shared" si="172"/>
        <v/>
      </c>
      <c r="CO189" s="4"/>
      <c r="CP189" s="4"/>
      <c r="CQ189" s="29" t="str">
        <f t="shared" si="164"/>
        <v/>
      </c>
      <c r="CR189" s="29" t="str">
        <f t="shared" si="165"/>
        <v/>
      </c>
      <c r="CS189" s="4"/>
    </row>
    <row r="190" spans="1:97" ht="2" customHeight="1">
      <c r="B190" s="481"/>
      <c r="C190" s="118"/>
      <c r="D190" s="126" t="str">
        <f>+IFERROR(INDEX('DESEMPATE Y DISCAPACIDAD'!$D$3:$D$450,MATCH(C190,'DESEMPATE Y DISCAPACIDAD'!$C$3:$C$450,0)),"")</f>
        <v/>
      </c>
      <c r="E190" s="127" t="str">
        <f>IFERROR(IF(D190="","",IF(VLOOKUP(D190,'DESEMPATE Y DISCAPACIDAD'!D$3:$E$450,2,FALSE)=1,"N/A",IF(VLOOKUP(D190,'DESEMPATE Y DISCAPACIDAD'!D$3:$F$450,3,FALSE)="X","SI","NO"))),"")</f>
        <v/>
      </c>
      <c r="F190" s="3"/>
      <c r="G190" s="3"/>
      <c r="H190" s="3"/>
      <c r="I190" s="364"/>
      <c r="J190" s="125"/>
      <c r="K190" s="125"/>
      <c r="L190" s="125"/>
      <c r="M190" s="125"/>
      <c r="N190" s="125" t="str">
        <f t="shared" si="167"/>
        <v/>
      </c>
      <c r="O190" s="125" t="str">
        <f t="shared" si="173"/>
        <v/>
      </c>
      <c r="P190" s="125" t="str">
        <f t="shared" si="168"/>
        <v/>
      </c>
      <c r="Q190" s="125" t="str">
        <f t="shared" si="123"/>
        <v/>
      </c>
      <c r="R190" s="68"/>
      <c r="S190" s="248"/>
      <c r="T190" s="248"/>
      <c r="U190" s="3" t="str">
        <f t="shared" si="169"/>
        <v/>
      </c>
      <c r="V190" s="21" t="str">
        <f>IF(U190=2023,1160000,IFERROR(INDEX([1]SMMLV!$B$2:$B$101,MATCH(U190,[1]SMMLV!$A$2:$A$101,0)),""))</f>
        <v/>
      </c>
      <c r="W190" s="21"/>
      <c r="X190" s="3"/>
      <c r="Y190" s="3"/>
      <c r="Z190" s="477"/>
      <c r="AA190" s="478"/>
      <c r="AB190" s="479"/>
      <c r="AC190" s="3" t="str">
        <f t="shared" si="170"/>
        <v/>
      </c>
      <c r="AD190" s="21" t="str">
        <f t="shared" si="124"/>
        <v/>
      </c>
      <c r="AE190" s="21" t="str">
        <f t="shared" si="166"/>
        <v/>
      </c>
      <c r="AF190" s="21" t="str">
        <f t="shared" si="140"/>
        <v/>
      </c>
      <c r="AG190" s="470"/>
      <c r="AH190" s="470"/>
      <c r="AI190" s="125" t="str">
        <f t="shared" si="141"/>
        <v/>
      </c>
      <c r="AJ190" s="470"/>
      <c r="AK190" s="470"/>
      <c r="AL190" s="527"/>
      <c r="AM190" s="496"/>
      <c r="AN190" s="3"/>
      <c r="AO190" s="498"/>
      <c r="AP190" s="3"/>
      <c r="AQ190" s="498"/>
      <c r="AR190" s="600"/>
      <c r="AS190" s="587"/>
      <c r="AT190" s="204"/>
      <c r="AU190" s="628"/>
      <c r="AV190" s="631"/>
      <c r="AW190" s="634"/>
      <c r="AX190" s="634"/>
      <c r="AY190" s="19"/>
      <c r="CB190" s="29" t="str">
        <f>IFERROR(IF(COUNTIF(AF183:AF192,"")=10,"",IF(COUNTIF(E183:E192,"N/A")&gt;0,IF(AF190&gt;=CMEMM1,AF190,0),"N/A")),"")</f>
        <v>N/A</v>
      </c>
      <c r="CC190" s="4"/>
      <c r="CD190" s="4" t="str">
        <f>IFERROR(IF(COUNTIF(AF183:AF192,"")=10,"",IF(AF190="","",IF(AF190&gt;=CMEMM1,1,0))),"")</f>
        <v/>
      </c>
      <c r="CE190" s="4" t="str">
        <f>B183&amp;"-0"&amp;8</f>
        <v>P19-08</v>
      </c>
      <c r="CF190" s="4" t="str">
        <f>IFERROR(INDEX('DESEMPATE Y DISCAPACIDAD'!$D$3:$D$450,MATCH(CE190,'DESEMPATE Y DISCAPACIDAD'!$C$3:$C$450,0)),"")</f>
        <v/>
      </c>
      <c r="CG190" s="4" t="str">
        <f>IF(OR(CE190="",CF190=""),"",SUMIF(D183:D192,CF190,CD183:CD192))</f>
        <v/>
      </c>
      <c r="CH190" s="4" t="str">
        <f t="shared" si="149"/>
        <v/>
      </c>
      <c r="CI190" s="4" t="str">
        <f t="shared" si="171"/>
        <v/>
      </c>
      <c r="CJ190" s="4"/>
      <c r="CK190" s="4"/>
      <c r="CL190" s="4" t="str">
        <f t="shared" si="121"/>
        <v/>
      </c>
      <c r="CM190" s="4" t="str">
        <f t="shared" si="122"/>
        <v/>
      </c>
      <c r="CN190" s="4" t="str">
        <f t="shared" si="172"/>
        <v/>
      </c>
      <c r="CO190" s="4"/>
      <c r="CP190" s="4"/>
      <c r="CQ190" s="29" t="str">
        <f t="shared" si="164"/>
        <v/>
      </c>
      <c r="CR190" s="29" t="str">
        <f t="shared" si="165"/>
        <v/>
      </c>
      <c r="CS190" s="4"/>
    </row>
    <row r="191" spans="1:97" ht="2" customHeight="1">
      <c r="B191" s="481"/>
      <c r="C191" s="118"/>
      <c r="D191" s="126" t="str">
        <f>+IFERROR(INDEX('DESEMPATE Y DISCAPACIDAD'!$D$3:$D$450,MATCH(C191,'DESEMPATE Y DISCAPACIDAD'!$C$3:$C$450,0)),"")</f>
        <v/>
      </c>
      <c r="E191" s="127" t="str">
        <f>IFERROR(IF(D191="","",IF(VLOOKUP(D191,'DESEMPATE Y DISCAPACIDAD'!D$3:$E$450,2,FALSE)=1,"N/A",IF(VLOOKUP(D191,'DESEMPATE Y DISCAPACIDAD'!D$3:$F$450,3,FALSE)="X","SI","NO"))),"")</f>
        <v/>
      </c>
      <c r="F191" s="3"/>
      <c r="G191" s="3"/>
      <c r="H191" s="3"/>
      <c r="I191" s="364"/>
      <c r="J191" s="125"/>
      <c r="K191" s="125"/>
      <c r="L191" s="125"/>
      <c r="M191" s="125"/>
      <c r="N191" s="125" t="str">
        <f t="shared" si="167"/>
        <v/>
      </c>
      <c r="O191" s="125" t="str">
        <f t="shared" si="173"/>
        <v/>
      </c>
      <c r="P191" s="125" t="str">
        <f t="shared" si="168"/>
        <v/>
      </c>
      <c r="Q191" s="125" t="str">
        <f t="shared" si="123"/>
        <v/>
      </c>
      <c r="R191" s="68"/>
      <c r="S191" s="248"/>
      <c r="T191" s="248"/>
      <c r="U191" s="3" t="str">
        <f t="shared" si="169"/>
        <v/>
      </c>
      <c r="V191" s="21" t="str">
        <f>IF(U191=2023,1160000,IFERROR(INDEX([1]SMMLV!$B$2:$B$101,MATCH(U191,[1]SMMLV!$A$2:$A$101,0)),""))</f>
        <v/>
      </c>
      <c r="W191" s="21"/>
      <c r="X191" s="3"/>
      <c r="Y191" s="3"/>
      <c r="Z191" s="477"/>
      <c r="AA191" s="478"/>
      <c r="AB191" s="479"/>
      <c r="AC191" s="3" t="str">
        <f t="shared" si="170"/>
        <v/>
      </c>
      <c r="AD191" s="21" t="str">
        <f t="shared" si="124"/>
        <v/>
      </c>
      <c r="AE191" s="21" t="str">
        <f t="shared" si="166"/>
        <v/>
      </c>
      <c r="AF191" s="21" t="str">
        <f t="shared" si="140"/>
        <v/>
      </c>
      <c r="AG191" s="470"/>
      <c r="AH191" s="470"/>
      <c r="AI191" s="125" t="str">
        <f t="shared" si="141"/>
        <v/>
      </c>
      <c r="AJ191" s="470"/>
      <c r="AK191" s="470"/>
      <c r="AL191" s="527"/>
      <c r="AM191" s="496"/>
      <c r="AN191" s="3"/>
      <c r="AO191" s="498"/>
      <c r="AP191" s="3"/>
      <c r="AQ191" s="498"/>
      <c r="AR191" s="600"/>
      <c r="AS191" s="587"/>
      <c r="AT191" s="204"/>
      <c r="AU191" s="628"/>
      <c r="AV191" s="631"/>
      <c r="AW191" s="634"/>
      <c r="AX191" s="634"/>
      <c r="AY191" s="19"/>
      <c r="CB191" s="29" t="str">
        <f>IFERROR(IF(COUNTIF(AF183:AF192,"")=10,"",IF(COUNTIF(E183:E192,"N/A")&gt;0,IF(AF191&gt;=CMEMM1,AF191,0),"N/A")),"")</f>
        <v>N/A</v>
      </c>
      <c r="CC191" s="4"/>
      <c r="CD191" s="4" t="str">
        <f>IFERROR(IF(COUNTIF(AF183:AF192,"")=10,"",IF(AF191="","",IF(AF191&gt;=CMEMM1,1,0))),"")</f>
        <v/>
      </c>
      <c r="CE191" s="4" t="str">
        <f>B183&amp;"-0"&amp;9</f>
        <v>P19-09</v>
      </c>
      <c r="CF191" s="4" t="str">
        <f>IFERROR(INDEX('DESEMPATE Y DISCAPACIDAD'!$D$3:$D$450,MATCH(CE191,'DESEMPATE Y DISCAPACIDAD'!$C$3:$C$450,0)),"")</f>
        <v/>
      </c>
      <c r="CG191" s="4" t="str">
        <f>IF(OR(CE191="",CF191=""),"",SUMIF(D183:D192,CF191,CD183:CD192))</f>
        <v/>
      </c>
      <c r="CH191" s="4" t="str">
        <f t="shared" si="149"/>
        <v/>
      </c>
      <c r="CI191" s="4" t="str">
        <f t="shared" si="171"/>
        <v/>
      </c>
      <c r="CJ191" s="4"/>
      <c r="CK191" s="4"/>
      <c r="CL191" s="4" t="str">
        <f t="shared" si="121"/>
        <v/>
      </c>
      <c r="CM191" s="4" t="str">
        <f t="shared" si="122"/>
        <v/>
      </c>
      <c r="CN191" s="4" t="str">
        <f t="shared" si="172"/>
        <v/>
      </c>
      <c r="CO191" s="4"/>
      <c r="CP191" s="4"/>
      <c r="CQ191" s="29" t="str">
        <f t="shared" si="164"/>
        <v/>
      </c>
      <c r="CR191" s="29" t="str">
        <f t="shared" si="165"/>
        <v/>
      </c>
      <c r="CS191" s="4"/>
    </row>
    <row r="192" spans="1:97" ht="2" customHeight="1" thickBot="1">
      <c r="B192" s="482"/>
      <c r="C192" s="130"/>
      <c r="D192" s="131" t="str">
        <f>+IFERROR(INDEX('DESEMPATE Y DISCAPACIDAD'!$D$3:$D$450,MATCH(C192,'DESEMPATE Y DISCAPACIDAD'!$C$3:$C$450,0)),"")</f>
        <v/>
      </c>
      <c r="E192" s="132" t="str">
        <f>IFERROR(IF(D192="","",IF(VLOOKUP(D192,'DESEMPATE Y DISCAPACIDAD'!D$3:$E$450,2,FALSE)=1,"N/A",IF(VLOOKUP(D192,'DESEMPATE Y DISCAPACIDAD'!D$3:$F$450,3,FALSE)="X","SI","NO"))),"")</f>
        <v/>
      </c>
      <c r="F192" s="5"/>
      <c r="G192" s="5"/>
      <c r="H192" s="5"/>
      <c r="I192" s="368"/>
      <c r="J192" s="133"/>
      <c r="K192" s="133"/>
      <c r="L192" s="133"/>
      <c r="M192" s="133"/>
      <c r="N192" s="133" t="str">
        <f t="shared" si="167"/>
        <v/>
      </c>
      <c r="O192" s="133" t="str">
        <f t="shared" si="173"/>
        <v/>
      </c>
      <c r="P192" s="133" t="str">
        <f t="shared" si="168"/>
        <v/>
      </c>
      <c r="Q192" s="133" t="str">
        <f t="shared" si="123"/>
        <v/>
      </c>
      <c r="R192" s="104"/>
      <c r="S192" s="9"/>
      <c r="T192" s="9"/>
      <c r="U192" s="5" t="str">
        <f t="shared" si="169"/>
        <v/>
      </c>
      <c r="V192" s="22" t="str">
        <f>IF(U192=2023,1160000,IFERROR(INDEX([1]SMMLV!$B$2:$B$101,MATCH(U192,[1]SMMLV!$A$2:$A$101,0)),""))</f>
        <v/>
      </c>
      <c r="W192" s="22"/>
      <c r="X192" s="5"/>
      <c r="Y192" s="5"/>
      <c r="Z192" s="524"/>
      <c r="AA192" s="525"/>
      <c r="AB192" s="526"/>
      <c r="AC192" s="5" t="str">
        <f t="shared" si="170"/>
        <v/>
      </c>
      <c r="AD192" s="22" t="str">
        <f t="shared" si="124"/>
        <v/>
      </c>
      <c r="AE192" s="21" t="str">
        <f t="shared" si="166"/>
        <v/>
      </c>
      <c r="AF192" s="22" t="str">
        <f t="shared" si="140"/>
        <v/>
      </c>
      <c r="AG192" s="471"/>
      <c r="AH192" s="471"/>
      <c r="AI192" s="133" t="str">
        <f t="shared" si="141"/>
        <v/>
      </c>
      <c r="AJ192" s="471"/>
      <c r="AK192" s="471"/>
      <c r="AL192" s="528"/>
      <c r="AM192" s="497"/>
      <c r="AN192" s="5"/>
      <c r="AO192" s="499"/>
      <c r="AP192" s="5"/>
      <c r="AQ192" s="499"/>
      <c r="AR192" s="601"/>
      <c r="AS192" s="588"/>
      <c r="AT192" s="206"/>
      <c r="AU192" s="629"/>
      <c r="AV192" s="632"/>
      <c r="AW192" s="635"/>
      <c r="AX192" s="635"/>
      <c r="AY192" s="19"/>
      <c r="CB192" s="29" t="str">
        <f>IFERROR(IF(COUNTIF(AF183:AF192,"")=10,"",IF(COUNTIF(E183:E192,"N/A")&gt;0,IF(AF192&gt;=CMEMM1,AF192,0),"N/A")),"")</f>
        <v>N/A</v>
      </c>
      <c r="CC192" s="4"/>
      <c r="CD192" s="4" t="str">
        <f>IFERROR(IF(COUNTIF(AF183:AF192,"")=10,"",IF(AF192="","",IF(AF192&gt;=CMEMM1,1,0))),"")</f>
        <v/>
      </c>
      <c r="CE192" s="4" t="str">
        <f>B183&amp;"-"&amp;10</f>
        <v>P19-10</v>
      </c>
      <c r="CF192" s="4" t="str">
        <f>IFERROR(INDEX('DESEMPATE Y DISCAPACIDAD'!$D$3:$D$450,MATCH(CE192,'DESEMPATE Y DISCAPACIDAD'!$C$3:$C$450,0)),"")</f>
        <v/>
      </c>
      <c r="CG192" s="4" t="str">
        <f>IF(OR(CE192="",CF192=""),"",SUMIF(D183:D192,CF192,CD183:CD192))</f>
        <v/>
      </c>
      <c r="CH192" s="4" t="str">
        <f t="shared" si="149"/>
        <v/>
      </c>
      <c r="CI192" s="4" t="str">
        <f t="shared" si="171"/>
        <v/>
      </c>
      <c r="CJ192" s="4"/>
      <c r="CK192" s="4"/>
      <c r="CL192" s="4" t="str">
        <f t="shared" si="121"/>
        <v/>
      </c>
      <c r="CM192" s="4" t="str">
        <f t="shared" si="122"/>
        <v/>
      </c>
      <c r="CN192" s="4" t="str">
        <f t="shared" si="172"/>
        <v/>
      </c>
      <c r="CO192" s="4"/>
      <c r="CP192" s="4"/>
      <c r="CQ192" s="29" t="str">
        <f t="shared" si="164"/>
        <v/>
      </c>
      <c r="CR192" s="29" t="str">
        <f t="shared" si="165"/>
        <v/>
      </c>
      <c r="CS192" s="4"/>
    </row>
    <row r="193" spans="1:97" ht="45" customHeight="1">
      <c r="A193" s="4" t="str">
        <f>"A"&amp;B193</f>
        <v>AP20</v>
      </c>
      <c r="B193" s="480" t="s">
        <v>141</v>
      </c>
      <c r="C193" s="108" t="s">
        <v>342</v>
      </c>
      <c r="D193" s="119" t="str">
        <f>+IFERROR(INDEX('DESEMPATE Y DISCAPACIDAD'!$D$3:$D$450,MATCH(C193,'DESEMPATE Y DISCAPACIDAD'!$C$3:$C$450,0)),"")</f>
        <v>HMV SERVICIOS S.A.S</v>
      </c>
      <c r="E193" s="120" t="str">
        <f>IFERROR(IF(D193="","",IF(VLOOKUP(D193,'DESEMPATE Y DISCAPACIDAD'!D$3:$E$450,2,FALSE)=1,"N/A",IF(VLOOKUP(D193,'DESEMPATE Y DISCAPACIDAD'!D$3:$F$450,3,FALSE)="X","SI","NO"))),"")</f>
        <v>NO</v>
      </c>
      <c r="F193" s="3" t="s">
        <v>687</v>
      </c>
      <c r="G193" s="3" t="s">
        <v>660</v>
      </c>
      <c r="H193" s="179" t="s">
        <v>1091</v>
      </c>
      <c r="I193" s="239" t="s">
        <v>1092</v>
      </c>
      <c r="J193" s="121" t="s">
        <v>74</v>
      </c>
      <c r="K193" s="121" t="s">
        <v>74</v>
      </c>
      <c r="L193" s="121" t="s">
        <v>75</v>
      </c>
      <c r="M193" s="121" t="s">
        <v>74</v>
      </c>
      <c r="N193" s="121" t="str">
        <f>IFERROR(IF(OR(J193="",K193=""),"",IF(J193="NO","NO",K193)),"")</f>
        <v>SI</v>
      </c>
      <c r="O193" s="121" t="str">
        <f>IFERROR(IF(OR(J193="",L193=""),"",IF(J193="NO","NO",L193)),"")</f>
        <v>NO</v>
      </c>
      <c r="P193" s="121" t="str">
        <f>IFERROR(IF(OR(J193="",M193=""),"",IF(J193="NO","NO",M193)),"")</f>
        <v>SI</v>
      </c>
      <c r="Q193" s="121" t="str">
        <f t="shared" si="123"/>
        <v>SI</v>
      </c>
      <c r="R193" s="103">
        <v>1</v>
      </c>
      <c r="S193" s="370">
        <v>38852</v>
      </c>
      <c r="T193" s="370">
        <v>39431</v>
      </c>
      <c r="U193" s="179">
        <f>IFERROR(IF(T193="","",YEAR(T193)),"")</f>
        <v>2007</v>
      </c>
      <c r="V193" s="358">
        <f>IF(U193=2023,1160000,IFERROR(INDEX([1]SMMLV!$B$2:$B$101,MATCH(U193,[1]SMMLV!$A$2:$A$101,0)),""))</f>
        <v>433700</v>
      </c>
      <c r="W193" s="358" t="s">
        <v>670</v>
      </c>
      <c r="X193" s="179" t="s">
        <v>671</v>
      </c>
      <c r="Y193" s="179">
        <v>83</v>
      </c>
      <c r="Z193" s="492" t="s">
        <v>74</v>
      </c>
      <c r="AA193" s="493"/>
      <c r="AB193" s="494"/>
      <c r="AC193" s="179" t="str">
        <f>IFERROR(IF(Y193="","",IF(ISNUMBER(Y193),IF(COUNTIF(Z193,"SI")&gt;0,"SI","NO"),Y193)),"")</f>
        <v>SI</v>
      </c>
      <c r="AD193" s="358" t="str">
        <f t="shared" si="124"/>
        <v>N/A</v>
      </c>
      <c r="AE193" s="21">
        <v>4125.51</v>
      </c>
      <c r="AF193" s="358">
        <f t="shared" ref="AF193:AF256" si="174">IFERROR(IF(OR(J193="",J193="NO"),"",IF(AND(J193="SI",Q193="SI"),IFERROR(AE193*R193,""),"")),"")</f>
        <v>4125.51</v>
      </c>
      <c r="AG193" s="486" t="str">
        <f>IFERROR(IF(COUNTIF(AF193:AF202,"")=10,"",IF(COUNTIF(E193:E202,"N/A")&gt;0,IF(SUM(CB193:CB202)&gt;=CMEM1,"CUMPLE","NO CUMPLE"),IF(SUM(AF193:AF202)&gt;=CMEM1,"CUMPLE","NO CUMPLE"))),"")</f>
        <v>CUMPLE</v>
      </c>
      <c r="AH193" s="486" t="str">
        <f>IF(COUNTIF(AF193:AF202,"")=10,"",IF(SUMIF(C193:C202,C193,AF193:AF202)&gt;=CMLM1,"CUMPLE",IF(SUMIF(C193:C202,C194,AF193:AF202)&gt;=CMLM1,"CUMPLE",IF(SUMIF(C193:C202,C195,AF193:AF202)&gt;=CMLM1,"CUMPLE",IF(SUMIF(C193:C202,C196,AF193:AF202)&gt;=CMLM1,"CUMPLE",IF(SUMIF(C193:C202,C197,AF193:AF202)&gt;=CMLM1,"CUMPLE",IF(SUMIF(C193:C202,C198,AF193:AF202)&gt;=CMLM1,"CUMPLE",IF(SUMIF(C193:C202,C199,AF193:AF202)&gt;=CMLM1,"CUMPLE",IF(SUMIF(C193:C202,C200,AF193:AF202)&gt;=CMLM1,"CUMPLE",IF(SUMIF(C193:C202,C201,AF193:AF202)&gt;=CMLM1,"CUMPLE",IF(SUMIF(C193:C202,C202,AF193:AF202)&gt;=CMLM1,"CUMPLE","NO CUMPLE")))))))))))</f>
        <v>CUMPLE</v>
      </c>
      <c r="AI193" s="121" t="str">
        <f t="shared" ref="AI193:AI256" si="175">IFERROR(IF(AF193="","",IF(AF193&gt;=CMEMM1,"CUMPLE","NO CUMPLE")),"")</f>
        <v>CUMPLE</v>
      </c>
      <c r="AJ193" s="469" t="str">
        <f>IFERROR(IF(COUNTIF(AF193:AF202,"")=10,"",IF(COUNTIF(E193:E202,"N/A")&gt;0,"N/A",CJ193)),"")</f>
        <v>CUMPLE</v>
      </c>
      <c r="AK193" s="469" t="str">
        <f>IFERROR(IF(AND(COUNTIF(N193:N202,"SI")&gt;=1,COUNTIF(O193:O202,"SI")&gt;=1,COUNTIF(P193:P202,"SI")&gt;=1,COUNTIF(J193:J202,"SI")&lt;=10,CO193="CUMPLE"),"CUMPLE","NO CUMPLE"),"")</f>
        <v>CUMPLE</v>
      </c>
      <c r="AL193" s="472" t="s">
        <v>77</v>
      </c>
      <c r="AM193" s="495">
        <f>IFERROR(IF(B193&lt;&gt;"",IF(VLOOKUP(B193,'DESEMPATE Y DISCAPACIDAD'!$A$3:$Q$450,10,FALSE)="","",VLOOKUP(B193,'DESEMPATE Y DISCAPACIDAD'!$A$3:$Q$450,10,FALSE)+6),""),"")</f>
        <v>8</v>
      </c>
      <c r="AN193" s="182" t="s">
        <v>75</v>
      </c>
      <c r="AO193" s="503" t="s">
        <v>74</v>
      </c>
      <c r="AP193" s="125" t="s">
        <v>74</v>
      </c>
      <c r="AQ193" s="490">
        <f>IFERROR(IF(COUNTIF(AP193:AP202,"")=10,"",IF(AO193="NO",0,COUNTIF(AP193:AP202,"SI"))),"")</f>
        <v>5</v>
      </c>
      <c r="AR193" s="521">
        <f>IFERROR(IF(COUNTIF(AF193:AF202,"")=10,"",IF(AO193="NO",0,IF(COUNTIF(E193:E202,"N/A")&gt;0,SUM(CQ193:CQ202),SUM(CR193:CR202)))),"")</f>
        <v>64113.58</v>
      </c>
      <c r="AS193" s="518">
        <f>IFERROR(IF(OR(COUNTIF(AF193:AF202,"")=10,AQ193="",AR193=""),"",IF(AO193="NO",0,AR193/AQ193)),"")</f>
        <v>12822.716</v>
      </c>
      <c r="AT193" s="207"/>
      <c r="AU193" s="627" t="s">
        <v>1179</v>
      </c>
      <c r="AV193" s="630" t="s">
        <v>1357</v>
      </c>
      <c r="AW193" s="633" t="s">
        <v>1357</v>
      </c>
      <c r="AX193" s="633" t="s">
        <v>1357</v>
      </c>
      <c r="AY193" s="19"/>
      <c r="CB193" s="29" t="str">
        <f>IFERROR(IF(COUNTIF(AF193:AF202,"")=10,"",IF(COUNTIF(E193:E202,"N/A")&gt;0,IF(AF193&gt;=CMEMM1,AF193,0),"N/A")),"")</f>
        <v>N/A</v>
      </c>
      <c r="CC193" s="4"/>
      <c r="CD193" s="4">
        <f>IFERROR(IF(COUNTIF(AF193:AF202,"")=10,"",IF(AF193="","",IF(AF193&gt;=CMEMM1,1,0))),"")</f>
        <v>1</v>
      </c>
      <c r="CE193" s="4" t="str">
        <f>B193&amp;"-0"&amp;1</f>
        <v>P20-01</v>
      </c>
      <c r="CF193" s="4" t="str">
        <f>IFERROR(INDEX('DESEMPATE Y DISCAPACIDAD'!$D$3:$D$450,MATCH(CE193,'DESEMPATE Y DISCAPACIDAD'!$C$3:$C$450,0)),"")</f>
        <v>HMV SERVICIOS S.A.S</v>
      </c>
      <c r="CG193" s="4">
        <f>IF(OR(CE193="",CF193=""),"",SUMIF(D193:D202,CF193,CD193:CD202))</f>
        <v>1</v>
      </c>
      <c r="CH193" s="4" t="str">
        <f t="shared" si="149"/>
        <v>CUMPLE</v>
      </c>
      <c r="CI193" s="4">
        <f>IF(CF193="","",IF(ISTEXT(CF193),1,0))</f>
        <v>1</v>
      </c>
      <c r="CJ193" s="4" t="str">
        <f>IF(OR(CD193="",CE193="",CF193="",CG193="",CH193="",CI193=""),"",IF(COUNTIF(CH193:CH202,"CUMPLE")=COUNTIF(CI193:CI202,1),"CUMPLE","NO CUMPLE"))</f>
        <v>CUMPLE</v>
      </c>
      <c r="CK193" s="4"/>
      <c r="CL193" s="4">
        <f t="shared" si="121"/>
        <v>1</v>
      </c>
      <c r="CM193" s="4">
        <f t="shared" si="122"/>
        <v>0</v>
      </c>
      <c r="CN193" s="4" t="str">
        <f>IF(OR(CL193="",CM193=""),"",IF(AND(CL193=0,CM193=0),"N/A",IF(AND(CL193=1,CM193=0),"COND. A",IF(AND(CL193=0,CM193=1),"COND. B",IF(AND(CL193=1,CM193=1),"COND. A Y B","")))))</f>
        <v>COND. A</v>
      </c>
      <c r="CO193" s="4" t="str">
        <f>IF(COUNTIF(CN193:CN202,"N/A")=10,"NO CUMPLE",IF(COUNTIF(CN193:CN202,"COND. A Y B")&gt;1,"CUMPLE",IF(AND(COUNTIF(CN193:CN202,"COND. A")&gt;0,COUNTIF(CN193:CN202,"COND. B")&gt;0),"CUMPLE",IF(AND(COUNTIF(CN193:CN202,"COND. A Y B")&gt;0,COUNTIF(CN193:CN202,"COND. A")&gt;0),"CUMPLE",IF(AND(COUNTIF(CN193:CN202,"COND. A Y B")&gt;0,COUNTIF(CN193:CN202,"COND. B")&gt;0),"CUMPLE","NO CUMPLE")))))</f>
        <v>CUMPLE</v>
      </c>
      <c r="CP193" s="4"/>
      <c r="CQ193" s="29" t="str">
        <f t="shared" si="164"/>
        <v>N/A</v>
      </c>
      <c r="CR193" s="29">
        <f t="shared" si="165"/>
        <v>4125.51</v>
      </c>
      <c r="CS193" s="4"/>
    </row>
    <row r="194" spans="1:97" ht="34.25" customHeight="1">
      <c r="B194" s="481"/>
      <c r="C194" s="118" t="s">
        <v>343</v>
      </c>
      <c r="D194" s="119" t="str">
        <f>+IFERROR(INDEX('DESEMPATE Y DISCAPACIDAD'!$D$3:$D$450,MATCH(C194,'DESEMPATE Y DISCAPACIDAD'!$C$3:$C$450,0)),"")</f>
        <v>HMV SOLUCIONES S.A.S</v>
      </c>
      <c r="E194" s="120" t="str">
        <f>IFERROR(IF(D194="","",IF(VLOOKUP(D194,'DESEMPATE Y DISCAPACIDAD'!D$3:$E$450,2,FALSE)=1,"N/A",IF(VLOOKUP(D194,'DESEMPATE Y DISCAPACIDAD'!D$3:$F$450,3,FALSE)="X","SI","NO"))),"")</f>
        <v>NO</v>
      </c>
      <c r="F194" s="3" t="s">
        <v>687</v>
      </c>
      <c r="G194" s="3" t="s">
        <v>660</v>
      </c>
      <c r="H194" s="179" t="s">
        <v>1093</v>
      </c>
      <c r="I194" s="239" t="s">
        <v>1094</v>
      </c>
      <c r="J194" s="121" t="s">
        <v>74</v>
      </c>
      <c r="K194" s="121" t="s">
        <v>74</v>
      </c>
      <c r="L194" s="121" t="s">
        <v>75</v>
      </c>
      <c r="M194" s="121" t="s">
        <v>74</v>
      </c>
      <c r="N194" s="121" t="str">
        <f t="shared" ref="N194:N202" si="176">IFERROR(IF(OR(J194="",K194=""),"",IF(J194="NO","NO",K194)),"")</f>
        <v>SI</v>
      </c>
      <c r="O194" s="121" t="str">
        <f>IFERROR(IF(OR(J194="",L194=""),"",IF(J194="NO","NO",L194)),"")</f>
        <v>NO</v>
      </c>
      <c r="P194" s="121" t="str">
        <f t="shared" ref="P194:P202" si="177">IFERROR(IF(OR(J194="",M194=""),"",IF(J194="NO","NO",M194)),"")</f>
        <v>SI</v>
      </c>
      <c r="Q194" s="121" t="str">
        <f t="shared" si="123"/>
        <v>SI</v>
      </c>
      <c r="R194" s="103">
        <v>1</v>
      </c>
      <c r="S194" s="370">
        <v>39153</v>
      </c>
      <c r="T194" s="370">
        <v>39867</v>
      </c>
      <c r="U194" s="179">
        <f t="shared" ref="U194:U202" si="178">IFERROR(IF(T194="","",YEAR(T194)),"")</f>
        <v>2009</v>
      </c>
      <c r="V194" s="358">
        <f>IF(U194=2023,1160000,IFERROR(INDEX([1]SMMLV!$B$2:$B$101,MATCH(U194,[1]SMMLV!$A$2:$A$101,0)),""))</f>
        <v>496900</v>
      </c>
      <c r="W194" s="358" t="s">
        <v>670</v>
      </c>
      <c r="X194" s="3" t="s">
        <v>671</v>
      </c>
      <c r="Y194" s="3">
        <v>191</v>
      </c>
      <c r="Z194" s="477" t="s">
        <v>74</v>
      </c>
      <c r="AA194" s="478"/>
      <c r="AB194" s="479"/>
      <c r="AC194" s="3" t="str">
        <f t="shared" ref="AC194:AC202" si="179">IFERROR(IF(Y194="","",IF(ISNUMBER(Y194),IF(COUNTIF(Z194,"SI")&gt;0,"SI","NO"),Y194)),"")</f>
        <v>SI</v>
      </c>
      <c r="AD194" s="21" t="str">
        <f t="shared" si="124"/>
        <v>N/A</v>
      </c>
      <c r="AE194" s="21">
        <v>3234.15</v>
      </c>
      <c r="AF194" s="21">
        <f t="shared" si="174"/>
        <v>3234.15</v>
      </c>
      <c r="AG194" s="470"/>
      <c r="AH194" s="470"/>
      <c r="AI194" s="125" t="str">
        <f t="shared" si="175"/>
        <v>NO CUMPLE</v>
      </c>
      <c r="AJ194" s="470"/>
      <c r="AK194" s="470"/>
      <c r="AL194" s="472"/>
      <c r="AM194" s="496"/>
      <c r="AN194" s="125" t="s">
        <v>75</v>
      </c>
      <c r="AO194" s="490"/>
      <c r="AP194" s="125" t="s">
        <v>74</v>
      </c>
      <c r="AQ194" s="490"/>
      <c r="AR194" s="522"/>
      <c r="AS194" s="519"/>
      <c r="AT194" s="204"/>
      <c r="AU194" s="628"/>
      <c r="AV194" s="631"/>
      <c r="AW194" s="634"/>
      <c r="AX194" s="634"/>
      <c r="AY194" s="19"/>
      <c r="CB194" s="29" t="str">
        <f>IFERROR(IF(COUNTIF(AF193:AF202,"")=10,"",IF(COUNTIF(E193:E202,"N/A")&gt;0,IF(AF194&gt;=CMEMM1,AF194,0),"N/A")),"")</f>
        <v>N/A</v>
      </c>
      <c r="CC194" s="4"/>
      <c r="CD194" s="4">
        <f>IFERROR(IF(COUNTIF(AF193:AF202,"")=10,"",IF(AF194="","",IF(AF194&gt;=CMEMM1,1,0))),"")</f>
        <v>0</v>
      </c>
      <c r="CE194" s="4" t="str">
        <f>B193&amp;"-0"&amp;2</f>
        <v>P20-02</v>
      </c>
      <c r="CF194" s="4" t="str">
        <f>IFERROR(INDEX('DESEMPATE Y DISCAPACIDAD'!$D$3:$D$450,MATCH(CE194,'DESEMPATE Y DISCAPACIDAD'!$C$3:$C$450,0)),"")</f>
        <v>HMV SOLUCIONES S.A.S</v>
      </c>
      <c r="CG194" s="4">
        <f>IF(OR(CE194="",CF194=""),"",SUMIF(D193:D202,CF194,CD193:CD202))</f>
        <v>2</v>
      </c>
      <c r="CH194" s="4" t="str">
        <f t="shared" si="149"/>
        <v>CUMPLE</v>
      </c>
      <c r="CI194" s="4">
        <f t="shared" ref="CI194:CI202" si="180">IF(CF194="","",IF(ISTEXT(CF194),1,0))</f>
        <v>1</v>
      </c>
      <c r="CJ194" s="4"/>
      <c r="CK194" s="4"/>
      <c r="CL194" s="4">
        <f t="shared" si="121"/>
        <v>1</v>
      </c>
      <c r="CM194" s="4">
        <f t="shared" si="122"/>
        <v>0</v>
      </c>
      <c r="CN194" s="4" t="str">
        <f t="shared" ref="CN194:CN202" si="181">IF(OR(CL194="",CM194=""),"",IF(AND(CL194=0,CM194=0),"N/A",IF(AND(CL194=1,CM194=0),"COND. A",IF(AND(CL194=0,CM194=1),"COND. B",IF(AND(CL194=1,CM194=1),"COND. A Y B","")))))</f>
        <v>COND. A</v>
      </c>
      <c r="CO194" s="4"/>
      <c r="CP194" s="4"/>
      <c r="CQ194" s="29" t="str">
        <f t="shared" si="164"/>
        <v>N/A</v>
      </c>
      <c r="CR194" s="29">
        <f t="shared" si="165"/>
        <v>3234.15</v>
      </c>
      <c r="CS194" s="4"/>
    </row>
    <row r="195" spans="1:97" ht="34.25" customHeight="1">
      <c r="B195" s="481"/>
      <c r="C195" s="118" t="s">
        <v>343</v>
      </c>
      <c r="D195" s="126" t="str">
        <f>+IFERROR(INDEX('DESEMPATE Y DISCAPACIDAD'!$D$3:$D$450,MATCH(C195,'DESEMPATE Y DISCAPACIDAD'!$C$3:$C$450,0)),"")</f>
        <v>HMV SOLUCIONES S.A.S</v>
      </c>
      <c r="E195" s="127" t="str">
        <f>IFERROR(IF(D195="","",IF(VLOOKUP(D195,'DESEMPATE Y DISCAPACIDAD'!D$3:$E$450,2,FALSE)=1,"N/A",IF(VLOOKUP(D195,'DESEMPATE Y DISCAPACIDAD'!D$3:$F$450,3,FALSE)="X","SI","NO"))),"")</f>
        <v>NO</v>
      </c>
      <c r="F195" s="179" t="s">
        <v>1095</v>
      </c>
      <c r="G195" s="179" t="s">
        <v>660</v>
      </c>
      <c r="H195" s="3" t="s">
        <v>1096</v>
      </c>
      <c r="I195" s="364" t="s">
        <v>1097</v>
      </c>
      <c r="J195" s="121" t="s">
        <v>74</v>
      </c>
      <c r="K195" s="121" t="s">
        <v>74</v>
      </c>
      <c r="L195" s="121" t="s">
        <v>75</v>
      </c>
      <c r="M195" s="121" t="s">
        <v>74</v>
      </c>
      <c r="N195" s="125" t="str">
        <f t="shared" si="176"/>
        <v>SI</v>
      </c>
      <c r="O195" s="125" t="str">
        <f>IFERROR(IF(OR(J195="",L195=""),"",IF(J195="NO","NO",L195)),"")</f>
        <v>NO</v>
      </c>
      <c r="P195" s="125" t="str">
        <f t="shared" si="177"/>
        <v>SI</v>
      </c>
      <c r="Q195" s="125" t="str">
        <f t="shared" si="123"/>
        <v>SI</v>
      </c>
      <c r="R195" s="68">
        <v>0.5</v>
      </c>
      <c r="S195" s="248">
        <v>39188</v>
      </c>
      <c r="T195" s="248">
        <v>40632</v>
      </c>
      <c r="U195" s="3">
        <f t="shared" si="178"/>
        <v>2011</v>
      </c>
      <c r="V195" s="21">
        <f>IF(U195=2023,1160000,IFERROR(INDEX([1]SMMLV!$B$2:$B$101,MATCH(U195,[1]SMMLV!$A$2:$A$101,0)),""))</f>
        <v>535600</v>
      </c>
      <c r="W195" s="21" t="s">
        <v>670</v>
      </c>
      <c r="X195" s="3" t="s">
        <v>671</v>
      </c>
      <c r="Y195" s="3">
        <v>18</v>
      </c>
      <c r="Z195" s="477" t="s">
        <v>74</v>
      </c>
      <c r="AA195" s="478"/>
      <c r="AB195" s="479"/>
      <c r="AC195" s="3" t="str">
        <f t="shared" si="179"/>
        <v>SI</v>
      </c>
      <c r="AD195" s="21" t="str">
        <f t="shared" si="124"/>
        <v>N/A</v>
      </c>
      <c r="AE195" s="21">
        <v>22585.93</v>
      </c>
      <c r="AF195" s="21">
        <f t="shared" si="174"/>
        <v>11292.965</v>
      </c>
      <c r="AG195" s="470"/>
      <c r="AH195" s="470"/>
      <c r="AI195" s="125" t="str">
        <f t="shared" si="175"/>
        <v>CUMPLE</v>
      </c>
      <c r="AJ195" s="470"/>
      <c r="AK195" s="470"/>
      <c r="AL195" s="472"/>
      <c r="AM195" s="496"/>
      <c r="AN195" s="125" t="s">
        <v>75</v>
      </c>
      <c r="AO195" s="490"/>
      <c r="AP195" s="125" t="s">
        <v>74</v>
      </c>
      <c r="AQ195" s="490"/>
      <c r="AR195" s="522"/>
      <c r="AS195" s="519"/>
      <c r="AT195" s="204"/>
      <c r="AU195" s="628"/>
      <c r="AV195" s="631"/>
      <c r="AW195" s="634"/>
      <c r="AX195" s="634"/>
      <c r="AY195" s="19"/>
      <c r="CB195" s="29" t="str">
        <f>IFERROR(IF(COUNTIF(AF193:AF202,"")=10,"",IF(COUNTIF(E193:E202,"N/A")&gt;0,IF(AF195&gt;=CMEMM1,AF195,0),"N/A")),"")</f>
        <v>N/A</v>
      </c>
      <c r="CC195" s="4"/>
      <c r="CD195" s="4">
        <f>IFERROR(IF(COUNTIF(AF193:AF202,"")=10,"",IF(AF195="","",IF(AF195&gt;=CMEMM1,1,0))),"")</f>
        <v>1</v>
      </c>
      <c r="CE195" s="4" t="str">
        <f>B193&amp;"-0"&amp;3</f>
        <v>P20-03</v>
      </c>
      <c r="CF195" s="4" t="str">
        <f>IFERROR(INDEX('DESEMPATE Y DISCAPACIDAD'!$D$3:$D$450,MATCH(CE195,'DESEMPATE Y DISCAPACIDAD'!$C$3:$C$450,0)),"")</f>
        <v>HMV CONSULTORIA S.A.S</v>
      </c>
      <c r="CG195" s="4">
        <f>IF(OR(CE195="",CF195=""),"",SUMIF(D193:D202,CF195,CD193:CD202))</f>
        <v>1</v>
      </c>
      <c r="CH195" s="4" t="str">
        <f t="shared" si="149"/>
        <v>CUMPLE</v>
      </c>
      <c r="CI195" s="4">
        <f t="shared" si="180"/>
        <v>1</v>
      </c>
      <c r="CJ195" s="4"/>
      <c r="CK195" s="4"/>
      <c r="CL195" s="4">
        <f t="shared" ref="CL195:CL258" si="182">IF(N195="","",IF(N195="SI",1,0))</f>
        <v>1</v>
      </c>
      <c r="CM195" s="4">
        <f t="shared" ref="CM195:CM258" si="183">IF(O195="","",IF(O195="SI",1,0))</f>
        <v>0</v>
      </c>
      <c r="CN195" s="4" t="str">
        <f t="shared" si="181"/>
        <v>COND. A</v>
      </c>
      <c r="CO195" s="4"/>
      <c r="CP195" s="4"/>
      <c r="CQ195" s="29" t="str">
        <f t="shared" si="164"/>
        <v>N/A</v>
      </c>
      <c r="CR195" s="29">
        <f>IF(OR(AN194="",AF195=""),"",IF(AN194="NO",AF195,0))</f>
        <v>11292.965</v>
      </c>
      <c r="CS195" s="4"/>
    </row>
    <row r="196" spans="1:97" ht="45" customHeight="1">
      <c r="B196" s="481"/>
      <c r="C196" s="118" t="s">
        <v>343</v>
      </c>
      <c r="D196" s="126" t="str">
        <f>+IFERROR(INDEX('DESEMPATE Y DISCAPACIDAD'!$D$3:$D$450,MATCH(C196,'DESEMPATE Y DISCAPACIDAD'!$C$3:$C$450,0)),"")</f>
        <v>HMV SOLUCIONES S.A.S</v>
      </c>
      <c r="E196" s="127" t="str">
        <f>IFERROR(IF(D196="","",IF(VLOOKUP(D196,'DESEMPATE Y DISCAPACIDAD'!D$3:$E$450,2,FALSE)=1,"N/A",IF(VLOOKUP(D196,'DESEMPATE Y DISCAPACIDAD'!D$3:$F$450,3,FALSE)="X","SI","NO"))),"")</f>
        <v>NO</v>
      </c>
      <c r="F196" s="367" t="s">
        <v>684</v>
      </c>
      <c r="G196" s="3" t="s">
        <v>660</v>
      </c>
      <c r="H196" s="3" t="s">
        <v>1098</v>
      </c>
      <c r="I196" s="364" t="s">
        <v>1099</v>
      </c>
      <c r="J196" s="121" t="s">
        <v>74</v>
      </c>
      <c r="K196" s="121" t="s">
        <v>74</v>
      </c>
      <c r="L196" s="121" t="s">
        <v>75</v>
      </c>
      <c r="M196" s="121" t="s">
        <v>74</v>
      </c>
      <c r="N196" s="125" t="str">
        <f t="shared" si="176"/>
        <v>SI</v>
      </c>
      <c r="O196" s="125" t="str">
        <f>IFERROR(IF(OR(J196="",L196=""),"",IF(J196="NO","NO",L196)),"")</f>
        <v>NO</v>
      </c>
      <c r="P196" s="125" t="str">
        <f t="shared" si="177"/>
        <v>SI</v>
      </c>
      <c r="Q196" s="125" t="str">
        <f t="shared" ref="Q196:Q259" si="184">IFERROR(IF(S196="","",IF(S196&gt;=DATE(1900,1,1),"SI","NO")),"")</f>
        <v>SI</v>
      </c>
      <c r="R196" s="68">
        <v>0.5</v>
      </c>
      <c r="S196" s="248">
        <v>36312</v>
      </c>
      <c r="T196" s="248">
        <v>37833</v>
      </c>
      <c r="U196" s="3">
        <f t="shared" si="178"/>
        <v>2003</v>
      </c>
      <c r="V196" s="21">
        <f>IF(U196=2023,1160000,IFERROR(INDEX([1]SMMLV!$B$2:$B$101,MATCH(U196,[1]SMMLV!$A$2:$A$101,0)),""))</f>
        <v>332000</v>
      </c>
      <c r="W196" s="21" t="s">
        <v>670</v>
      </c>
      <c r="X196" s="3" t="s">
        <v>671</v>
      </c>
      <c r="Y196" s="3">
        <v>7</v>
      </c>
      <c r="Z196" s="477" t="s">
        <v>74</v>
      </c>
      <c r="AA196" s="478"/>
      <c r="AB196" s="479"/>
      <c r="AC196" s="3" t="str">
        <f t="shared" si="179"/>
        <v>SI</v>
      </c>
      <c r="AD196" s="21" t="str">
        <f t="shared" ref="AD196:AD259" si="185">IF(W196="","",IF(W196="N/A","N/A",W196))</f>
        <v>N/A</v>
      </c>
      <c r="AE196" s="21">
        <v>16058.55</v>
      </c>
      <c r="AF196" s="21">
        <f t="shared" si="174"/>
        <v>8029.2749999999996</v>
      </c>
      <c r="AG196" s="470"/>
      <c r="AH196" s="470"/>
      <c r="AI196" s="125" t="str">
        <f t="shared" si="175"/>
        <v>CUMPLE</v>
      </c>
      <c r="AJ196" s="470"/>
      <c r="AK196" s="470"/>
      <c r="AL196" s="472"/>
      <c r="AM196" s="496"/>
      <c r="AN196" s="125" t="s">
        <v>75</v>
      </c>
      <c r="AO196" s="490"/>
      <c r="AP196" s="125" t="s">
        <v>74</v>
      </c>
      <c r="AQ196" s="490"/>
      <c r="AR196" s="522"/>
      <c r="AS196" s="519"/>
      <c r="AT196" s="204"/>
      <c r="AU196" s="628"/>
      <c r="AV196" s="631"/>
      <c r="AW196" s="634"/>
      <c r="AX196" s="634"/>
      <c r="AY196" s="19"/>
      <c r="CB196" s="29" t="str">
        <f>IFERROR(IF(COUNTIF(AF193:AF202,"")=10,"",IF(COUNTIF(E193:E202,"N/A")&gt;0,IF(AF196&gt;=CMEMM1,AF196,0),"N/A")),"")</f>
        <v>N/A</v>
      </c>
      <c r="CC196" s="4"/>
      <c r="CD196" s="4">
        <f>IFERROR(IF(COUNTIF(AF193:AF202,"")=10,"",IF(AF196="","",IF(AF196&gt;=CMEMM1,1,0))),"")</f>
        <v>1</v>
      </c>
      <c r="CE196" s="4" t="str">
        <f>B193&amp;"-0"&amp;4</f>
        <v>P20-04</v>
      </c>
      <c r="CF196" s="4">
        <f>IFERROR(INDEX('DESEMPATE Y DISCAPACIDAD'!$D$3:$D$450,MATCH(CE196,'DESEMPATE Y DISCAPACIDAD'!$C$3:$C$450,0)),"")</f>
        <v>0</v>
      </c>
      <c r="CG196" s="4">
        <f>IF(OR(CE196="",CF196=""),"",SUMIF(D193:D202,CF196,CD193:CD202))</f>
        <v>0</v>
      </c>
      <c r="CH196" s="4" t="str">
        <f t="shared" si="149"/>
        <v>NO CUMPLE</v>
      </c>
      <c r="CI196" s="4">
        <f t="shared" si="180"/>
        <v>0</v>
      </c>
      <c r="CJ196" s="4"/>
      <c r="CK196" s="4"/>
      <c r="CL196" s="4">
        <f t="shared" si="182"/>
        <v>1</v>
      </c>
      <c r="CM196" s="4">
        <f t="shared" si="183"/>
        <v>0</v>
      </c>
      <c r="CN196" s="4" t="str">
        <f t="shared" si="181"/>
        <v>COND. A</v>
      </c>
      <c r="CO196" s="4"/>
      <c r="CP196" s="4"/>
      <c r="CQ196" s="29" t="str">
        <f t="shared" si="164"/>
        <v>N/A</v>
      </c>
      <c r="CR196" s="29">
        <f>IF(OR(AN196="",AF196=""),"",IF(AN196="NO",AF196,0))</f>
        <v>8029.2749999999996</v>
      </c>
      <c r="CS196" s="4"/>
    </row>
    <row r="197" spans="1:97" ht="45" customHeight="1">
      <c r="B197" s="481"/>
      <c r="C197" s="118" t="s">
        <v>344</v>
      </c>
      <c r="D197" s="126" t="str">
        <f>+IFERROR(INDEX('DESEMPATE Y DISCAPACIDAD'!$D$3:$D$450,MATCH(C197,'DESEMPATE Y DISCAPACIDAD'!$C$3:$C$450,0)),"")</f>
        <v>HMV CONSULTORIA S.A.S</v>
      </c>
      <c r="E197" s="127" t="str">
        <f>IFERROR(IF(D197="","",IF(VLOOKUP(D197,'DESEMPATE Y DISCAPACIDAD'!D$3:$E$450,2,FALSE)=1,"N/A",IF(VLOOKUP(D197,'DESEMPATE Y DISCAPACIDAD'!D$3:$F$450,3,FALSE)="X","SI","NO"))),"")</f>
        <v>NO</v>
      </c>
      <c r="F197" s="3" t="s">
        <v>940</v>
      </c>
      <c r="G197" s="3" t="s">
        <v>660</v>
      </c>
      <c r="H197" s="3" t="s">
        <v>1100</v>
      </c>
      <c r="I197" s="364" t="s">
        <v>1101</v>
      </c>
      <c r="J197" s="121" t="s">
        <v>74</v>
      </c>
      <c r="K197" s="121" t="s">
        <v>74</v>
      </c>
      <c r="L197" s="121" t="s">
        <v>74</v>
      </c>
      <c r="M197" s="121" t="s">
        <v>74</v>
      </c>
      <c r="N197" s="125" t="str">
        <f t="shared" si="176"/>
        <v>SI</v>
      </c>
      <c r="O197" s="125" t="str">
        <f t="shared" ref="O197:O202" si="186">IFERROR(IF(OR(J197="",L197=""),"",IF(J197="NO","NO",L197)),"")</f>
        <v>SI</v>
      </c>
      <c r="P197" s="125" t="str">
        <f t="shared" si="177"/>
        <v>SI</v>
      </c>
      <c r="Q197" s="125" t="str">
        <f t="shared" si="184"/>
        <v>SI</v>
      </c>
      <c r="R197" s="68">
        <v>1</v>
      </c>
      <c r="S197" s="248">
        <v>42304</v>
      </c>
      <c r="T197" s="248">
        <v>44860</v>
      </c>
      <c r="U197" s="3">
        <f t="shared" si="178"/>
        <v>2022</v>
      </c>
      <c r="V197" s="21">
        <f>IF(U197=2023,1160000,IFERROR(INDEX([1]SMMLV!$B$2:$B$101,MATCH(U197,[1]SMMLV!$A$2:$A$101,0)),""))</f>
        <v>1000000</v>
      </c>
      <c r="W197" s="21" t="s">
        <v>670</v>
      </c>
      <c r="X197" s="3" t="s">
        <v>671</v>
      </c>
      <c r="Y197" s="3">
        <v>204</v>
      </c>
      <c r="Z197" s="477" t="s">
        <v>74</v>
      </c>
      <c r="AA197" s="478"/>
      <c r="AB197" s="479"/>
      <c r="AC197" s="3" t="str">
        <f t="shared" si="179"/>
        <v>SI</v>
      </c>
      <c r="AD197" s="21" t="str">
        <f t="shared" si="185"/>
        <v>N/A</v>
      </c>
      <c r="AE197" s="21">
        <v>37431.68</v>
      </c>
      <c r="AF197" s="21">
        <f t="shared" si="174"/>
        <v>37431.68</v>
      </c>
      <c r="AG197" s="470"/>
      <c r="AH197" s="470"/>
      <c r="AI197" s="125" t="str">
        <f t="shared" si="175"/>
        <v>CUMPLE</v>
      </c>
      <c r="AJ197" s="470"/>
      <c r="AK197" s="470"/>
      <c r="AL197" s="472"/>
      <c r="AM197" s="496"/>
      <c r="AN197" s="125" t="s">
        <v>75</v>
      </c>
      <c r="AO197" s="490"/>
      <c r="AP197" s="125" t="s">
        <v>74</v>
      </c>
      <c r="AQ197" s="490"/>
      <c r="AR197" s="522"/>
      <c r="AS197" s="519"/>
      <c r="AT197" s="204"/>
      <c r="AU197" s="628"/>
      <c r="AV197" s="631"/>
      <c r="AW197" s="634"/>
      <c r="AX197" s="634"/>
      <c r="AY197" s="19"/>
      <c r="CB197" s="29" t="str">
        <f>IFERROR(IF(COUNTIF(AF193:AF202,"")=10,"",IF(COUNTIF(E193:E202,"N/A")&gt;0,IF(AF197&gt;=CMEMM1,AF197,0),"N/A")),"")</f>
        <v>N/A</v>
      </c>
      <c r="CC197" s="4"/>
      <c r="CD197" s="4">
        <f>IFERROR(IF(COUNTIF(AF193:AF202,"")=10,"",IF(AF197="","",IF(AF197&gt;=CMEMM1,1,0))),"")</f>
        <v>1</v>
      </c>
      <c r="CE197" s="4" t="str">
        <f>B193&amp;"-0"&amp;5</f>
        <v>P20-05</v>
      </c>
      <c r="CF197" s="4">
        <f>IFERROR(INDEX('DESEMPATE Y DISCAPACIDAD'!$D$3:$D$450,MATCH(CE197,'DESEMPATE Y DISCAPACIDAD'!$C$3:$C$450,0)),"")</f>
        <v>0</v>
      </c>
      <c r="CG197" s="4">
        <f>IF(OR(CE197="",CF197=""),"",SUMIF(D193:D202,CF197,CD193:CD202))</f>
        <v>0</v>
      </c>
      <c r="CH197" s="4" t="str">
        <f t="shared" si="149"/>
        <v>NO CUMPLE</v>
      </c>
      <c r="CI197" s="4">
        <f t="shared" si="180"/>
        <v>0</v>
      </c>
      <c r="CJ197" s="4"/>
      <c r="CK197" s="4"/>
      <c r="CL197" s="4">
        <f t="shared" si="182"/>
        <v>1</v>
      </c>
      <c r="CM197" s="4">
        <f t="shared" si="183"/>
        <v>1</v>
      </c>
      <c r="CN197" s="4" t="str">
        <f t="shared" si="181"/>
        <v>COND. A Y B</v>
      </c>
      <c r="CO197" s="4"/>
      <c r="CP197" s="4"/>
      <c r="CQ197" s="29" t="str">
        <f t="shared" si="164"/>
        <v>N/A</v>
      </c>
      <c r="CR197" s="29">
        <f>IF(OR(AN196="",AF197=""),"",IF(AN196="NO",AF197,0))</f>
        <v>37431.68</v>
      </c>
      <c r="CS197" s="4"/>
    </row>
    <row r="198" spans="1:97" ht="2" customHeight="1">
      <c r="B198" s="481"/>
      <c r="C198" s="118"/>
      <c r="D198" s="126" t="str">
        <f>+IFERROR(INDEX('DESEMPATE Y DISCAPACIDAD'!$D$3:$D$450,MATCH(C198,'DESEMPATE Y DISCAPACIDAD'!$C$3:$C$450,0)),"")</f>
        <v/>
      </c>
      <c r="E198" s="127" t="str">
        <f>IFERROR(IF(D198="","",IF(VLOOKUP(D198,'DESEMPATE Y DISCAPACIDAD'!D$3:$E$450,2,FALSE)=1,"N/A",IF(VLOOKUP(D198,'DESEMPATE Y DISCAPACIDAD'!D$3:$F$450,3,FALSE)="X","SI","NO"))),"")</f>
        <v/>
      </c>
      <c r="F198" s="3"/>
      <c r="G198" s="3"/>
      <c r="H198" s="3"/>
      <c r="I198" s="364"/>
      <c r="J198" s="121"/>
      <c r="K198" s="121"/>
      <c r="L198" s="121"/>
      <c r="M198" s="121"/>
      <c r="N198" s="125" t="str">
        <f t="shared" si="176"/>
        <v/>
      </c>
      <c r="O198" s="125" t="str">
        <f t="shared" si="186"/>
        <v/>
      </c>
      <c r="P198" s="125" t="str">
        <f t="shared" si="177"/>
        <v/>
      </c>
      <c r="Q198" s="125" t="str">
        <f t="shared" si="184"/>
        <v/>
      </c>
      <c r="R198" s="68"/>
      <c r="S198" s="248"/>
      <c r="T198" s="248"/>
      <c r="U198" s="3" t="str">
        <f t="shared" si="178"/>
        <v/>
      </c>
      <c r="V198" s="21" t="str">
        <f>IF(U198=2023,1160000,IFERROR(INDEX([1]SMMLV!$B$2:$B$101,MATCH(U198,[1]SMMLV!$A$2:$A$101,0)),""))</f>
        <v/>
      </c>
      <c r="W198" s="21"/>
      <c r="X198" s="3"/>
      <c r="Y198" s="3"/>
      <c r="Z198" s="477"/>
      <c r="AA198" s="478"/>
      <c r="AB198" s="479"/>
      <c r="AC198" s="3" t="str">
        <f t="shared" si="179"/>
        <v/>
      </c>
      <c r="AD198" s="21" t="str">
        <f t="shared" si="185"/>
        <v/>
      </c>
      <c r="AE198" s="21" t="str">
        <f t="shared" ref="AE198:AE261" si="187">IFERROR(IF(OR(V198="",AD198=""),"",ROUND(AD198/V198,2)),"")</f>
        <v/>
      </c>
      <c r="AF198" s="21" t="str">
        <f t="shared" si="174"/>
        <v/>
      </c>
      <c r="AG198" s="470"/>
      <c r="AH198" s="470"/>
      <c r="AI198" s="125" t="str">
        <f t="shared" si="175"/>
        <v/>
      </c>
      <c r="AJ198" s="470"/>
      <c r="AK198" s="470"/>
      <c r="AL198" s="472"/>
      <c r="AM198" s="496"/>
      <c r="AN198" s="181"/>
      <c r="AO198" s="490"/>
      <c r="AP198" s="181"/>
      <c r="AQ198" s="490"/>
      <c r="AR198" s="522"/>
      <c r="AS198" s="519"/>
      <c r="AT198" s="204"/>
      <c r="AU198" s="628"/>
      <c r="AV198" s="631"/>
      <c r="AW198" s="634"/>
      <c r="AX198" s="634"/>
      <c r="AY198" s="19"/>
      <c r="CB198" s="29" t="str">
        <f>IFERROR(IF(COUNTIF(AF193:AF202,"")=10,"",IF(COUNTIF(E193:E202,"N/A")&gt;0,IF(AF198&gt;=CMEMM1,AF198,0),"N/A")),"")</f>
        <v>N/A</v>
      </c>
      <c r="CC198" s="4"/>
      <c r="CD198" s="4" t="str">
        <f>IFERROR(IF(COUNTIF(AF193:AF202,"")=10,"",IF(AF198="","",IF(AF198&gt;=CMEMM1,1,0))),"")</f>
        <v/>
      </c>
      <c r="CE198" s="4" t="str">
        <f>B193&amp;"-0"&amp;6</f>
        <v>P20-06</v>
      </c>
      <c r="CF198" s="4">
        <f>IFERROR(INDEX('DESEMPATE Y DISCAPACIDAD'!$D$3:$D$450,MATCH(CE198,'DESEMPATE Y DISCAPACIDAD'!$C$3:$C$450,0)),"")</f>
        <v>0</v>
      </c>
      <c r="CG198" s="4">
        <f>IF(OR(CE198="",CF198=""),"",SUMIF(D193:D202,CF198,CD193:CD202))</f>
        <v>0</v>
      </c>
      <c r="CH198" s="4" t="str">
        <f t="shared" si="149"/>
        <v>NO CUMPLE</v>
      </c>
      <c r="CI198" s="4">
        <f t="shared" si="180"/>
        <v>0</v>
      </c>
      <c r="CJ198" s="4"/>
      <c r="CK198" s="4"/>
      <c r="CL198" s="4" t="str">
        <f t="shared" si="182"/>
        <v/>
      </c>
      <c r="CM198" s="4" t="str">
        <f t="shared" si="183"/>
        <v/>
      </c>
      <c r="CN198" s="4" t="str">
        <f t="shared" si="181"/>
        <v/>
      </c>
      <c r="CO198" s="4"/>
      <c r="CP198" s="4"/>
      <c r="CQ198" s="29" t="str">
        <f t="shared" si="164"/>
        <v/>
      </c>
      <c r="CR198" s="29" t="str">
        <f>IF(OR(AN198="",AF198=""),"",IF(AN198="NO",AF198,0))</f>
        <v/>
      </c>
      <c r="CS198" s="4"/>
    </row>
    <row r="199" spans="1:97" ht="2" customHeight="1">
      <c r="B199" s="481"/>
      <c r="C199" s="118"/>
      <c r="D199" s="126" t="str">
        <f>+IFERROR(INDEX('DESEMPATE Y DISCAPACIDAD'!$D$3:$D$450,MATCH(C199,'DESEMPATE Y DISCAPACIDAD'!$C$3:$C$450,0)),"")</f>
        <v/>
      </c>
      <c r="E199" s="127" t="str">
        <f>IFERROR(IF(D199="","",IF(VLOOKUP(D199,'DESEMPATE Y DISCAPACIDAD'!D$3:$E$450,2,FALSE)=1,"N/A",IF(VLOOKUP(D199,'DESEMPATE Y DISCAPACIDAD'!D$3:$F$450,3,FALSE)="X","SI","NO"))),"")</f>
        <v/>
      </c>
      <c r="F199" s="3"/>
      <c r="G199" s="3"/>
      <c r="H199" s="3"/>
      <c r="I199" s="364"/>
      <c r="J199" s="125"/>
      <c r="K199" s="125"/>
      <c r="L199" s="125"/>
      <c r="M199" s="125"/>
      <c r="N199" s="125" t="str">
        <f t="shared" si="176"/>
        <v/>
      </c>
      <c r="O199" s="125" t="str">
        <f t="shared" si="186"/>
        <v/>
      </c>
      <c r="P199" s="125" t="str">
        <f t="shared" si="177"/>
        <v/>
      </c>
      <c r="Q199" s="125" t="str">
        <f t="shared" si="184"/>
        <v/>
      </c>
      <c r="R199" s="68"/>
      <c r="S199" s="248"/>
      <c r="T199" s="248"/>
      <c r="U199" s="3" t="str">
        <f t="shared" si="178"/>
        <v/>
      </c>
      <c r="V199" s="21" t="str">
        <f>IF(U199=2023,1160000,IFERROR(INDEX([1]SMMLV!$B$2:$B$101,MATCH(U199,[1]SMMLV!$A$2:$A$101,0)),""))</f>
        <v/>
      </c>
      <c r="W199" s="21"/>
      <c r="X199" s="3"/>
      <c r="Y199" s="3"/>
      <c r="Z199" s="477"/>
      <c r="AA199" s="478"/>
      <c r="AB199" s="479"/>
      <c r="AC199" s="3" t="str">
        <f t="shared" si="179"/>
        <v/>
      </c>
      <c r="AD199" s="21" t="str">
        <f t="shared" si="185"/>
        <v/>
      </c>
      <c r="AE199" s="21" t="str">
        <f t="shared" si="187"/>
        <v/>
      </c>
      <c r="AF199" s="21" t="str">
        <f t="shared" si="174"/>
        <v/>
      </c>
      <c r="AG199" s="470"/>
      <c r="AH199" s="470"/>
      <c r="AI199" s="125" t="str">
        <f t="shared" si="175"/>
        <v/>
      </c>
      <c r="AJ199" s="470"/>
      <c r="AK199" s="470"/>
      <c r="AL199" s="472"/>
      <c r="AM199" s="496"/>
      <c r="AN199" s="181"/>
      <c r="AO199" s="490"/>
      <c r="AP199" s="181"/>
      <c r="AQ199" s="490"/>
      <c r="AR199" s="522"/>
      <c r="AS199" s="519"/>
      <c r="AT199" s="204"/>
      <c r="AU199" s="628"/>
      <c r="AV199" s="631"/>
      <c r="AW199" s="634"/>
      <c r="AX199" s="634"/>
      <c r="AY199" s="19"/>
      <c r="CB199" s="29" t="str">
        <f>IFERROR(IF(COUNTIF(AF193:AF202,"")=10,"",IF(COUNTIF(E193:E202,"N/A")&gt;0,IF(AF199&gt;=CMEMM1,AF199,0),"N/A")),"")</f>
        <v>N/A</v>
      </c>
      <c r="CC199" s="4"/>
      <c r="CD199" s="4" t="str">
        <f>IFERROR(IF(COUNTIF(AF193:AF202,"")=10,"",IF(AF199="","",IF(AF199&gt;=CMEMM1,1,0))),"")</f>
        <v/>
      </c>
      <c r="CE199" s="4" t="str">
        <f>B193&amp;"-0"&amp;7</f>
        <v>P20-07</v>
      </c>
      <c r="CF199" s="4" t="str">
        <f>IFERROR(INDEX('DESEMPATE Y DISCAPACIDAD'!$D$3:$D$450,MATCH(CE199,'DESEMPATE Y DISCAPACIDAD'!$C$3:$C$450,0)),"")</f>
        <v/>
      </c>
      <c r="CG199" s="4" t="str">
        <f>IF(OR(CE199="",CF199=""),"",SUMIF(D193:D202,CF199,CD193:CD202))</f>
        <v/>
      </c>
      <c r="CH199" s="4" t="str">
        <f t="shared" si="149"/>
        <v/>
      </c>
      <c r="CI199" s="4" t="str">
        <f t="shared" si="180"/>
        <v/>
      </c>
      <c r="CJ199" s="4"/>
      <c r="CK199" s="4"/>
      <c r="CL199" s="4" t="str">
        <f t="shared" si="182"/>
        <v/>
      </c>
      <c r="CM199" s="4" t="str">
        <f t="shared" si="183"/>
        <v/>
      </c>
      <c r="CN199" s="4" t="str">
        <f t="shared" si="181"/>
        <v/>
      </c>
      <c r="CO199" s="4"/>
      <c r="CP199" s="4"/>
      <c r="CQ199" s="29" t="str">
        <f t="shared" si="164"/>
        <v/>
      </c>
      <c r="CR199" s="29" t="str">
        <f>IF(OR(AN198="",AF199=""),"",IF(AN198="NO",AF199,0))</f>
        <v/>
      </c>
      <c r="CS199" s="4"/>
    </row>
    <row r="200" spans="1:97" ht="2" customHeight="1">
      <c r="B200" s="481"/>
      <c r="C200" s="118"/>
      <c r="D200" s="126" t="str">
        <f>+IFERROR(INDEX('DESEMPATE Y DISCAPACIDAD'!$D$3:$D$450,MATCH(C200,'DESEMPATE Y DISCAPACIDAD'!$C$3:$C$450,0)),"")</f>
        <v/>
      </c>
      <c r="E200" s="127" t="str">
        <f>IFERROR(IF(D200="","",IF(VLOOKUP(D200,'DESEMPATE Y DISCAPACIDAD'!D$3:$E$450,2,FALSE)=1,"N/A",IF(VLOOKUP(D200,'DESEMPATE Y DISCAPACIDAD'!D$3:$F$450,3,FALSE)="X","SI","NO"))),"")</f>
        <v/>
      </c>
      <c r="F200" s="3"/>
      <c r="G200" s="3"/>
      <c r="H200" s="3"/>
      <c r="I200" s="364"/>
      <c r="J200" s="121"/>
      <c r="K200" s="121"/>
      <c r="L200" s="121"/>
      <c r="M200" s="121"/>
      <c r="N200" s="125" t="str">
        <f t="shared" si="176"/>
        <v/>
      </c>
      <c r="O200" s="125" t="str">
        <f t="shared" si="186"/>
        <v/>
      </c>
      <c r="P200" s="125" t="str">
        <f t="shared" si="177"/>
        <v/>
      </c>
      <c r="Q200" s="125" t="str">
        <f t="shared" si="184"/>
        <v/>
      </c>
      <c r="R200" s="68"/>
      <c r="S200" s="248"/>
      <c r="T200" s="248"/>
      <c r="U200" s="3" t="str">
        <f t="shared" si="178"/>
        <v/>
      </c>
      <c r="V200" s="21" t="str">
        <f>IF(U200=2023,1160000,IFERROR(INDEX([1]SMMLV!$B$2:$B$101,MATCH(U200,[1]SMMLV!$A$2:$A$101,0)),""))</f>
        <v/>
      </c>
      <c r="W200" s="21"/>
      <c r="X200" s="3"/>
      <c r="Y200" s="3"/>
      <c r="Z200" s="477"/>
      <c r="AA200" s="478"/>
      <c r="AB200" s="479"/>
      <c r="AC200" s="3" t="str">
        <f t="shared" si="179"/>
        <v/>
      </c>
      <c r="AD200" s="21" t="str">
        <f t="shared" si="185"/>
        <v/>
      </c>
      <c r="AE200" s="21" t="str">
        <f t="shared" si="187"/>
        <v/>
      </c>
      <c r="AF200" s="21" t="str">
        <f t="shared" si="174"/>
        <v/>
      </c>
      <c r="AG200" s="470"/>
      <c r="AH200" s="470"/>
      <c r="AI200" s="125" t="str">
        <f t="shared" si="175"/>
        <v/>
      </c>
      <c r="AJ200" s="470"/>
      <c r="AK200" s="470"/>
      <c r="AL200" s="472"/>
      <c r="AM200" s="496"/>
      <c r="AN200" s="125"/>
      <c r="AO200" s="490"/>
      <c r="AP200" s="125"/>
      <c r="AQ200" s="490"/>
      <c r="AR200" s="522"/>
      <c r="AS200" s="519"/>
      <c r="AT200" s="204"/>
      <c r="AU200" s="628"/>
      <c r="AV200" s="631"/>
      <c r="AW200" s="634"/>
      <c r="AX200" s="634"/>
      <c r="AY200" s="19"/>
      <c r="CB200" s="29" t="str">
        <f>IFERROR(IF(COUNTIF(AF193:AF202,"")=10,"",IF(COUNTIF(E193:E202,"N/A")&gt;0,IF(AF200&gt;=CMEMM1,AF200,0),"N/A")),"")</f>
        <v>N/A</v>
      </c>
      <c r="CC200" s="4"/>
      <c r="CD200" s="4" t="str">
        <f>IFERROR(IF(COUNTIF(AF193:AF202,"")=10,"",IF(AF200="","",IF(AF200&gt;=CMEMM1,1,0))),"")</f>
        <v/>
      </c>
      <c r="CE200" s="4" t="str">
        <f>B193&amp;"-0"&amp;8</f>
        <v>P20-08</v>
      </c>
      <c r="CF200" s="4" t="str">
        <f>IFERROR(INDEX('DESEMPATE Y DISCAPACIDAD'!$D$3:$D$450,MATCH(CE200,'DESEMPATE Y DISCAPACIDAD'!$C$3:$C$450,0)),"")</f>
        <v/>
      </c>
      <c r="CG200" s="4" t="str">
        <f>IF(OR(CE200="",CF200=""),"",SUMIF(D193:D202,CF200,CD193:CD202))</f>
        <v/>
      </c>
      <c r="CH200" s="4" t="str">
        <f t="shared" si="149"/>
        <v/>
      </c>
      <c r="CI200" s="4" t="str">
        <f t="shared" si="180"/>
        <v/>
      </c>
      <c r="CJ200" s="4"/>
      <c r="CK200" s="4"/>
      <c r="CL200" s="4" t="str">
        <f t="shared" si="182"/>
        <v/>
      </c>
      <c r="CM200" s="4" t="str">
        <f t="shared" si="183"/>
        <v/>
      </c>
      <c r="CN200" s="4" t="str">
        <f t="shared" si="181"/>
        <v/>
      </c>
      <c r="CO200" s="4"/>
      <c r="CP200" s="4"/>
      <c r="CQ200" s="29" t="str">
        <f t="shared" si="164"/>
        <v/>
      </c>
      <c r="CR200" s="29" t="str">
        <f>IF(OR(AN200="",AF200=""),"",IF(AN200="NO",AF200,0))</f>
        <v/>
      </c>
      <c r="CS200" s="4"/>
    </row>
    <row r="201" spans="1:97" ht="2" customHeight="1">
      <c r="B201" s="481"/>
      <c r="C201" s="118"/>
      <c r="D201" s="126" t="str">
        <f>+IFERROR(INDEX('DESEMPATE Y DISCAPACIDAD'!$D$3:$D$450,MATCH(C201,'DESEMPATE Y DISCAPACIDAD'!$C$3:$C$450,0)),"")</f>
        <v/>
      </c>
      <c r="E201" s="127" t="str">
        <f>IFERROR(IF(D201="","",IF(VLOOKUP(D201,'DESEMPATE Y DISCAPACIDAD'!D$3:$E$450,2,FALSE)=1,"N/A",IF(VLOOKUP(D201,'DESEMPATE Y DISCAPACIDAD'!D$3:$F$450,3,FALSE)="X","SI","NO"))),"")</f>
        <v/>
      </c>
      <c r="F201" s="3"/>
      <c r="G201" s="3"/>
      <c r="H201" s="3"/>
      <c r="I201" s="364"/>
      <c r="J201" s="121"/>
      <c r="K201" s="121"/>
      <c r="L201" s="121"/>
      <c r="M201" s="121"/>
      <c r="N201" s="125" t="str">
        <f t="shared" si="176"/>
        <v/>
      </c>
      <c r="O201" s="125" t="str">
        <f t="shared" si="186"/>
        <v/>
      </c>
      <c r="P201" s="125" t="str">
        <f t="shared" si="177"/>
        <v/>
      </c>
      <c r="Q201" s="125" t="str">
        <f t="shared" si="184"/>
        <v/>
      </c>
      <c r="R201" s="68"/>
      <c r="S201" s="248"/>
      <c r="T201" s="248"/>
      <c r="U201" s="3" t="str">
        <f t="shared" si="178"/>
        <v/>
      </c>
      <c r="V201" s="21" t="str">
        <f>IF(U201=2023,1160000,IFERROR(INDEX([1]SMMLV!$B$2:$B$101,MATCH(U201,[1]SMMLV!$A$2:$A$101,0)),""))</f>
        <v/>
      </c>
      <c r="W201" s="21"/>
      <c r="X201" s="3"/>
      <c r="Y201" s="3"/>
      <c r="Z201" s="477"/>
      <c r="AA201" s="478"/>
      <c r="AB201" s="479"/>
      <c r="AC201" s="3" t="str">
        <f t="shared" si="179"/>
        <v/>
      </c>
      <c r="AD201" s="21" t="str">
        <f t="shared" si="185"/>
        <v/>
      </c>
      <c r="AE201" s="21" t="str">
        <f t="shared" si="187"/>
        <v/>
      </c>
      <c r="AF201" s="21" t="str">
        <f t="shared" si="174"/>
        <v/>
      </c>
      <c r="AG201" s="470"/>
      <c r="AH201" s="470"/>
      <c r="AI201" s="125" t="str">
        <f t="shared" si="175"/>
        <v/>
      </c>
      <c r="AJ201" s="470"/>
      <c r="AK201" s="470"/>
      <c r="AL201" s="472"/>
      <c r="AM201" s="496"/>
      <c r="AN201" s="181"/>
      <c r="AO201" s="490"/>
      <c r="AP201" s="181"/>
      <c r="AQ201" s="490"/>
      <c r="AR201" s="522"/>
      <c r="AS201" s="519"/>
      <c r="AT201" s="204"/>
      <c r="AU201" s="628"/>
      <c r="AV201" s="631"/>
      <c r="AW201" s="634"/>
      <c r="AX201" s="634"/>
      <c r="AY201" s="19"/>
      <c r="CB201" s="29" t="str">
        <f>IFERROR(IF(COUNTIF(AF193:AF202,"")=10,"",IF(COUNTIF(E193:E202,"N/A")&gt;0,IF(AF201&gt;=CMEMM1,AF201,0),"N/A")),"")</f>
        <v>N/A</v>
      </c>
      <c r="CC201" s="4"/>
      <c r="CD201" s="4" t="str">
        <f>IFERROR(IF(COUNTIF(AF193:AF202,"")=10,"",IF(AF201="","",IF(AF201&gt;=CMEMM1,1,0))),"")</f>
        <v/>
      </c>
      <c r="CE201" s="4" t="str">
        <f>B193&amp;"-0"&amp;9</f>
        <v>P20-09</v>
      </c>
      <c r="CF201" s="4" t="str">
        <f>IFERROR(INDEX('DESEMPATE Y DISCAPACIDAD'!$D$3:$D$450,MATCH(CE201,'DESEMPATE Y DISCAPACIDAD'!$C$3:$C$450,0)),"")</f>
        <v/>
      </c>
      <c r="CG201" s="4" t="str">
        <f>IF(OR(CE201="",CF201=""),"",SUMIF(D193:D202,CF201,CD193:CD202))</f>
        <v/>
      </c>
      <c r="CH201" s="4" t="str">
        <f t="shared" si="149"/>
        <v/>
      </c>
      <c r="CI201" s="4" t="str">
        <f t="shared" si="180"/>
        <v/>
      </c>
      <c r="CJ201" s="4"/>
      <c r="CK201" s="4"/>
      <c r="CL201" s="4" t="str">
        <f t="shared" si="182"/>
        <v/>
      </c>
      <c r="CM201" s="4" t="str">
        <f t="shared" si="183"/>
        <v/>
      </c>
      <c r="CN201" s="4" t="str">
        <f t="shared" si="181"/>
        <v/>
      </c>
      <c r="CO201" s="4"/>
      <c r="CP201" s="4"/>
      <c r="CQ201" s="29" t="str">
        <f t="shared" si="164"/>
        <v/>
      </c>
      <c r="CR201" s="29" t="str">
        <f>IF(OR(AN201="",AF201=""),"",IF(AN201="NO",AF201,0))</f>
        <v/>
      </c>
      <c r="CS201" s="4"/>
    </row>
    <row r="202" spans="1:97" ht="2" customHeight="1" thickBot="1">
      <c r="B202" s="482"/>
      <c r="C202" s="130"/>
      <c r="D202" s="131" t="str">
        <f>+IFERROR(INDEX('DESEMPATE Y DISCAPACIDAD'!$D$3:$D$450,MATCH(C202,'DESEMPATE Y DISCAPACIDAD'!$C$3:$C$450,0)),"")</f>
        <v/>
      </c>
      <c r="E202" s="132" t="str">
        <f>IFERROR(IF(D202="","",IF(VLOOKUP(D202,'DESEMPATE Y DISCAPACIDAD'!D$3:$E$450,2,FALSE)=1,"N/A",IF(VLOOKUP(D202,'DESEMPATE Y DISCAPACIDAD'!D$3:$F$450,3,FALSE)="X","SI","NO"))),"")</f>
        <v/>
      </c>
      <c r="F202" s="5"/>
      <c r="G202" s="5"/>
      <c r="H202" s="5"/>
      <c r="I202" s="368"/>
      <c r="J202" s="201"/>
      <c r="K202" s="201"/>
      <c r="L202" s="201"/>
      <c r="M202" s="201"/>
      <c r="N202" s="133" t="str">
        <f t="shared" si="176"/>
        <v/>
      </c>
      <c r="O202" s="133" t="str">
        <f t="shared" si="186"/>
        <v/>
      </c>
      <c r="P202" s="133" t="str">
        <f t="shared" si="177"/>
        <v/>
      </c>
      <c r="Q202" s="133" t="str">
        <f t="shared" si="184"/>
        <v/>
      </c>
      <c r="R202" s="104"/>
      <c r="S202" s="9"/>
      <c r="T202" s="9"/>
      <c r="U202" s="5" t="str">
        <f t="shared" si="178"/>
        <v/>
      </c>
      <c r="V202" s="22" t="str">
        <f>IF(U202=2023,1160000,IFERROR(INDEX([1]SMMLV!$B$2:$B$101,MATCH(U202,[1]SMMLV!$A$2:$A$101,0)),""))</f>
        <v/>
      </c>
      <c r="W202" s="22"/>
      <c r="X202" s="5"/>
      <c r="Y202" s="5"/>
      <c r="Z202" s="524"/>
      <c r="AA202" s="525"/>
      <c r="AB202" s="526"/>
      <c r="AC202" s="5" t="str">
        <f t="shared" si="179"/>
        <v/>
      </c>
      <c r="AD202" s="22" t="str">
        <f t="shared" si="185"/>
        <v/>
      </c>
      <c r="AE202" s="21" t="str">
        <f t="shared" si="187"/>
        <v/>
      </c>
      <c r="AF202" s="22" t="str">
        <f t="shared" si="174"/>
        <v/>
      </c>
      <c r="AG202" s="471"/>
      <c r="AH202" s="471"/>
      <c r="AI202" s="133" t="str">
        <f t="shared" si="175"/>
        <v/>
      </c>
      <c r="AJ202" s="471"/>
      <c r="AK202" s="471"/>
      <c r="AL202" s="473"/>
      <c r="AM202" s="497"/>
      <c r="AN202" s="183"/>
      <c r="AO202" s="491"/>
      <c r="AP202" s="183"/>
      <c r="AQ202" s="491"/>
      <c r="AR202" s="523"/>
      <c r="AS202" s="520"/>
      <c r="AT202" s="206"/>
      <c r="AU202" s="629"/>
      <c r="AV202" s="632"/>
      <c r="AW202" s="635"/>
      <c r="AX202" s="635"/>
      <c r="AY202" s="19"/>
      <c r="CB202" s="29" t="str">
        <f>IFERROR(IF(COUNTIF(AF193:AF202,"")=10,"",IF(COUNTIF(E193:E202,"N/A")&gt;0,IF(AF202&gt;=CMEMM1,AF202,0),"N/A")),"")</f>
        <v>N/A</v>
      </c>
      <c r="CC202" s="4"/>
      <c r="CD202" s="4" t="str">
        <f>IFERROR(IF(COUNTIF(AF193:AF202,"")=10,"",IF(AF202="","",IF(AF202&gt;=CMEMM1,1,0))),"")</f>
        <v/>
      </c>
      <c r="CE202" s="4" t="str">
        <f>B193&amp;"-"&amp;10</f>
        <v>P20-10</v>
      </c>
      <c r="CF202" s="4" t="str">
        <f>IFERROR(INDEX('DESEMPATE Y DISCAPACIDAD'!$D$3:$D$450,MATCH(CE202,'DESEMPATE Y DISCAPACIDAD'!$C$3:$C$450,0)),"")</f>
        <v/>
      </c>
      <c r="CG202" s="4" t="str">
        <f>IF(OR(CE202="",CF202=""),"",SUMIF(D193:D202,CF202,CD193:CD202))</f>
        <v/>
      </c>
      <c r="CH202" s="4" t="str">
        <f t="shared" si="149"/>
        <v/>
      </c>
      <c r="CI202" s="4" t="str">
        <f t="shared" si="180"/>
        <v/>
      </c>
      <c r="CJ202" s="4"/>
      <c r="CK202" s="4"/>
      <c r="CL202" s="4" t="str">
        <f t="shared" si="182"/>
        <v/>
      </c>
      <c r="CM202" s="4" t="str">
        <f t="shared" si="183"/>
        <v/>
      </c>
      <c r="CN202" s="4" t="str">
        <f t="shared" si="181"/>
        <v/>
      </c>
      <c r="CO202" s="4"/>
      <c r="CP202" s="4"/>
      <c r="CQ202" s="29" t="str">
        <f t="shared" si="164"/>
        <v/>
      </c>
      <c r="CR202" s="29" t="str">
        <f>IF(OR(AN201="",AF202=""),"",IF(AN201="NO",AF202,0))</f>
        <v/>
      </c>
      <c r="CS202" s="4"/>
    </row>
    <row r="203" spans="1:97" ht="45" customHeight="1">
      <c r="A203" s="4" t="str">
        <f>"A"&amp;B203</f>
        <v>AP21</v>
      </c>
      <c r="B203" s="480" t="s">
        <v>142</v>
      </c>
      <c r="C203" s="108" t="s">
        <v>348</v>
      </c>
      <c r="D203" s="119" t="str">
        <f>+IFERROR(INDEX('DESEMPATE Y DISCAPACIDAD'!$D$3:$D$450,MATCH(C203,'DESEMPATE Y DISCAPACIDAD'!$C$3:$C$450,0)),"")</f>
        <v>JOSÉ MANUEL GUARDO POLO</v>
      </c>
      <c r="E203" s="120" t="str">
        <f>IFERROR(IF(D203="","",IF(VLOOKUP(D203,'DESEMPATE Y DISCAPACIDAD'!D$3:$E$450,2,FALSE)=1,"N/A",IF(VLOOKUP(D203,'DESEMPATE Y DISCAPACIDAD'!D$3:$F$450,3,FALSE)="X","SI","NO"))),"")</f>
        <v>NO</v>
      </c>
      <c r="F203" s="367" t="s">
        <v>1102</v>
      </c>
      <c r="G203" s="367" t="s">
        <v>1019</v>
      </c>
      <c r="H203" s="367" t="s">
        <v>1103</v>
      </c>
      <c r="I203" s="367" t="s">
        <v>1104</v>
      </c>
      <c r="J203" s="121" t="s">
        <v>74</v>
      </c>
      <c r="K203" s="121" t="s">
        <v>74</v>
      </c>
      <c r="L203" s="121" t="s">
        <v>74</v>
      </c>
      <c r="M203" s="121" t="s">
        <v>74</v>
      </c>
      <c r="N203" s="121" t="str">
        <f>IFERROR(IF(OR(J203="",K203=""),"",IF(J203="NO","NO",K203)),"")</f>
        <v>SI</v>
      </c>
      <c r="O203" s="121" t="str">
        <f>IFERROR(IF(OR(J203="",L203=""),"",IF(J203="NO","NO",L203)),"")</f>
        <v>SI</v>
      </c>
      <c r="P203" s="121" t="str">
        <f>IFERROR(IF(OR(J203="",M203=""),"",IF(J203="NO","NO",M203)),"")</f>
        <v>SI</v>
      </c>
      <c r="Q203" s="121" t="str">
        <f t="shared" si="184"/>
        <v>SI</v>
      </c>
      <c r="R203" s="262">
        <v>0.5</v>
      </c>
      <c r="S203" s="371">
        <v>36752</v>
      </c>
      <c r="T203" s="372">
        <v>43462</v>
      </c>
      <c r="U203" s="179">
        <f>IFERROR(IF(T203="","",YEAR(T203)),"")</f>
        <v>2018</v>
      </c>
      <c r="V203" s="358">
        <f>IF(U203=2023,1160000,IFERROR(INDEX([1]SMMLV!$B$2:$B$101,MATCH(U203,[1]SMMLV!$A$2:$A$101,0)),""))</f>
        <v>781242</v>
      </c>
      <c r="W203" s="358" t="s">
        <v>670</v>
      </c>
      <c r="X203" s="179" t="s">
        <v>671</v>
      </c>
      <c r="Y203" s="373">
        <v>51</v>
      </c>
      <c r="Z203" s="492" t="s">
        <v>74</v>
      </c>
      <c r="AA203" s="493"/>
      <c r="AB203" s="494"/>
      <c r="AC203" s="179" t="str">
        <f>IFERROR(IF(Y203="","",IF(ISNUMBER(Y203),IF(COUNTIF(Z203,"SI")&gt;0,"SI","NO"),Y203)),"")</f>
        <v>SI</v>
      </c>
      <c r="AD203" s="358" t="str">
        <f t="shared" si="185"/>
        <v>N/A</v>
      </c>
      <c r="AE203" s="21">
        <v>15168.7</v>
      </c>
      <c r="AF203" s="358">
        <f t="shared" si="174"/>
        <v>7584.35</v>
      </c>
      <c r="AG203" s="486" t="str">
        <f>IFERROR(IF(COUNTIF(AF203:AF212,"")=10,"",IF(COUNTIF(E203:E212,"N/A")&gt;0,IF(SUM(CB203:CB212)&gt;=CMEM1,"CUMPLE","NO CUMPLE"),IF(SUM(AF203:AF212)&gt;=CMEM1,"CUMPLE","NO CUMPLE"))),"")</f>
        <v>CUMPLE</v>
      </c>
      <c r="AH203" s="486" t="str">
        <f>IF(COUNTIF(AF203:AF212,"")=10,"",IF(SUMIF(C203:C212,C203,AF203:AF212)&gt;=CMLM1,"CUMPLE",IF(SUMIF(C203:C212,C204,AF203:AF212)&gt;=CMLM1,"CUMPLE",IF(SUMIF(C203:C212,C205,AF203:AF212)&gt;=CMLM1,"CUMPLE",IF(SUMIF(C203:C212,C206,AF203:AF212)&gt;=CMLM1,"CUMPLE",IF(SUMIF(C203:C212,C207,AF203:AF212)&gt;=CMLM1,"CUMPLE",IF(SUMIF(C203:C212,C208,AF203:AF212)&gt;=CMLM1,"CUMPLE",IF(SUMIF(C203:C212,C209,AF203:AF212)&gt;=CMLM1,"CUMPLE",IF(SUMIF(C203:C212,C210,AF203:AF212)&gt;=CMLM1,"CUMPLE",IF(SUMIF(C203:C212,C211,AF203:AF212)&gt;=CMLM1,"CUMPLE",IF(SUMIF(C203:C212,C212,AF203:AF212)&gt;=CMLM1,"CUMPLE","NO CUMPLE")))))))))))</f>
        <v>CUMPLE</v>
      </c>
      <c r="AI203" s="121" t="str">
        <f t="shared" si="175"/>
        <v>CUMPLE</v>
      </c>
      <c r="AJ203" s="469" t="str">
        <f>IFERROR(IF(COUNTIF(AF203:AF212,"")=10,"",IF(COUNTIF(E203:E212,"N/A")&gt;0,"N/A",CJ203)),"")</f>
        <v>CUMPLE</v>
      </c>
      <c r="AK203" s="469" t="str">
        <f>IFERROR(IF(AND(COUNTIF(N203:N212,"SI")&gt;=1,COUNTIF(O203:O212,"SI")&gt;=1,COUNTIF(P203:P212,"SI")&gt;=1,COUNTIF(J203:J212,"SI")&lt;=10,CO203="CUMPLE"),"CUMPLE","NO CUMPLE"),"")</f>
        <v>CUMPLE</v>
      </c>
      <c r="AL203" s="472" t="s">
        <v>77</v>
      </c>
      <c r="AM203" s="495">
        <f>IFERROR(IF(B203&lt;&gt;"",IF(VLOOKUP(B203,'DESEMPATE Y DISCAPACIDAD'!$A$3:$Q$450,10,FALSE)="","",VLOOKUP(B203,'DESEMPATE Y DISCAPACIDAD'!$A$3:$Q$450,10,FALSE)+6),""),"")</f>
        <v>8</v>
      </c>
      <c r="AN203" s="121" t="s">
        <v>75</v>
      </c>
      <c r="AO203" s="490" t="s">
        <v>74</v>
      </c>
      <c r="AP203" s="121" t="s">
        <v>74</v>
      </c>
      <c r="AQ203" s="490">
        <f>IFERROR(IF(COUNTIF(AP203:AP212,"")=10,"",IF(AO203="NO",0,COUNTIF(AP203:AP212,"SI"))),"")</f>
        <v>4</v>
      </c>
      <c r="AR203" s="521">
        <f>IFERROR(IF(COUNTIF(AF203:AF212,"")=10,"",IF(AO203="NO",0,IF(COUNTIF(E203:E212,"N/A")&gt;0,SUM(CQ203:CQ212),SUM(CR203:CR212)))),"")</f>
        <v>61224.818500000001</v>
      </c>
      <c r="AS203" s="518">
        <f>IFERROR(IF(OR(COUNTIF(AF203:AF212,"")=10,AQ203="",AR203=""),"",IF(AO203="NO",0,AR203/AQ203)),"")</f>
        <v>15306.204625</v>
      </c>
      <c r="AT203" s="207"/>
      <c r="AU203" s="639" t="s">
        <v>750</v>
      </c>
      <c r="AV203" s="642" t="s">
        <v>1357</v>
      </c>
      <c r="AW203" s="645" t="s">
        <v>1357</v>
      </c>
      <c r="AX203" s="633" t="s">
        <v>1357</v>
      </c>
      <c r="AY203" s="19"/>
      <c r="CB203" s="29" t="str">
        <f>IFERROR(IF(COUNTIF(AF203:AF212,"")=10,"",IF(COUNTIF(E203:E212,"N/A")&gt;0,IF(AF203&gt;=CMEMM1,AF203,0),"N/A")),"")</f>
        <v>N/A</v>
      </c>
      <c r="CC203" s="4"/>
      <c r="CD203" s="4">
        <f>IFERROR(IF(COUNTIF(AF203:AF212,"")=10,"",IF(AF203="","",IF(AF203&gt;=CMEMM1,1,0))),"")</f>
        <v>1</v>
      </c>
      <c r="CE203" s="4" t="str">
        <f>B203&amp;"-0"&amp;1</f>
        <v>P21-01</v>
      </c>
      <c r="CF203" s="4" t="str">
        <f>IFERROR(INDEX('DESEMPATE Y DISCAPACIDAD'!$D$3:$D$450,MATCH(CE203,'DESEMPATE Y DISCAPACIDAD'!$C$3:$C$450,0)),"")</f>
        <v>JOSÉ MANUEL GUARDO POLO</v>
      </c>
      <c r="CG203" s="4">
        <f>IF(OR(CE203="",CF203=""),"",SUMIF(D203:D212,CF203,CD203:CD212))</f>
        <v>1</v>
      </c>
      <c r="CH203" s="4" t="str">
        <f t="shared" si="149"/>
        <v>CUMPLE</v>
      </c>
      <c r="CI203" s="4">
        <f>IF(CF203="","",IF(ISTEXT(CF203),1,0))</f>
        <v>1</v>
      </c>
      <c r="CJ203" s="4" t="str">
        <f>IF(OR(CE203="",CF203="",CG203="",CH203="",CI203=""),"",IF(COUNTIF(CH203:CH212,"CUMPLE")=COUNTIF(CI203:CI212,1),"CUMPLE","NO CUMPLE"))</f>
        <v>CUMPLE</v>
      </c>
      <c r="CK203" s="4"/>
      <c r="CL203" s="4">
        <f t="shared" si="182"/>
        <v>1</v>
      </c>
      <c r="CM203" s="4">
        <f t="shared" si="183"/>
        <v>1</v>
      </c>
      <c r="CN203" s="4" t="str">
        <f>IF(OR(CL203="",CM203=""),"",IF(AND(CL203=0,CM203=0),"N/A",IF(AND(CL203=1,CM203=0),"COND. A",IF(AND(CL203=0,CM203=1),"COND. B",IF(AND(CL203=1,CM203=1),"COND. A Y B","")))))</f>
        <v>COND. A Y B</v>
      </c>
      <c r="CO203" s="4" t="str">
        <f>IF(COUNTIF(CN203:CN212,"N/A")=10,"NO CUMPLE",IF(COUNTIF(CN203:CN212,"COND. A Y B")&gt;1,"CUMPLE",IF(AND(COUNTIF(CN203:CN212,"COND. A")&gt;0,COUNTIF(CN203:CN212,"COND. B")&gt;0),"CUMPLE",IF(AND(COUNTIF(CN203:CN212,"COND. A Y B")&gt;0,COUNTIF(CN203:CN212,"COND. A")&gt;0),"CUMPLE",IF(AND(COUNTIF(CN203:CN212,"COND. A Y B")&gt;0,COUNTIF(CN203:CN212,"COND. B")&gt;0),"CUMPLE","NO CUMPLE")))))</f>
        <v>CUMPLE</v>
      </c>
      <c r="CP203" s="4"/>
      <c r="CQ203" s="29" t="str">
        <f t="shared" si="164"/>
        <v>N/A</v>
      </c>
      <c r="CR203" s="29">
        <f t="shared" ref="CR203:CR234" si="188">IF(OR(AN203="",AF203=""),"",IF(AN203="NO",AF203,0))</f>
        <v>7584.35</v>
      </c>
      <c r="CS203" s="4"/>
    </row>
    <row r="204" spans="1:97" ht="45" customHeight="1">
      <c r="B204" s="481"/>
      <c r="C204" s="118" t="s">
        <v>349</v>
      </c>
      <c r="D204" s="119" t="str">
        <f>+IFERROR(INDEX('DESEMPATE Y DISCAPACIDAD'!$D$3:$D$450,MATCH(C204,'DESEMPATE Y DISCAPACIDAD'!$C$3:$C$450,0)),"")</f>
        <v>JAHV MCGREGOR S.A.S.</v>
      </c>
      <c r="E204" s="120" t="str">
        <f>IFERROR(IF(D204="","",IF(VLOOKUP(D204,'DESEMPATE Y DISCAPACIDAD'!D$3:$E$450,2,FALSE)=1,"N/A",IF(VLOOKUP(D204,'DESEMPATE Y DISCAPACIDAD'!D$3:$F$450,3,FALSE)="X","SI","NO"))),"")</f>
        <v>NO</v>
      </c>
      <c r="F204" s="367" t="s">
        <v>1105</v>
      </c>
      <c r="G204" s="367" t="s">
        <v>660</v>
      </c>
      <c r="H204" s="367" t="s">
        <v>1106</v>
      </c>
      <c r="I204" s="367" t="s">
        <v>1107</v>
      </c>
      <c r="J204" s="121" t="s">
        <v>74</v>
      </c>
      <c r="K204" s="121" t="s">
        <v>75</v>
      </c>
      <c r="L204" s="121" t="s">
        <v>74</v>
      </c>
      <c r="M204" s="121" t="s">
        <v>74</v>
      </c>
      <c r="N204" s="121" t="str">
        <f t="shared" ref="N204:N212" si="189">IFERROR(IF(OR(J204="",K204=""),"",IF(J204="NO","NO",K204)),"")</f>
        <v>NO</v>
      </c>
      <c r="O204" s="121" t="str">
        <f>IFERROR(IF(OR(J204="",L204=""),"",IF(J204="NO","NO",L204)),"")</f>
        <v>SI</v>
      </c>
      <c r="P204" s="121" t="str">
        <f t="shared" ref="P204:P212" si="190">IFERROR(IF(OR(J204="",M204=""),"",IF(J204="NO","NO",M204)),"")</f>
        <v>SI</v>
      </c>
      <c r="Q204" s="121" t="str">
        <f t="shared" si="184"/>
        <v>SI</v>
      </c>
      <c r="R204" s="262">
        <v>1</v>
      </c>
      <c r="S204" s="371">
        <v>39473</v>
      </c>
      <c r="T204" s="372">
        <v>41578</v>
      </c>
      <c r="U204" s="179">
        <f t="shared" ref="U204:U212" si="191">IFERROR(IF(T204="","",YEAR(T204)),"")</f>
        <v>2013</v>
      </c>
      <c r="V204" s="21">
        <f>IF(U204=2023,1160000,IFERROR(INDEX([1]SMMLV!$B$2:$B$101,MATCH(U204,[1]SMMLV!$A$2:$A$101,0)),""))</f>
        <v>589500</v>
      </c>
      <c r="W204" s="358">
        <v>15239096240</v>
      </c>
      <c r="X204" s="3" t="s">
        <v>671</v>
      </c>
      <c r="Y204" s="373">
        <v>371</v>
      </c>
      <c r="Z204" s="477" t="s">
        <v>74</v>
      </c>
      <c r="AA204" s="478"/>
      <c r="AB204" s="479"/>
      <c r="AC204" s="3" t="str">
        <f t="shared" ref="AC204:AC212" si="192">IFERROR(IF(Y204="","",IF(ISNUMBER(Y204),IF(COUNTIF(Z204,"SI")&gt;0,"SI","NO"),Y204)),"")</f>
        <v>SI</v>
      </c>
      <c r="AD204" s="21">
        <f t="shared" si="185"/>
        <v>15239096240</v>
      </c>
      <c r="AE204" s="21">
        <f t="shared" si="187"/>
        <v>25850.880000000001</v>
      </c>
      <c r="AF204" s="21">
        <f t="shared" si="174"/>
        <v>25850.880000000001</v>
      </c>
      <c r="AG204" s="470"/>
      <c r="AH204" s="470"/>
      <c r="AI204" s="125" t="str">
        <f t="shared" si="175"/>
        <v>CUMPLE</v>
      </c>
      <c r="AJ204" s="470"/>
      <c r="AK204" s="470"/>
      <c r="AL204" s="472"/>
      <c r="AM204" s="496"/>
      <c r="AN204" s="125" t="s">
        <v>75</v>
      </c>
      <c r="AO204" s="490"/>
      <c r="AP204" s="125" t="s">
        <v>74</v>
      </c>
      <c r="AQ204" s="490"/>
      <c r="AR204" s="522"/>
      <c r="AS204" s="519"/>
      <c r="AT204" s="204"/>
      <c r="AU204" s="640"/>
      <c r="AV204" s="643"/>
      <c r="AW204" s="646"/>
      <c r="AX204" s="634"/>
      <c r="AY204" s="19"/>
      <c r="CB204" s="29" t="str">
        <f>IFERROR(IF(COUNTIF(AF203:AF212,"")=10,"",IF(COUNTIF(E203:E212,"N/A")&gt;0,IF(AF204&gt;=CMEMM1,AF204,0),"N/A")),"")</f>
        <v>N/A</v>
      </c>
      <c r="CC204" s="4"/>
      <c r="CD204" s="4">
        <f>IFERROR(IF(COUNTIF(AF203:AF212,"")=10,"",IF(AF204="","",IF(AF204&gt;=CMEMM1,1,0))),"")</f>
        <v>1</v>
      </c>
      <c r="CE204" s="4" t="str">
        <f>B203&amp;"-0"&amp;2</f>
        <v>P21-02</v>
      </c>
      <c r="CF204" s="4" t="str">
        <f>IFERROR(INDEX('DESEMPATE Y DISCAPACIDAD'!$D$3:$D$450,MATCH(CE204,'DESEMPATE Y DISCAPACIDAD'!$C$3:$C$450,0)),"")</f>
        <v>JAHV MCGREGOR S.A.S.</v>
      </c>
      <c r="CG204" s="4">
        <f>IF(OR(CE204="",CF204=""),"",SUMIF(D203:D212,CF204,CD203:CD212))</f>
        <v>1</v>
      </c>
      <c r="CH204" s="4" t="str">
        <f t="shared" si="149"/>
        <v>CUMPLE</v>
      </c>
      <c r="CI204" s="4">
        <f t="shared" ref="CI204:CI212" si="193">IF(CF204="","",IF(ISTEXT(CF204),1,0))</f>
        <v>1</v>
      </c>
      <c r="CJ204" s="4"/>
      <c r="CK204" s="4"/>
      <c r="CL204" s="4">
        <f t="shared" si="182"/>
        <v>0</v>
      </c>
      <c r="CM204" s="4">
        <f t="shared" si="183"/>
        <v>1</v>
      </c>
      <c r="CN204" s="4" t="str">
        <f t="shared" ref="CN204:CN212" si="194">IF(OR(CL204="",CM204=""),"",IF(AND(CL204=0,CM204=0),"N/A",IF(AND(CL204=1,CM204=0),"COND. A",IF(AND(CL204=0,CM204=1),"COND. B",IF(AND(CL204=1,CM204=1),"COND. A Y B","")))))</f>
        <v>COND. B</v>
      </c>
      <c r="CO204" s="4"/>
      <c r="CP204" s="4"/>
      <c r="CQ204" s="29" t="str">
        <f t="shared" si="164"/>
        <v>N/A</v>
      </c>
      <c r="CR204" s="29">
        <f t="shared" si="188"/>
        <v>25850.880000000001</v>
      </c>
      <c r="CS204" s="4"/>
    </row>
    <row r="205" spans="1:97" ht="45" customHeight="1">
      <c r="B205" s="481"/>
      <c r="C205" s="118" t="s">
        <v>350</v>
      </c>
      <c r="D205" s="126" t="str">
        <f>+IFERROR(INDEX('DESEMPATE Y DISCAPACIDAD'!$D$3:$D$450,MATCH(C205,'DESEMPATE Y DISCAPACIDAD'!$C$3:$C$450,0)),"")</f>
        <v>GRUPO POSSO S.A.S.</v>
      </c>
      <c r="E205" s="127" t="str">
        <f>IFERROR(IF(D205="","",IF(VLOOKUP(D205,'DESEMPATE Y DISCAPACIDAD'!D$3:$E$450,2,FALSE)=1,"N/A",IF(VLOOKUP(D205,'DESEMPATE Y DISCAPACIDAD'!D$3:$F$450,3,FALSE)="X","SI","NO"))),"")</f>
        <v>NO</v>
      </c>
      <c r="F205" s="367" t="s">
        <v>1108</v>
      </c>
      <c r="G205" s="367" t="s">
        <v>1019</v>
      </c>
      <c r="H205" s="367" t="s">
        <v>1109</v>
      </c>
      <c r="I205" s="367" t="s">
        <v>1110</v>
      </c>
      <c r="J205" s="125" t="s">
        <v>74</v>
      </c>
      <c r="K205" s="125" t="s">
        <v>74</v>
      </c>
      <c r="L205" s="125" t="s">
        <v>75</v>
      </c>
      <c r="M205" s="125" t="s">
        <v>74</v>
      </c>
      <c r="N205" s="125" t="str">
        <f t="shared" si="189"/>
        <v>SI</v>
      </c>
      <c r="O205" s="125" t="str">
        <f>IFERROR(IF(OR(J205="",L205=""),"",IF(J205="NO","NO",L205)),"")</f>
        <v>NO</v>
      </c>
      <c r="P205" s="125" t="str">
        <f t="shared" si="190"/>
        <v>SI</v>
      </c>
      <c r="Q205" s="125" t="str">
        <f t="shared" si="184"/>
        <v>SI</v>
      </c>
      <c r="R205" s="262">
        <v>0.95</v>
      </c>
      <c r="S205" s="371">
        <v>41815</v>
      </c>
      <c r="T205" s="372">
        <v>42667</v>
      </c>
      <c r="U205" s="3">
        <f t="shared" si="191"/>
        <v>2016</v>
      </c>
      <c r="V205" s="21">
        <f>IF(U205=2023,1160000,IFERROR(INDEX([1]SMMLV!$B$2:$B$101,MATCH(U205,[1]SMMLV!$A$2:$A$101,0)),""))</f>
        <v>689455</v>
      </c>
      <c r="W205" s="21" t="s">
        <v>670</v>
      </c>
      <c r="X205" s="3" t="s">
        <v>671</v>
      </c>
      <c r="Y205" s="373">
        <v>57</v>
      </c>
      <c r="Z205" s="477" t="s">
        <v>74</v>
      </c>
      <c r="AA205" s="478"/>
      <c r="AB205" s="479"/>
      <c r="AC205" s="3" t="str">
        <f t="shared" si="192"/>
        <v>SI</v>
      </c>
      <c r="AD205" s="21" t="str">
        <f t="shared" si="185"/>
        <v>N/A</v>
      </c>
      <c r="AE205" s="21">
        <v>18588.62</v>
      </c>
      <c r="AF205" s="21">
        <f t="shared" si="174"/>
        <v>17659.188999999998</v>
      </c>
      <c r="AG205" s="470"/>
      <c r="AH205" s="470"/>
      <c r="AI205" s="125" t="str">
        <f t="shared" si="175"/>
        <v>CUMPLE</v>
      </c>
      <c r="AJ205" s="470"/>
      <c r="AK205" s="470"/>
      <c r="AL205" s="472"/>
      <c r="AM205" s="496"/>
      <c r="AN205" s="125" t="s">
        <v>75</v>
      </c>
      <c r="AO205" s="490"/>
      <c r="AP205" s="125" t="s">
        <v>74</v>
      </c>
      <c r="AQ205" s="490"/>
      <c r="AR205" s="522"/>
      <c r="AS205" s="519"/>
      <c r="AT205" s="204"/>
      <c r="AU205" s="640"/>
      <c r="AV205" s="643"/>
      <c r="AW205" s="646"/>
      <c r="AX205" s="634"/>
      <c r="AY205" s="19"/>
      <c r="CB205" s="29" t="str">
        <f>IFERROR(IF(COUNTIF(AF203:AF212,"")=10,"",IF(COUNTIF(E203:E212,"N/A")&gt;0,IF(AF205&gt;=CMEMM1,AF205,0),"N/A")),"")</f>
        <v>N/A</v>
      </c>
      <c r="CC205" s="4"/>
      <c r="CD205" s="4">
        <f>IFERROR(IF(COUNTIF(AF203:AF212,"")=10,"",IF(AF205="","",IF(AF205&gt;=CMEMM1,1,0))),"")</f>
        <v>1</v>
      </c>
      <c r="CE205" s="4" t="str">
        <f>B203&amp;"-0"&amp;3</f>
        <v>P21-03</v>
      </c>
      <c r="CF205" s="4" t="str">
        <f>IFERROR(INDEX('DESEMPATE Y DISCAPACIDAD'!$D$3:$D$450,MATCH(CE205,'DESEMPATE Y DISCAPACIDAD'!$C$3:$C$450,0)),"")</f>
        <v>GRUPO POSSO S.A.S.</v>
      </c>
      <c r="CG205" s="4">
        <f>IF(OR(CE205="",CF205=""),"",SUMIF(D203:D212,CF205,CD203:CD212))</f>
        <v>2</v>
      </c>
      <c r="CH205" s="4" t="str">
        <f t="shared" si="149"/>
        <v>CUMPLE</v>
      </c>
      <c r="CI205" s="4">
        <f t="shared" si="193"/>
        <v>1</v>
      </c>
      <c r="CJ205" s="4"/>
      <c r="CK205" s="4"/>
      <c r="CL205" s="4">
        <f t="shared" si="182"/>
        <v>1</v>
      </c>
      <c r="CM205" s="4">
        <f t="shared" si="183"/>
        <v>0</v>
      </c>
      <c r="CN205" s="4" t="str">
        <f t="shared" si="194"/>
        <v>COND. A</v>
      </c>
      <c r="CO205" s="4"/>
      <c r="CP205" s="4"/>
      <c r="CQ205" s="29" t="str">
        <f t="shared" si="164"/>
        <v>N/A</v>
      </c>
      <c r="CR205" s="29">
        <f t="shared" si="188"/>
        <v>17659.188999999998</v>
      </c>
      <c r="CS205" s="4"/>
    </row>
    <row r="206" spans="1:97" ht="45" customHeight="1">
      <c r="B206" s="481"/>
      <c r="C206" s="118" t="s">
        <v>350</v>
      </c>
      <c r="D206" s="126" t="str">
        <f>+IFERROR(INDEX('DESEMPATE Y DISCAPACIDAD'!$D$3:$D$450,MATCH(C206,'DESEMPATE Y DISCAPACIDAD'!$C$3:$C$450,0)),"")</f>
        <v>GRUPO POSSO S.A.S.</v>
      </c>
      <c r="E206" s="127" t="str">
        <f>IFERROR(IF(D206="","",IF(VLOOKUP(D206,'DESEMPATE Y DISCAPACIDAD'!D$3:$E$450,2,FALSE)=1,"N/A",IF(VLOOKUP(D206,'DESEMPATE Y DISCAPACIDAD'!D$3:$F$450,3,FALSE)="X","SI","NO"))),"")</f>
        <v>NO</v>
      </c>
      <c r="F206" s="367" t="s">
        <v>1108</v>
      </c>
      <c r="G206" s="367" t="s">
        <v>1019</v>
      </c>
      <c r="H206" s="367" t="s">
        <v>1111</v>
      </c>
      <c r="I206" s="367" t="s">
        <v>1112</v>
      </c>
      <c r="J206" s="125" t="s">
        <v>74</v>
      </c>
      <c r="K206" s="125" t="s">
        <v>74</v>
      </c>
      <c r="L206" s="125" t="s">
        <v>75</v>
      </c>
      <c r="M206" s="125" t="s">
        <v>74</v>
      </c>
      <c r="N206" s="125" t="str">
        <f t="shared" si="189"/>
        <v>SI</v>
      </c>
      <c r="O206" s="125" t="str">
        <f>IFERROR(IF(OR(J206="",L206=""),"",IF(J206="NO","NO",L206)),"")</f>
        <v>NO</v>
      </c>
      <c r="P206" s="125" t="str">
        <f t="shared" si="190"/>
        <v>SI</v>
      </c>
      <c r="Q206" s="125" t="str">
        <f t="shared" si="184"/>
        <v>SI</v>
      </c>
      <c r="R206" s="262">
        <v>0.65</v>
      </c>
      <c r="S206" s="371">
        <v>43591</v>
      </c>
      <c r="T206" s="372">
        <v>44491</v>
      </c>
      <c r="U206" s="3">
        <f t="shared" si="191"/>
        <v>2021</v>
      </c>
      <c r="V206" s="21">
        <f>IF(U206=2023,1160000,IFERROR(INDEX([1]SMMLV!$B$2:$B$101,MATCH(U206,[1]SMMLV!$A$2:$A$101,0)),""))</f>
        <v>908526</v>
      </c>
      <c r="W206" s="21">
        <v>14159588199.67</v>
      </c>
      <c r="X206" s="3" t="s">
        <v>671</v>
      </c>
      <c r="Y206" s="373">
        <v>87</v>
      </c>
      <c r="Z206" s="477" t="s">
        <v>74</v>
      </c>
      <c r="AA206" s="478"/>
      <c r="AB206" s="479"/>
      <c r="AC206" s="3" t="str">
        <f t="shared" si="192"/>
        <v>SI</v>
      </c>
      <c r="AD206" s="21">
        <f t="shared" si="185"/>
        <v>14159588199.67</v>
      </c>
      <c r="AE206" s="21">
        <f t="shared" si="187"/>
        <v>15585.23</v>
      </c>
      <c r="AF206" s="21">
        <f t="shared" si="174"/>
        <v>10130.3995</v>
      </c>
      <c r="AG206" s="470"/>
      <c r="AH206" s="470"/>
      <c r="AI206" s="125" t="str">
        <f t="shared" si="175"/>
        <v>CUMPLE</v>
      </c>
      <c r="AJ206" s="470"/>
      <c r="AK206" s="470"/>
      <c r="AL206" s="472"/>
      <c r="AM206" s="496"/>
      <c r="AN206" s="125" t="s">
        <v>75</v>
      </c>
      <c r="AO206" s="490"/>
      <c r="AP206" s="125" t="s">
        <v>74</v>
      </c>
      <c r="AQ206" s="490"/>
      <c r="AR206" s="522"/>
      <c r="AS206" s="519"/>
      <c r="AT206" s="204"/>
      <c r="AU206" s="640"/>
      <c r="AV206" s="643"/>
      <c r="AW206" s="646"/>
      <c r="AX206" s="634"/>
      <c r="AY206" s="19"/>
      <c r="CB206" s="29" t="str">
        <f>IFERROR(IF(COUNTIF(AF203:AF212,"")=10,"",IF(COUNTIF(E203:E212,"N/A")&gt;0,IF(AF206&gt;=CMEMM1,AF206,0),"N/A")),"")</f>
        <v>N/A</v>
      </c>
      <c r="CC206" s="4"/>
      <c r="CD206" s="4">
        <f>IFERROR(IF(COUNTIF(AF203:AF212,"")=10,"",IF(AF206="","",IF(AF206&gt;=CMEMM1,1,0))),"")</f>
        <v>1</v>
      </c>
      <c r="CE206" s="4" t="str">
        <f>B203&amp;"-0"&amp;4</f>
        <v>P21-04</v>
      </c>
      <c r="CF206" s="4">
        <f>IFERROR(INDEX('DESEMPATE Y DISCAPACIDAD'!$D$3:$D$450,MATCH(CE206,'DESEMPATE Y DISCAPACIDAD'!$C$3:$C$450,0)),"")</f>
        <v>0</v>
      </c>
      <c r="CG206" s="4">
        <f>IF(OR(CE206="",CF206=""),"",SUMIF(D203:D212,CF206,CD203:CD212))</f>
        <v>0</v>
      </c>
      <c r="CH206" s="4" t="str">
        <f t="shared" si="149"/>
        <v>NO CUMPLE</v>
      </c>
      <c r="CI206" s="4">
        <f t="shared" si="193"/>
        <v>0</v>
      </c>
      <c r="CJ206" s="4"/>
      <c r="CK206" s="4"/>
      <c r="CL206" s="4">
        <f t="shared" si="182"/>
        <v>1</v>
      </c>
      <c r="CM206" s="4">
        <f t="shared" si="183"/>
        <v>0</v>
      </c>
      <c r="CN206" s="4" t="str">
        <f t="shared" si="194"/>
        <v>COND. A</v>
      </c>
      <c r="CO206" s="4"/>
      <c r="CP206" s="4"/>
      <c r="CQ206" s="29" t="str">
        <f t="shared" si="164"/>
        <v>N/A</v>
      </c>
      <c r="CR206" s="29">
        <f t="shared" si="188"/>
        <v>10130.3995</v>
      </c>
      <c r="CS206" s="4"/>
    </row>
    <row r="207" spans="1:97" ht="2" customHeight="1">
      <c r="B207" s="481"/>
      <c r="C207" s="118"/>
      <c r="D207" s="126" t="str">
        <f>+IFERROR(INDEX('DESEMPATE Y DISCAPACIDAD'!$D$3:$D$450,MATCH(C207,'DESEMPATE Y DISCAPACIDAD'!$C$3:$C$450,0)),"")</f>
        <v/>
      </c>
      <c r="E207" s="127" t="str">
        <f>IFERROR(IF(D207="","",IF(VLOOKUP(D207,'DESEMPATE Y DISCAPACIDAD'!D$3:$E$450,2,FALSE)=1,"N/A",IF(VLOOKUP(D207,'DESEMPATE Y DISCAPACIDAD'!D$3:$F$450,3,FALSE)="X","SI","NO"))),"")</f>
        <v/>
      </c>
      <c r="F207" s="3"/>
      <c r="G207" s="3"/>
      <c r="H207" s="3"/>
      <c r="I207" s="364"/>
      <c r="J207" s="125"/>
      <c r="K207" s="125"/>
      <c r="L207" s="125"/>
      <c r="M207" s="125"/>
      <c r="N207" s="125" t="str">
        <f t="shared" si="189"/>
        <v/>
      </c>
      <c r="O207" s="125" t="str">
        <f t="shared" ref="O207:O212" si="195">IFERROR(IF(OR(J207="",L207=""),"",IF(J207="NO","NO",L207)),"")</f>
        <v/>
      </c>
      <c r="P207" s="125" t="str">
        <f t="shared" si="190"/>
        <v/>
      </c>
      <c r="Q207" s="125" t="str">
        <f t="shared" si="184"/>
        <v/>
      </c>
      <c r="R207" s="68"/>
      <c r="S207" s="248"/>
      <c r="T207" s="248"/>
      <c r="U207" s="3" t="str">
        <f t="shared" si="191"/>
        <v/>
      </c>
      <c r="V207" s="21" t="str">
        <f>IF(U207=2023,1160000,IFERROR(INDEX([1]SMMLV!$B$2:$B$101,MATCH(U207,[1]SMMLV!$A$2:$A$101,0)),""))</f>
        <v/>
      </c>
      <c r="W207" s="21"/>
      <c r="X207" s="3"/>
      <c r="Y207" s="3"/>
      <c r="Z207" s="477"/>
      <c r="AA207" s="478"/>
      <c r="AB207" s="479"/>
      <c r="AC207" s="3" t="str">
        <f t="shared" si="192"/>
        <v/>
      </c>
      <c r="AD207" s="21" t="str">
        <f t="shared" si="185"/>
        <v/>
      </c>
      <c r="AE207" s="21" t="str">
        <f t="shared" si="187"/>
        <v/>
      </c>
      <c r="AF207" s="21" t="str">
        <f t="shared" si="174"/>
        <v/>
      </c>
      <c r="AG207" s="470"/>
      <c r="AH207" s="470"/>
      <c r="AI207" s="125" t="str">
        <f t="shared" si="175"/>
        <v/>
      </c>
      <c r="AJ207" s="470"/>
      <c r="AK207" s="470"/>
      <c r="AL207" s="472"/>
      <c r="AM207" s="496"/>
      <c r="AN207" s="125"/>
      <c r="AO207" s="490"/>
      <c r="AP207" s="125"/>
      <c r="AQ207" s="490"/>
      <c r="AR207" s="522"/>
      <c r="AS207" s="519"/>
      <c r="AT207" s="204"/>
      <c r="AU207" s="640"/>
      <c r="AV207" s="643"/>
      <c r="AW207" s="646"/>
      <c r="AX207" s="634"/>
      <c r="AY207" s="19"/>
      <c r="CB207" s="29" t="str">
        <f>IFERROR(IF(COUNTIF(AF203:AF212,"")=10,"",IF(COUNTIF(E203:E212,"N/A")&gt;0,IF(AF207&gt;=CMEMM1,AF207,0),"N/A")),"")</f>
        <v>N/A</v>
      </c>
      <c r="CC207" s="4"/>
      <c r="CD207" s="4" t="str">
        <f>IFERROR(IF(COUNTIF(AF203:AF212,"")=10,"",IF(AF207="","",IF(AF207&gt;=CMEMM1,1,0))),"")</f>
        <v/>
      </c>
      <c r="CE207" s="4" t="str">
        <f>B203&amp;"-0"&amp;5</f>
        <v>P21-05</v>
      </c>
      <c r="CF207" s="4">
        <f>IFERROR(INDEX('DESEMPATE Y DISCAPACIDAD'!$D$3:$D$450,MATCH(CE207,'DESEMPATE Y DISCAPACIDAD'!$C$3:$C$450,0)),"")</f>
        <v>0</v>
      </c>
      <c r="CG207" s="4">
        <f>IF(OR(CE207="",CF207=""),"",SUMIF(D203:D212,CF207,CD203:CD212))</f>
        <v>0</v>
      </c>
      <c r="CH207" s="4" t="str">
        <f t="shared" si="149"/>
        <v>NO CUMPLE</v>
      </c>
      <c r="CI207" s="4">
        <f t="shared" si="193"/>
        <v>0</v>
      </c>
      <c r="CJ207" s="4"/>
      <c r="CK207" s="4"/>
      <c r="CL207" s="4" t="str">
        <f t="shared" si="182"/>
        <v/>
      </c>
      <c r="CM207" s="4" t="str">
        <f t="shared" si="183"/>
        <v/>
      </c>
      <c r="CN207" s="4" t="str">
        <f t="shared" si="194"/>
        <v/>
      </c>
      <c r="CO207" s="4"/>
      <c r="CP207" s="4"/>
      <c r="CQ207" s="29" t="str">
        <f t="shared" si="164"/>
        <v/>
      </c>
      <c r="CR207" s="29" t="str">
        <f t="shared" si="188"/>
        <v/>
      </c>
      <c r="CS207" s="4"/>
    </row>
    <row r="208" spans="1:97" ht="2" customHeight="1">
      <c r="B208" s="481"/>
      <c r="C208" s="118"/>
      <c r="D208" s="126" t="str">
        <f>+IFERROR(INDEX('DESEMPATE Y DISCAPACIDAD'!$D$3:$D$450,MATCH(C208,'DESEMPATE Y DISCAPACIDAD'!$C$3:$C$450,0)),"")</f>
        <v/>
      </c>
      <c r="E208" s="127" t="str">
        <f>IFERROR(IF(D208="","",IF(VLOOKUP(D208,'DESEMPATE Y DISCAPACIDAD'!D$3:$E$450,2,FALSE)=1,"N/A",IF(VLOOKUP(D208,'DESEMPATE Y DISCAPACIDAD'!D$3:$F$450,3,FALSE)="X","SI","NO"))),"")</f>
        <v/>
      </c>
      <c r="F208" s="3"/>
      <c r="G208" s="3"/>
      <c r="H208" s="3"/>
      <c r="I208" s="364"/>
      <c r="J208" s="125"/>
      <c r="K208" s="125"/>
      <c r="L208" s="125"/>
      <c r="M208" s="125"/>
      <c r="N208" s="125" t="str">
        <f t="shared" si="189"/>
        <v/>
      </c>
      <c r="O208" s="125" t="str">
        <f t="shared" si="195"/>
        <v/>
      </c>
      <c r="P208" s="125" t="str">
        <f t="shared" si="190"/>
        <v/>
      </c>
      <c r="Q208" s="125" t="str">
        <f t="shared" si="184"/>
        <v/>
      </c>
      <c r="R208" s="68"/>
      <c r="S208" s="248"/>
      <c r="T208" s="248"/>
      <c r="U208" s="3" t="str">
        <f t="shared" si="191"/>
        <v/>
      </c>
      <c r="V208" s="21" t="str">
        <f>IF(U208=2023,1160000,IFERROR(INDEX([1]SMMLV!$B$2:$B$101,MATCH(U208,[1]SMMLV!$A$2:$A$101,0)),""))</f>
        <v/>
      </c>
      <c r="W208" s="21"/>
      <c r="X208" s="3"/>
      <c r="Y208" s="3"/>
      <c r="Z208" s="477"/>
      <c r="AA208" s="478"/>
      <c r="AB208" s="479"/>
      <c r="AC208" s="3" t="str">
        <f t="shared" si="192"/>
        <v/>
      </c>
      <c r="AD208" s="21" t="str">
        <f t="shared" si="185"/>
        <v/>
      </c>
      <c r="AE208" s="21" t="str">
        <f t="shared" si="187"/>
        <v/>
      </c>
      <c r="AF208" s="21" t="str">
        <f t="shared" si="174"/>
        <v/>
      </c>
      <c r="AG208" s="470"/>
      <c r="AH208" s="470"/>
      <c r="AI208" s="125" t="str">
        <f t="shared" si="175"/>
        <v/>
      </c>
      <c r="AJ208" s="470"/>
      <c r="AK208" s="470"/>
      <c r="AL208" s="472"/>
      <c r="AM208" s="496"/>
      <c r="AN208" s="125"/>
      <c r="AO208" s="490"/>
      <c r="AP208" s="125"/>
      <c r="AQ208" s="490"/>
      <c r="AR208" s="522"/>
      <c r="AS208" s="519"/>
      <c r="AT208" s="204"/>
      <c r="AU208" s="640"/>
      <c r="AV208" s="643"/>
      <c r="AW208" s="646"/>
      <c r="AX208" s="634"/>
      <c r="AY208" s="19"/>
      <c r="CB208" s="29" t="str">
        <f>IFERROR(IF(COUNTIF(AF203:AF212,"")=10,"",IF(COUNTIF(E203:E212,"N/A")&gt;0,IF(AF208&gt;=CMEMM1,AF208,0),"N/A")),"")</f>
        <v>N/A</v>
      </c>
      <c r="CC208" s="4"/>
      <c r="CD208" s="4" t="str">
        <f>IFERROR(IF(COUNTIF(AF203:AF212,"")=10,"",IF(AF208="","",IF(AF208&gt;=CMEMM1,1,0))),"")</f>
        <v/>
      </c>
      <c r="CE208" s="4" t="str">
        <f>B203&amp;"-0"&amp;6</f>
        <v>P21-06</v>
      </c>
      <c r="CF208" s="4">
        <f>IFERROR(INDEX('DESEMPATE Y DISCAPACIDAD'!$D$3:$D$450,MATCH(CE208,'DESEMPATE Y DISCAPACIDAD'!$C$3:$C$450,0)),"")</f>
        <v>0</v>
      </c>
      <c r="CG208" s="4">
        <f>IF(OR(CE208="",CF208=""),"",SUMIF(D203:D212,CF208,CD203:CD212))</f>
        <v>0</v>
      </c>
      <c r="CH208" s="4" t="str">
        <f t="shared" si="149"/>
        <v>NO CUMPLE</v>
      </c>
      <c r="CI208" s="4">
        <f t="shared" si="193"/>
        <v>0</v>
      </c>
      <c r="CJ208" s="4"/>
      <c r="CK208" s="4"/>
      <c r="CL208" s="4" t="str">
        <f t="shared" si="182"/>
        <v/>
      </c>
      <c r="CM208" s="4" t="str">
        <f t="shared" si="183"/>
        <v/>
      </c>
      <c r="CN208" s="4" t="str">
        <f t="shared" si="194"/>
        <v/>
      </c>
      <c r="CO208" s="4"/>
      <c r="CP208" s="4"/>
      <c r="CQ208" s="29" t="str">
        <f t="shared" si="164"/>
        <v/>
      </c>
      <c r="CR208" s="29" t="str">
        <f t="shared" si="188"/>
        <v/>
      </c>
      <c r="CS208" s="4"/>
    </row>
    <row r="209" spans="1:97" ht="2" customHeight="1">
      <c r="B209" s="481"/>
      <c r="C209" s="118"/>
      <c r="D209" s="126" t="str">
        <f>+IFERROR(INDEX('DESEMPATE Y DISCAPACIDAD'!$D$3:$D$450,MATCH(C209,'DESEMPATE Y DISCAPACIDAD'!$C$3:$C$450,0)),"")</f>
        <v/>
      </c>
      <c r="E209" s="127" t="str">
        <f>IFERROR(IF(D209="","",IF(VLOOKUP(D209,'DESEMPATE Y DISCAPACIDAD'!D$3:$E$450,2,FALSE)=1,"N/A",IF(VLOOKUP(D209,'DESEMPATE Y DISCAPACIDAD'!D$3:$F$450,3,FALSE)="X","SI","NO"))),"")</f>
        <v/>
      </c>
      <c r="F209" s="3"/>
      <c r="G209" s="3"/>
      <c r="H209" s="3"/>
      <c r="I209" s="364"/>
      <c r="J209" s="125"/>
      <c r="K209" s="125"/>
      <c r="L209" s="125"/>
      <c r="M209" s="125"/>
      <c r="N209" s="125" t="str">
        <f t="shared" si="189"/>
        <v/>
      </c>
      <c r="O209" s="125" t="str">
        <f t="shared" si="195"/>
        <v/>
      </c>
      <c r="P209" s="125" t="str">
        <f t="shared" si="190"/>
        <v/>
      </c>
      <c r="Q209" s="125" t="str">
        <f t="shared" si="184"/>
        <v/>
      </c>
      <c r="R209" s="68"/>
      <c r="S209" s="248"/>
      <c r="T209" s="248"/>
      <c r="U209" s="3" t="str">
        <f t="shared" si="191"/>
        <v/>
      </c>
      <c r="V209" s="21" t="str">
        <f>IF(U209=2023,1160000,IFERROR(INDEX([1]SMMLV!$B$2:$B$101,MATCH(U209,[1]SMMLV!$A$2:$A$101,0)),""))</f>
        <v/>
      </c>
      <c r="W209" s="21"/>
      <c r="X209" s="3"/>
      <c r="Y209" s="3"/>
      <c r="Z209" s="477"/>
      <c r="AA209" s="478"/>
      <c r="AB209" s="479"/>
      <c r="AC209" s="3" t="str">
        <f t="shared" si="192"/>
        <v/>
      </c>
      <c r="AD209" s="21" t="str">
        <f t="shared" si="185"/>
        <v/>
      </c>
      <c r="AE209" s="21" t="str">
        <f t="shared" si="187"/>
        <v/>
      </c>
      <c r="AF209" s="21" t="str">
        <f t="shared" si="174"/>
        <v/>
      </c>
      <c r="AG209" s="470"/>
      <c r="AH209" s="470"/>
      <c r="AI209" s="125" t="str">
        <f t="shared" si="175"/>
        <v/>
      </c>
      <c r="AJ209" s="470"/>
      <c r="AK209" s="470"/>
      <c r="AL209" s="472"/>
      <c r="AM209" s="496"/>
      <c r="AN209" s="125"/>
      <c r="AO209" s="490"/>
      <c r="AP209" s="125"/>
      <c r="AQ209" s="490"/>
      <c r="AR209" s="522"/>
      <c r="AS209" s="519"/>
      <c r="AT209" s="204"/>
      <c r="AU209" s="640"/>
      <c r="AV209" s="643"/>
      <c r="AW209" s="646"/>
      <c r="AX209" s="634"/>
      <c r="AY209" s="19"/>
      <c r="CB209" s="29" t="str">
        <f>IFERROR(IF(COUNTIF(AF203:AF212,"")=10,"",IF(COUNTIF(E203:E212,"N/A")&gt;0,IF(AF209&gt;=CMEMM1,AF209,0),"N/A")),"")</f>
        <v>N/A</v>
      </c>
      <c r="CC209" s="4"/>
      <c r="CD209" s="4" t="str">
        <f>IFERROR(IF(COUNTIF(AF203:AF212,"")=10,"",IF(AF209="","",IF(AF209&gt;=CMEMM1,1,0))),"")</f>
        <v/>
      </c>
      <c r="CE209" s="4" t="str">
        <f>B203&amp;"-0"&amp;7</f>
        <v>P21-07</v>
      </c>
      <c r="CF209" s="4" t="str">
        <f>IFERROR(INDEX('DESEMPATE Y DISCAPACIDAD'!$D$3:$D$450,MATCH(CE209,'DESEMPATE Y DISCAPACIDAD'!$C$3:$C$450,0)),"")</f>
        <v/>
      </c>
      <c r="CG209" s="4" t="str">
        <f>IF(OR(CE209="",CF209=""),"",SUMIF(D203:D212,CF209,CD203:CD212))</f>
        <v/>
      </c>
      <c r="CH209" s="4" t="str">
        <f t="shared" si="149"/>
        <v/>
      </c>
      <c r="CI209" s="4" t="str">
        <f t="shared" si="193"/>
        <v/>
      </c>
      <c r="CJ209" s="4"/>
      <c r="CK209" s="4"/>
      <c r="CL209" s="4" t="str">
        <f t="shared" si="182"/>
        <v/>
      </c>
      <c r="CM209" s="4" t="str">
        <f t="shared" si="183"/>
        <v/>
      </c>
      <c r="CN209" s="4" t="str">
        <f t="shared" si="194"/>
        <v/>
      </c>
      <c r="CO209" s="4"/>
      <c r="CP209" s="4"/>
      <c r="CQ209" s="29" t="str">
        <f t="shared" si="164"/>
        <v/>
      </c>
      <c r="CR209" s="29" t="str">
        <f t="shared" si="188"/>
        <v/>
      </c>
      <c r="CS209" s="4"/>
    </row>
    <row r="210" spans="1:97" ht="2" customHeight="1">
      <c r="B210" s="481"/>
      <c r="C210" s="118"/>
      <c r="D210" s="126" t="str">
        <f>+IFERROR(INDEX('DESEMPATE Y DISCAPACIDAD'!$D$3:$D$450,MATCH(C210,'DESEMPATE Y DISCAPACIDAD'!$C$3:$C$450,0)),"")</f>
        <v/>
      </c>
      <c r="E210" s="127" t="str">
        <f>IFERROR(IF(D210="","",IF(VLOOKUP(D210,'DESEMPATE Y DISCAPACIDAD'!D$3:$E$450,2,FALSE)=1,"N/A",IF(VLOOKUP(D210,'DESEMPATE Y DISCAPACIDAD'!D$3:$F$450,3,FALSE)="X","SI","NO"))),"")</f>
        <v/>
      </c>
      <c r="F210" s="3"/>
      <c r="G210" s="3"/>
      <c r="H210" s="3"/>
      <c r="I210" s="364"/>
      <c r="J210" s="125"/>
      <c r="K210" s="125"/>
      <c r="L210" s="125"/>
      <c r="M210" s="125"/>
      <c r="N210" s="125" t="str">
        <f t="shared" si="189"/>
        <v/>
      </c>
      <c r="O210" s="125" t="str">
        <f t="shared" si="195"/>
        <v/>
      </c>
      <c r="P210" s="125" t="str">
        <f t="shared" si="190"/>
        <v/>
      </c>
      <c r="Q210" s="125" t="str">
        <f t="shared" si="184"/>
        <v/>
      </c>
      <c r="R210" s="68"/>
      <c r="S210" s="248"/>
      <c r="T210" s="248"/>
      <c r="U210" s="3" t="str">
        <f t="shared" si="191"/>
        <v/>
      </c>
      <c r="V210" s="21" t="str">
        <f>IF(U210=2023,1160000,IFERROR(INDEX([1]SMMLV!$B$2:$B$101,MATCH(U210,[1]SMMLV!$A$2:$A$101,0)),""))</f>
        <v/>
      </c>
      <c r="W210" s="21"/>
      <c r="X210" s="3"/>
      <c r="Y210" s="3"/>
      <c r="Z210" s="477"/>
      <c r="AA210" s="478"/>
      <c r="AB210" s="479"/>
      <c r="AC210" s="3" t="str">
        <f t="shared" si="192"/>
        <v/>
      </c>
      <c r="AD210" s="21" t="str">
        <f t="shared" si="185"/>
        <v/>
      </c>
      <c r="AE210" s="21" t="str">
        <f t="shared" si="187"/>
        <v/>
      </c>
      <c r="AF210" s="21" t="str">
        <f t="shared" si="174"/>
        <v/>
      </c>
      <c r="AG210" s="470"/>
      <c r="AH210" s="470"/>
      <c r="AI210" s="125" t="str">
        <f t="shared" si="175"/>
        <v/>
      </c>
      <c r="AJ210" s="470"/>
      <c r="AK210" s="470"/>
      <c r="AL210" s="472"/>
      <c r="AM210" s="496"/>
      <c r="AN210" s="125"/>
      <c r="AO210" s="490"/>
      <c r="AP210" s="125"/>
      <c r="AQ210" s="490"/>
      <c r="AR210" s="522"/>
      <c r="AS210" s="519"/>
      <c r="AT210" s="204"/>
      <c r="AU210" s="640"/>
      <c r="AV210" s="643"/>
      <c r="AW210" s="646"/>
      <c r="AX210" s="634"/>
      <c r="AY210" s="19"/>
      <c r="CB210" s="29" t="str">
        <f>IFERROR(IF(COUNTIF(AF203:AF212,"")=10,"",IF(COUNTIF(E203:E212,"N/A")&gt;0,IF(AF210&gt;=CMEMM1,AF210,0),"N/A")),"")</f>
        <v>N/A</v>
      </c>
      <c r="CC210" s="4"/>
      <c r="CD210" s="4" t="str">
        <f>IFERROR(IF(COUNTIF(AF203:AF212,"")=10,"",IF(AF210="","",IF(AF210&gt;=CMEMM1,1,0))),"")</f>
        <v/>
      </c>
      <c r="CE210" s="4" t="str">
        <f>B203&amp;"-0"&amp;8</f>
        <v>P21-08</v>
      </c>
      <c r="CF210" s="4" t="str">
        <f>IFERROR(INDEX('DESEMPATE Y DISCAPACIDAD'!$D$3:$D$450,MATCH(CE210,'DESEMPATE Y DISCAPACIDAD'!$C$3:$C$450,0)),"")</f>
        <v/>
      </c>
      <c r="CG210" s="4" t="str">
        <f>IF(OR(CE210="",CF210=""),"",SUMIF(D203:D212,CF210,CD203:CD212))</f>
        <v/>
      </c>
      <c r="CH210" s="4" t="str">
        <f t="shared" si="149"/>
        <v/>
      </c>
      <c r="CI210" s="4" t="str">
        <f t="shared" si="193"/>
        <v/>
      </c>
      <c r="CJ210" s="4"/>
      <c r="CK210" s="4"/>
      <c r="CL210" s="4" t="str">
        <f t="shared" si="182"/>
        <v/>
      </c>
      <c r="CM210" s="4" t="str">
        <f t="shared" si="183"/>
        <v/>
      </c>
      <c r="CN210" s="4" t="str">
        <f t="shared" si="194"/>
        <v/>
      </c>
      <c r="CO210" s="4"/>
      <c r="CP210" s="4"/>
      <c r="CQ210" s="29" t="str">
        <f t="shared" si="164"/>
        <v/>
      </c>
      <c r="CR210" s="29" t="str">
        <f t="shared" si="188"/>
        <v/>
      </c>
      <c r="CS210" s="4"/>
    </row>
    <row r="211" spans="1:97" ht="2" customHeight="1">
      <c r="B211" s="481"/>
      <c r="C211" s="118"/>
      <c r="D211" s="126" t="str">
        <f>+IFERROR(INDEX('DESEMPATE Y DISCAPACIDAD'!$D$3:$D$450,MATCH(C211,'DESEMPATE Y DISCAPACIDAD'!$C$3:$C$450,0)),"")</f>
        <v/>
      </c>
      <c r="E211" s="127" t="str">
        <f>IFERROR(IF(D211="","",IF(VLOOKUP(D211,'DESEMPATE Y DISCAPACIDAD'!D$3:$E$450,2,FALSE)=1,"N/A",IF(VLOOKUP(D211,'DESEMPATE Y DISCAPACIDAD'!D$3:$F$450,3,FALSE)="X","SI","NO"))),"")</f>
        <v/>
      </c>
      <c r="F211" s="3"/>
      <c r="G211" s="3"/>
      <c r="H211" s="3"/>
      <c r="I211" s="364"/>
      <c r="J211" s="125"/>
      <c r="K211" s="125"/>
      <c r="L211" s="125"/>
      <c r="M211" s="125"/>
      <c r="N211" s="125" t="str">
        <f t="shared" si="189"/>
        <v/>
      </c>
      <c r="O211" s="125" t="str">
        <f t="shared" si="195"/>
        <v/>
      </c>
      <c r="P211" s="125" t="str">
        <f t="shared" si="190"/>
        <v/>
      </c>
      <c r="Q211" s="125" t="str">
        <f t="shared" si="184"/>
        <v/>
      </c>
      <c r="R211" s="68"/>
      <c r="S211" s="248"/>
      <c r="T211" s="248"/>
      <c r="U211" s="3" t="str">
        <f t="shared" si="191"/>
        <v/>
      </c>
      <c r="V211" s="21" t="str">
        <f>IF(U211=2023,1160000,IFERROR(INDEX([1]SMMLV!$B$2:$B$101,MATCH(U211,[1]SMMLV!$A$2:$A$101,0)),""))</f>
        <v/>
      </c>
      <c r="W211" s="21"/>
      <c r="X211" s="3"/>
      <c r="Y211" s="3"/>
      <c r="Z211" s="477"/>
      <c r="AA211" s="478"/>
      <c r="AB211" s="479"/>
      <c r="AC211" s="3" t="str">
        <f t="shared" si="192"/>
        <v/>
      </c>
      <c r="AD211" s="21" t="str">
        <f t="shared" si="185"/>
        <v/>
      </c>
      <c r="AE211" s="21" t="str">
        <f t="shared" si="187"/>
        <v/>
      </c>
      <c r="AF211" s="21" t="str">
        <f t="shared" si="174"/>
        <v/>
      </c>
      <c r="AG211" s="470"/>
      <c r="AH211" s="470"/>
      <c r="AI211" s="125" t="str">
        <f t="shared" si="175"/>
        <v/>
      </c>
      <c r="AJ211" s="470"/>
      <c r="AK211" s="470"/>
      <c r="AL211" s="472"/>
      <c r="AM211" s="496"/>
      <c r="AN211" s="125"/>
      <c r="AO211" s="490"/>
      <c r="AP211" s="125"/>
      <c r="AQ211" s="490"/>
      <c r="AR211" s="522"/>
      <c r="AS211" s="519"/>
      <c r="AT211" s="204"/>
      <c r="AU211" s="640"/>
      <c r="AV211" s="643"/>
      <c r="AW211" s="646"/>
      <c r="AX211" s="634"/>
      <c r="AY211" s="19"/>
      <c r="CB211" s="29" t="str">
        <f>IFERROR(IF(COUNTIF(AF203:AF212,"")=10,"",IF(COUNTIF(E203:E212,"N/A")&gt;0,IF(AF211&gt;=CMEMM1,AF211,0),"N/A")),"")</f>
        <v>N/A</v>
      </c>
      <c r="CC211" s="4"/>
      <c r="CD211" s="4" t="str">
        <f>IFERROR(IF(COUNTIF(AF203:AF212,"")=10,"",IF(AF211="","",IF(AF211&gt;=CMEMM1,1,0))),"")</f>
        <v/>
      </c>
      <c r="CE211" s="4" t="str">
        <f>B203&amp;"-0"&amp;9</f>
        <v>P21-09</v>
      </c>
      <c r="CF211" s="4" t="str">
        <f>IFERROR(INDEX('DESEMPATE Y DISCAPACIDAD'!$D$3:$D$450,MATCH(CE211,'DESEMPATE Y DISCAPACIDAD'!$C$3:$C$450,0)),"")</f>
        <v/>
      </c>
      <c r="CG211" s="4" t="str">
        <f>IF(OR(CE211="",CF211=""),"",SUMIF(D203:D212,CF211,CD203:CD212))</f>
        <v/>
      </c>
      <c r="CH211" s="4" t="str">
        <f t="shared" si="149"/>
        <v/>
      </c>
      <c r="CI211" s="4" t="str">
        <f t="shared" si="193"/>
        <v/>
      </c>
      <c r="CJ211" s="4"/>
      <c r="CK211" s="4"/>
      <c r="CL211" s="4" t="str">
        <f t="shared" si="182"/>
        <v/>
      </c>
      <c r="CM211" s="4" t="str">
        <f t="shared" si="183"/>
        <v/>
      </c>
      <c r="CN211" s="4" t="str">
        <f t="shared" si="194"/>
        <v/>
      </c>
      <c r="CO211" s="4"/>
      <c r="CP211" s="4"/>
      <c r="CQ211" s="29" t="str">
        <f t="shared" si="164"/>
        <v/>
      </c>
      <c r="CR211" s="29" t="str">
        <f t="shared" si="188"/>
        <v/>
      </c>
      <c r="CS211" s="4"/>
    </row>
    <row r="212" spans="1:97" ht="2" customHeight="1" thickBot="1">
      <c r="B212" s="482"/>
      <c r="C212" s="130"/>
      <c r="D212" s="131" t="str">
        <f>+IFERROR(INDEX('DESEMPATE Y DISCAPACIDAD'!$D$3:$D$450,MATCH(C212,'DESEMPATE Y DISCAPACIDAD'!$C$3:$C$450,0)),"")</f>
        <v/>
      </c>
      <c r="E212" s="132" t="str">
        <f>IFERROR(IF(D212="","",IF(VLOOKUP(D212,'DESEMPATE Y DISCAPACIDAD'!D$3:$E$450,2,FALSE)=1,"N/A",IF(VLOOKUP(D212,'DESEMPATE Y DISCAPACIDAD'!D$3:$F$450,3,FALSE)="X","SI","NO"))),"")</f>
        <v/>
      </c>
      <c r="F212" s="5"/>
      <c r="G212" s="5"/>
      <c r="H212" s="5"/>
      <c r="I212" s="368"/>
      <c r="J212" s="133"/>
      <c r="K212" s="133"/>
      <c r="L212" s="133"/>
      <c r="M212" s="133"/>
      <c r="N212" s="133" t="str">
        <f t="shared" si="189"/>
        <v/>
      </c>
      <c r="O212" s="133" t="str">
        <f t="shared" si="195"/>
        <v/>
      </c>
      <c r="P212" s="133" t="str">
        <f t="shared" si="190"/>
        <v/>
      </c>
      <c r="Q212" s="133" t="str">
        <f t="shared" si="184"/>
        <v/>
      </c>
      <c r="R212" s="104"/>
      <c r="S212" s="9"/>
      <c r="T212" s="9"/>
      <c r="U212" s="5" t="str">
        <f t="shared" si="191"/>
        <v/>
      </c>
      <c r="V212" s="22" t="str">
        <f>IF(U212=2023,1160000,IFERROR(INDEX([1]SMMLV!$B$2:$B$101,MATCH(U212,[1]SMMLV!$A$2:$A$101,0)),""))</f>
        <v/>
      </c>
      <c r="W212" s="22"/>
      <c r="X212" s="5"/>
      <c r="Y212" s="5"/>
      <c r="Z212" s="524"/>
      <c r="AA212" s="525"/>
      <c r="AB212" s="526"/>
      <c r="AC212" s="5" t="str">
        <f t="shared" si="192"/>
        <v/>
      </c>
      <c r="AD212" s="22" t="str">
        <f t="shared" si="185"/>
        <v/>
      </c>
      <c r="AE212" s="21" t="str">
        <f t="shared" si="187"/>
        <v/>
      </c>
      <c r="AF212" s="22" t="str">
        <f t="shared" si="174"/>
        <v/>
      </c>
      <c r="AG212" s="471"/>
      <c r="AH212" s="471"/>
      <c r="AI212" s="133" t="str">
        <f t="shared" si="175"/>
        <v/>
      </c>
      <c r="AJ212" s="471"/>
      <c r="AK212" s="471"/>
      <c r="AL212" s="473"/>
      <c r="AM212" s="497"/>
      <c r="AN212" s="133"/>
      <c r="AO212" s="491"/>
      <c r="AP212" s="133"/>
      <c r="AQ212" s="491"/>
      <c r="AR212" s="523"/>
      <c r="AS212" s="520"/>
      <c r="AT212" s="206"/>
      <c r="AU212" s="641"/>
      <c r="AV212" s="644"/>
      <c r="AW212" s="647"/>
      <c r="AX212" s="635"/>
      <c r="AY212" s="19"/>
      <c r="CB212" s="29" t="str">
        <f>IFERROR(IF(COUNTIF(AF203:AF212,"")=10,"",IF(COUNTIF(E203:E212,"N/A")&gt;0,IF(AF212&gt;=CMEMM1,AF212,0),"N/A")),"")</f>
        <v>N/A</v>
      </c>
      <c r="CC212" s="4"/>
      <c r="CD212" s="4" t="str">
        <f>IFERROR(IF(COUNTIF(AF203:AF212,"")=10,"",IF(AF212="","",IF(AF212&gt;=CMEMM1,1,0))),"")</f>
        <v/>
      </c>
      <c r="CE212" s="4" t="str">
        <f>B203&amp;"-"&amp;10</f>
        <v>P21-10</v>
      </c>
      <c r="CF212" s="4" t="str">
        <f>IFERROR(INDEX('DESEMPATE Y DISCAPACIDAD'!$D$3:$D$450,MATCH(CE212,'DESEMPATE Y DISCAPACIDAD'!$C$3:$C$450,0)),"")</f>
        <v/>
      </c>
      <c r="CG212" s="4" t="str">
        <f>IF(OR(CE212="",CF212=""),"",SUMIF(D203:D212,CF212,CD203:CD212))</f>
        <v/>
      </c>
      <c r="CH212" s="4" t="str">
        <f t="shared" si="149"/>
        <v/>
      </c>
      <c r="CI212" s="4" t="str">
        <f t="shared" si="193"/>
        <v/>
      </c>
      <c r="CJ212" s="4"/>
      <c r="CK212" s="4"/>
      <c r="CL212" s="4" t="str">
        <f t="shared" si="182"/>
        <v/>
      </c>
      <c r="CM212" s="4" t="str">
        <f t="shared" si="183"/>
        <v/>
      </c>
      <c r="CN212" s="4" t="str">
        <f t="shared" si="194"/>
        <v/>
      </c>
      <c r="CO212" s="4"/>
      <c r="CP212" s="4"/>
      <c r="CQ212" s="29" t="str">
        <f t="shared" si="164"/>
        <v/>
      </c>
      <c r="CR212" s="29" t="str">
        <f t="shared" si="188"/>
        <v/>
      </c>
      <c r="CS212" s="4"/>
    </row>
    <row r="213" spans="1:97" ht="45" customHeight="1">
      <c r="A213" s="4" t="str">
        <f>"A"&amp;B213</f>
        <v>AP22</v>
      </c>
      <c r="B213" s="480" t="s">
        <v>283</v>
      </c>
      <c r="C213" s="385" t="s">
        <v>354</v>
      </c>
      <c r="D213" s="386" t="str">
        <f>+IFERROR(INDEX('DESEMPATE Y DISCAPACIDAD'!$D$3:$D$450,MATCH(C213,'DESEMPATE Y DISCAPACIDAD'!$C$3:$C$450,0)),"")</f>
        <v>INTERPRO S.A.S.</v>
      </c>
      <c r="E213" s="387" t="str">
        <f>IFERROR(IF(D213="","",IF(VLOOKUP(D213,'DESEMPATE Y DISCAPACIDAD'!D$3:$E$450,2,FALSE)=1,"N/A",IF(VLOOKUP(D213,'DESEMPATE Y DISCAPACIDAD'!D$3:$F$450,3,FALSE)="X","SI","NO"))),"")</f>
        <v>NO</v>
      </c>
      <c r="F213" s="369" t="s">
        <v>940</v>
      </c>
      <c r="G213" s="369" t="s">
        <v>660</v>
      </c>
      <c r="H213" s="369" t="s">
        <v>1113</v>
      </c>
      <c r="I213" s="369" t="s">
        <v>1114</v>
      </c>
      <c r="J213" s="179" t="s">
        <v>74</v>
      </c>
      <c r="K213" s="121" t="s">
        <v>74</v>
      </c>
      <c r="L213" s="121" t="s">
        <v>74</v>
      </c>
      <c r="M213" s="121" t="s">
        <v>74</v>
      </c>
      <c r="N213" s="121" t="str">
        <f>IFERROR(IF(OR(J213="",K213=""),"",IF(J213="NO","NO",K213)),"")</f>
        <v>SI</v>
      </c>
      <c r="O213" s="121" t="str">
        <f>IFERROR(IF(OR(J213="",L213=""),"",IF(J213="NO","NO",L213)),"")</f>
        <v>SI</v>
      </c>
      <c r="P213" s="121" t="str">
        <f>IFERROR(IF(OR(J213="",M213=""),"",IF(J213="NO","NO",M213)),"")</f>
        <v>SI</v>
      </c>
      <c r="Q213" s="121" t="str">
        <f t="shared" si="184"/>
        <v>SI</v>
      </c>
      <c r="R213" s="263">
        <v>0.6</v>
      </c>
      <c r="S213" s="374">
        <v>41576</v>
      </c>
      <c r="T213" s="374">
        <v>43250</v>
      </c>
      <c r="U213" s="179">
        <f>IFERROR(IF(T213="","",YEAR(T213)),"")</f>
        <v>2018</v>
      </c>
      <c r="V213" s="358">
        <f>IF(U213=2023,1160000,IFERROR(INDEX([1]SMMLV!$B$2:$B$101,MATCH(U213,[1]SMMLV!$A$2:$A$101,0)),""))</f>
        <v>781242</v>
      </c>
      <c r="W213" s="358" t="s">
        <v>670</v>
      </c>
      <c r="X213" s="179" t="s">
        <v>671</v>
      </c>
      <c r="Y213" s="375">
        <v>127</v>
      </c>
      <c r="Z213" s="492" t="s">
        <v>74</v>
      </c>
      <c r="AA213" s="493"/>
      <c r="AB213" s="494"/>
      <c r="AC213" s="179" t="str">
        <f>IFERROR(IF(Y213="","",IF(ISNUMBER(Y213),IF(COUNTIF(Z213,"SI")&gt;0,"SI","NO"),Y213)),"")</f>
        <v>SI</v>
      </c>
      <c r="AD213" s="358" t="str">
        <f t="shared" si="185"/>
        <v>N/A</v>
      </c>
      <c r="AE213" s="21">
        <v>12416.39</v>
      </c>
      <c r="AF213" s="358">
        <f t="shared" si="174"/>
        <v>7449.8339999999989</v>
      </c>
      <c r="AG213" s="486" t="str">
        <f>IFERROR(IF(COUNTIF(AF213:AF222,"")=10,"",IF(COUNTIF(E213:E222,"N/A")&gt;0,IF(SUM(CB213:CB222)&gt;=CMEM1,"CUMPLE","NO CUMPLE"),IF(SUM(AF213:AF222)&gt;=CMEM1,"CUMPLE","NO CUMPLE"))),"")</f>
        <v>CUMPLE</v>
      </c>
      <c r="AH213" s="486" t="str">
        <f>IF(COUNTIF(AF213:AF222,"")=10,"",IF(SUMIF(C213:C222,C213,AF213:AF222)&gt;=CMLM1,"CUMPLE",IF(SUMIF(C213:C222,C214,AF213:AF222)&gt;=CMLM1,"CUMPLE",IF(SUMIF(C213:C222,C215,AF213:AF222)&gt;=CMLM1,"CUMPLE",IF(SUMIF(C213:C222,C216,AF213:AF222)&gt;=CMLM1,"CUMPLE",IF(SUMIF(C213:C222,C217,AF213:AF222)&gt;=CMLM1,"CUMPLE",IF(SUMIF(C213:C222,C218,AF213:AF222)&gt;=CMLM1,"CUMPLE",IF(SUMIF(C213:C222,C219,AF213:AF222)&gt;=CMLM1,"CUMPLE",IF(SUMIF(C213:C222,C220,AF213:AF222)&gt;=CMLM1,"CUMPLE",IF(SUMIF(C213:C222,C221,AF213:AF222)&gt;=CMLM1,"CUMPLE",IF(SUMIF(C213:C222,C222,AF213:AF222)&gt;=CMLM1,"CUMPLE","NO CUMPLE")))))))))))</f>
        <v>CUMPLE</v>
      </c>
      <c r="AI213" s="121" t="str">
        <f t="shared" si="175"/>
        <v>CUMPLE</v>
      </c>
      <c r="AJ213" s="469" t="str">
        <f>IFERROR(IF(COUNTIF(AF213:AF222,"")=10,"",IF(COUNTIF(E213:E222,"N/A")&gt;0,"N/A",CJ213)),"")</f>
        <v>CUMPLE</v>
      </c>
      <c r="AK213" s="469" t="str">
        <f>IFERROR(IF(AND(COUNTIF(N213:N222,"SI")&gt;=1,COUNTIF(O213:O222,"SI")&gt;=1,COUNTIF(P213:P222,"SI")&gt;=1,COUNTIF(J213:J222,"SI")&lt;=10,CO213="CUMPLE"),"CUMPLE","NO CUMPLE"),"")</f>
        <v>CUMPLE</v>
      </c>
      <c r="AL213" s="472" t="s">
        <v>77</v>
      </c>
      <c r="AM213" s="495">
        <f>IFERROR(IF(B213&lt;&gt;"",IF(VLOOKUP(B213,'DESEMPATE Y DISCAPACIDAD'!$A$3:$Q$450,10,FALSE)="","",VLOOKUP(B213,'DESEMPATE Y DISCAPACIDAD'!$A$3:$Q$450,10,FALSE)+6),""),"")</f>
        <v>8</v>
      </c>
      <c r="AN213" s="111" t="s">
        <v>75</v>
      </c>
      <c r="AO213" s="503" t="s">
        <v>74</v>
      </c>
      <c r="AP213" s="111" t="s">
        <v>74</v>
      </c>
      <c r="AQ213" s="490">
        <f>IFERROR(IF(COUNTIF(AP213:AP222,"")=10,"",IF(AO213="NO",0,COUNTIF(AP213:AP222,"SI"))),"")</f>
        <v>7</v>
      </c>
      <c r="AR213" s="521">
        <f>IFERROR(IF(COUNTIF(AF213:AF222,"")=10,"",IF(AO213="NO",0,IF(COUNTIF(E213:E222,"N/A")&gt;0,SUM(CQ213:CQ222),SUM(CR213:CR222)))),"")</f>
        <v>76259.853600000002</v>
      </c>
      <c r="AS213" s="518">
        <f>IFERROR(IF(OR(COUNTIF(AF213:AF222,"")=10,AQ213="",AR213=""),"",IF(AO213="NO",0,AR213/AQ213)),"")</f>
        <v>10894.264800000001</v>
      </c>
      <c r="AT213" s="207"/>
      <c r="AU213" s="642" t="s">
        <v>1224</v>
      </c>
      <c r="AV213" s="630" t="s">
        <v>1357</v>
      </c>
      <c r="AW213" s="633" t="s">
        <v>1357</v>
      </c>
      <c r="AX213" s="633" t="s">
        <v>1357</v>
      </c>
      <c r="AY213" s="19"/>
      <c r="CB213" s="29" t="str">
        <f>IFERROR(IF(COUNTIF(AF213:AF222,"")=10,"",IF(COUNTIF(E213:E222,"N/A")&gt;0,IF(AF213&gt;=CMEMM1,AF213,0),"N/A")),"")</f>
        <v>N/A</v>
      </c>
      <c r="CC213" s="4"/>
      <c r="CD213" s="4">
        <f>IFERROR(IF(COUNTIF(AF213:AF222,"")=10,"",IF(AF213="","",IF(AF213&gt;=CMEMM1,1,0))),"")</f>
        <v>1</v>
      </c>
      <c r="CE213" s="4" t="str">
        <f>B213&amp;"-0"&amp;1</f>
        <v>P22-01</v>
      </c>
      <c r="CF213" s="4" t="str">
        <f>IFERROR(INDEX('DESEMPATE Y DISCAPACIDAD'!$D$3:$D$450,MATCH(CE213,'DESEMPATE Y DISCAPACIDAD'!$C$3:$C$450,0)),"")</f>
        <v>INTERPRO S.A.S.</v>
      </c>
      <c r="CG213" s="4">
        <f>IF(OR(CE213="",CF213=""),"",SUMIF(D213:D222,CF213,CD213:CD222))</f>
        <v>2</v>
      </c>
      <c r="CH213" s="4" t="str">
        <f t="shared" si="149"/>
        <v>CUMPLE</v>
      </c>
      <c r="CI213" s="4">
        <f>IF(CF213="","",IF(ISTEXT(CF213),1,0))</f>
        <v>1</v>
      </c>
      <c r="CJ213" s="4" t="str">
        <f>IF(OR(CD213="",CE213="",CF213="",CG213="",CH213="",CI213=""),"",IF(COUNTIF(CH213:CH222,"CUMPLE")=COUNTIF(CI213:CI222,1),"CUMPLE","NO CUMPLE"))</f>
        <v>CUMPLE</v>
      </c>
      <c r="CK213" s="4"/>
      <c r="CL213" s="4">
        <f t="shared" si="182"/>
        <v>1</v>
      </c>
      <c r="CM213" s="4">
        <f t="shared" si="183"/>
        <v>1</v>
      </c>
      <c r="CN213" s="4" t="str">
        <f>IF(OR(CL213="",CM213=""),"",IF(AND(CL213=0,CM213=0),"N/A",IF(AND(CL213=1,CM213=0),"COND. A",IF(AND(CL213=0,CM213=1),"COND. B",IF(AND(CL213=1,CM213=1),"COND. A Y B","")))))</f>
        <v>COND. A Y B</v>
      </c>
      <c r="CO213" s="4" t="str">
        <f>IF(COUNTIF(CN213:CN222,"N/A")=10,"NO CUMPLE",IF(COUNTIF(CN213:CN222,"COND. A Y B")&gt;1,"CUMPLE",IF(AND(COUNTIF(CN213:CN222,"COND. A")&gt;0,COUNTIF(CN213:CN222,"COND. B")&gt;0),"CUMPLE",IF(AND(COUNTIF(CN213:CN222,"COND. A Y B")&gt;0,COUNTIF(CN213:CN222,"COND. A")&gt;0),"CUMPLE",IF(AND(COUNTIF(CN213:CN222,"COND. A Y B")&gt;0,COUNTIF(CN213:CN222,"COND. B")&gt;0),"CUMPLE","NO CUMPLE")))))</f>
        <v>CUMPLE</v>
      </c>
      <c r="CP213" s="4"/>
      <c r="CQ213" s="29" t="str">
        <f t="shared" si="164"/>
        <v>N/A</v>
      </c>
      <c r="CR213" s="29">
        <f t="shared" si="188"/>
        <v>7449.8339999999989</v>
      </c>
      <c r="CS213" s="4"/>
    </row>
    <row r="214" spans="1:97" ht="45" customHeight="1">
      <c r="B214" s="481"/>
      <c r="C214" s="118" t="s">
        <v>354</v>
      </c>
      <c r="D214" s="119" t="str">
        <f>+IFERROR(INDEX('DESEMPATE Y DISCAPACIDAD'!$D$3:$D$450,MATCH(C214,'DESEMPATE Y DISCAPACIDAD'!$C$3:$C$450,0)),"")</f>
        <v>INTERPRO S.A.S.</v>
      </c>
      <c r="E214" s="120" t="str">
        <f>IFERROR(IF(D214="","",IF(VLOOKUP(D214,'DESEMPATE Y DISCAPACIDAD'!D$3:$E$450,2,FALSE)=1,"N/A",IF(VLOOKUP(D214,'DESEMPATE Y DISCAPACIDAD'!D$3:$F$450,3,FALSE)="X","SI","NO"))),"")</f>
        <v>NO</v>
      </c>
      <c r="F214" s="369" t="s">
        <v>1115</v>
      </c>
      <c r="G214" s="369" t="s">
        <v>660</v>
      </c>
      <c r="H214" s="369" t="s">
        <v>1116</v>
      </c>
      <c r="I214" s="369" t="s">
        <v>1117</v>
      </c>
      <c r="J214" s="121" t="s">
        <v>74</v>
      </c>
      <c r="K214" s="121" t="s">
        <v>74</v>
      </c>
      <c r="L214" s="121" t="s">
        <v>75</v>
      </c>
      <c r="M214" s="121" t="s">
        <v>74</v>
      </c>
      <c r="N214" s="121" t="str">
        <f t="shared" ref="N214:N222" si="196">IFERROR(IF(OR(J214="",K214=""),"",IF(J214="NO","NO",K214)),"")</f>
        <v>SI</v>
      </c>
      <c r="O214" s="121" t="str">
        <f>IFERROR(IF(OR(J214="",L214=""),"",IF(J214="NO","NO",L214)),"")</f>
        <v>NO</v>
      </c>
      <c r="P214" s="121" t="str">
        <f t="shared" ref="P214:P222" si="197">IFERROR(IF(OR(J214="",M214=""),"",IF(J214="NO","NO",M214)),"")</f>
        <v>SI</v>
      </c>
      <c r="Q214" s="121" t="str">
        <f t="shared" si="184"/>
        <v>SI</v>
      </c>
      <c r="R214" s="263">
        <v>0.5</v>
      </c>
      <c r="S214" s="374">
        <v>41913</v>
      </c>
      <c r="T214" s="374">
        <v>44776</v>
      </c>
      <c r="U214" s="179">
        <f t="shared" ref="U214:U222" si="198">IFERROR(IF(T214="","",YEAR(T214)),"")</f>
        <v>2022</v>
      </c>
      <c r="V214" s="358">
        <f>IF(U214=2023,1160000,IFERROR(INDEX([1]SMMLV!$B$2:$B$101,MATCH(U214,[1]SMMLV!$A$2:$A$101,0)),""))</f>
        <v>1000000</v>
      </c>
      <c r="W214" s="358">
        <v>17935627244.27</v>
      </c>
      <c r="X214" s="3" t="s">
        <v>671</v>
      </c>
      <c r="Y214" s="375">
        <v>148</v>
      </c>
      <c r="Z214" s="477" t="s">
        <v>74</v>
      </c>
      <c r="AA214" s="478"/>
      <c r="AB214" s="479"/>
      <c r="AC214" s="3" t="str">
        <f t="shared" ref="AC214:AC222" si="199">IFERROR(IF(Y214="","",IF(ISNUMBER(Y214),IF(COUNTIF(Z214,"SI")&gt;0,"SI","NO"),Y214)),"")</f>
        <v>SI</v>
      </c>
      <c r="AD214" s="21">
        <f t="shared" si="185"/>
        <v>17935627244.27</v>
      </c>
      <c r="AE214" s="21">
        <f t="shared" si="187"/>
        <v>17935.63</v>
      </c>
      <c r="AF214" s="21">
        <f t="shared" si="174"/>
        <v>8967.8150000000005</v>
      </c>
      <c r="AG214" s="470"/>
      <c r="AH214" s="470"/>
      <c r="AI214" s="125" t="str">
        <f t="shared" si="175"/>
        <v>CUMPLE</v>
      </c>
      <c r="AJ214" s="470"/>
      <c r="AK214" s="470"/>
      <c r="AL214" s="472"/>
      <c r="AM214" s="496"/>
      <c r="AN214" s="125" t="s">
        <v>75</v>
      </c>
      <c r="AO214" s="490"/>
      <c r="AP214" s="125" t="s">
        <v>74</v>
      </c>
      <c r="AQ214" s="490"/>
      <c r="AR214" s="522"/>
      <c r="AS214" s="519"/>
      <c r="AT214" s="204"/>
      <c r="AU214" s="643"/>
      <c r="AV214" s="631"/>
      <c r="AW214" s="634"/>
      <c r="AX214" s="634"/>
      <c r="AY214" s="19"/>
      <c r="CB214" s="29" t="str">
        <f>IFERROR(IF(COUNTIF(AF213:AF222,"")=10,"",IF(COUNTIF(E213:E222,"N/A")&gt;0,IF(AF214&gt;=CMEMM1,AF214,0),"N/A")),"")</f>
        <v>N/A</v>
      </c>
      <c r="CC214" s="4"/>
      <c r="CD214" s="4">
        <f>IFERROR(IF(COUNTIF(AF213:AF222,"")=10,"",IF(AF214="","",IF(AF214&gt;=CMEMM1,1,0))),"")</f>
        <v>1</v>
      </c>
      <c r="CE214" s="4" t="str">
        <f>B213&amp;"-0"&amp;2</f>
        <v>P22-02</v>
      </c>
      <c r="CF214" s="4" t="str">
        <f>IFERROR(INDEX('DESEMPATE Y DISCAPACIDAD'!$D$3:$D$450,MATCH(CE214,'DESEMPATE Y DISCAPACIDAD'!$C$3:$C$450,0)),"")</f>
        <v>META ENGINEERING S.A.</v>
      </c>
      <c r="CG214" s="4">
        <f>IF(OR(CE214="",CF214=""),"",SUMIF(D213:D222,CF214,CD213:CD222))</f>
        <v>2</v>
      </c>
      <c r="CH214" s="4" t="str">
        <f t="shared" si="149"/>
        <v>CUMPLE</v>
      </c>
      <c r="CI214" s="4">
        <f t="shared" ref="CI214:CI222" si="200">IF(CF214="","",IF(ISTEXT(CF214),1,0))</f>
        <v>1</v>
      </c>
      <c r="CJ214" s="4"/>
      <c r="CK214" s="4"/>
      <c r="CL214" s="4">
        <f t="shared" si="182"/>
        <v>1</v>
      </c>
      <c r="CM214" s="4">
        <f t="shared" si="183"/>
        <v>0</v>
      </c>
      <c r="CN214" s="4" t="str">
        <f t="shared" ref="CN214:CN222" si="201">IF(OR(CL214="",CM214=""),"",IF(AND(CL214=0,CM214=0),"N/A",IF(AND(CL214=1,CM214=0),"COND. A",IF(AND(CL214=0,CM214=1),"COND. B",IF(AND(CL214=1,CM214=1),"COND. A Y B","")))))</f>
        <v>COND. A</v>
      </c>
      <c r="CO214" s="4"/>
      <c r="CP214" s="4"/>
      <c r="CQ214" s="29" t="str">
        <f t="shared" si="164"/>
        <v>N/A</v>
      </c>
      <c r="CR214" s="29">
        <f t="shared" si="188"/>
        <v>8967.8150000000005</v>
      </c>
      <c r="CS214" s="4"/>
    </row>
    <row r="215" spans="1:97" ht="45" customHeight="1">
      <c r="B215" s="481"/>
      <c r="C215" s="118" t="s">
        <v>354</v>
      </c>
      <c r="D215" s="126" t="str">
        <f>+IFERROR(INDEX('DESEMPATE Y DISCAPACIDAD'!$D$3:$D$450,MATCH(C215,'DESEMPATE Y DISCAPACIDAD'!$C$3:$C$450,0)),"")</f>
        <v>INTERPRO S.A.S.</v>
      </c>
      <c r="E215" s="127" t="str">
        <f>IFERROR(IF(D215="","",IF(VLOOKUP(D215,'DESEMPATE Y DISCAPACIDAD'!D$3:$E$450,2,FALSE)=1,"N/A",IF(VLOOKUP(D215,'DESEMPATE Y DISCAPACIDAD'!D$3:$F$450,3,FALSE)="X","SI","NO"))),"")</f>
        <v>NO</v>
      </c>
      <c r="F215" s="369" t="s">
        <v>1118</v>
      </c>
      <c r="G215" s="369" t="s">
        <v>660</v>
      </c>
      <c r="H215" s="369" t="s">
        <v>1119</v>
      </c>
      <c r="I215" s="369" t="s">
        <v>1120</v>
      </c>
      <c r="J215" s="125" t="s">
        <v>74</v>
      </c>
      <c r="K215" s="125" t="s">
        <v>74</v>
      </c>
      <c r="L215" s="125" t="s">
        <v>75</v>
      </c>
      <c r="M215" s="125" t="s">
        <v>74</v>
      </c>
      <c r="N215" s="125" t="str">
        <f t="shared" si="196"/>
        <v>SI</v>
      </c>
      <c r="O215" s="125" t="str">
        <f>IFERROR(IF(OR(J215="",L215=""),"",IF(J215="NO","NO",L215)),"")</f>
        <v>NO</v>
      </c>
      <c r="P215" s="125" t="str">
        <f t="shared" si="197"/>
        <v>SI</v>
      </c>
      <c r="Q215" s="125" t="str">
        <f t="shared" si="184"/>
        <v>SI</v>
      </c>
      <c r="R215" s="263">
        <v>1</v>
      </c>
      <c r="S215" s="374">
        <v>40217</v>
      </c>
      <c r="T215" s="374">
        <v>40978</v>
      </c>
      <c r="U215" s="3">
        <f t="shared" si="198"/>
        <v>2012</v>
      </c>
      <c r="V215" s="21">
        <f>IF(U215=2023,1160000,IFERROR(INDEX([1]SMMLV!$B$2:$B$101,MATCH(U215,[1]SMMLV!$A$2:$A$101,0)),""))</f>
        <v>566700</v>
      </c>
      <c r="W215" s="21" t="s">
        <v>670</v>
      </c>
      <c r="X215" s="3" t="s">
        <v>671</v>
      </c>
      <c r="Y215" s="375">
        <v>32</v>
      </c>
      <c r="Z215" s="477" t="s">
        <v>74</v>
      </c>
      <c r="AA215" s="478"/>
      <c r="AB215" s="479"/>
      <c r="AC215" s="3" t="str">
        <f t="shared" si="199"/>
        <v>SI</v>
      </c>
      <c r="AD215" s="21" t="str">
        <f t="shared" si="185"/>
        <v>N/A</v>
      </c>
      <c r="AE215" s="21">
        <v>2198.7399999999998</v>
      </c>
      <c r="AF215" s="21">
        <f t="shared" si="174"/>
        <v>2198.7399999999998</v>
      </c>
      <c r="AG215" s="470"/>
      <c r="AH215" s="470"/>
      <c r="AI215" s="125" t="str">
        <f t="shared" si="175"/>
        <v>NO CUMPLE</v>
      </c>
      <c r="AJ215" s="470"/>
      <c r="AK215" s="470"/>
      <c r="AL215" s="472"/>
      <c r="AM215" s="496"/>
      <c r="AN215" s="125" t="s">
        <v>75</v>
      </c>
      <c r="AO215" s="490"/>
      <c r="AP215" s="125" t="s">
        <v>74</v>
      </c>
      <c r="AQ215" s="490"/>
      <c r="AR215" s="522"/>
      <c r="AS215" s="519"/>
      <c r="AT215" s="204"/>
      <c r="AU215" s="643"/>
      <c r="AV215" s="631"/>
      <c r="AW215" s="634"/>
      <c r="AX215" s="634"/>
      <c r="AY215" s="19"/>
      <c r="CB215" s="29" t="str">
        <f>IFERROR(IF(COUNTIF(AF213:AF222,"")=10,"",IF(COUNTIF(E213:E222,"N/A")&gt;0,IF(AF215&gt;=CMEMM1,AF215,0),"N/A")),"")</f>
        <v>N/A</v>
      </c>
      <c r="CC215" s="4"/>
      <c r="CD215" s="4">
        <f>IFERROR(IF(COUNTIF(AF213:AF222,"")=10,"",IF(AF215="","",IF(AF215&gt;=CMEMM1,1,0))),"")</f>
        <v>0</v>
      </c>
      <c r="CE215" s="4" t="str">
        <f>B213&amp;"-0"&amp;3</f>
        <v>P22-03</v>
      </c>
      <c r="CF215" s="4" t="str">
        <f>IFERROR(INDEX('DESEMPATE Y DISCAPACIDAD'!$D$3:$D$450,MATCH(CE215,'DESEMPATE Y DISCAPACIDAD'!$C$3:$C$450,0)),"")</f>
        <v>PROCONSULTING S.A.S.</v>
      </c>
      <c r="CG215" s="4">
        <f>IF(OR(CE215="",CF215=""),"",SUMIF(D213:D222,CF215,CD213:CD222))</f>
        <v>1</v>
      </c>
      <c r="CH215" s="4" t="str">
        <f t="shared" si="149"/>
        <v>CUMPLE</v>
      </c>
      <c r="CI215" s="4">
        <f t="shared" si="200"/>
        <v>1</v>
      </c>
      <c r="CJ215" s="4"/>
      <c r="CK215" s="4"/>
      <c r="CL215" s="4">
        <f t="shared" si="182"/>
        <v>1</v>
      </c>
      <c r="CM215" s="4">
        <f t="shared" si="183"/>
        <v>0</v>
      </c>
      <c r="CN215" s="4" t="str">
        <f t="shared" si="201"/>
        <v>COND. A</v>
      </c>
      <c r="CO215" s="4"/>
      <c r="CP215" s="4"/>
      <c r="CQ215" s="29" t="str">
        <f t="shared" si="164"/>
        <v>N/A</v>
      </c>
      <c r="CR215" s="29">
        <f t="shared" si="188"/>
        <v>2198.7399999999998</v>
      </c>
      <c r="CS215" s="4"/>
    </row>
    <row r="216" spans="1:97" ht="45" customHeight="1">
      <c r="B216" s="481"/>
      <c r="C216" s="118" t="s">
        <v>355</v>
      </c>
      <c r="D216" s="126" t="str">
        <f>+IFERROR(INDEX('DESEMPATE Y DISCAPACIDAD'!$D$3:$D$450,MATCH(C216,'DESEMPATE Y DISCAPACIDAD'!$C$3:$C$450,0)),"")</f>
        <v>META ENGINEERING S.A.</v>
      </c>
      <c r="E216" s="127" t="str">
        <f>IFERROR(IF(D216="","",IF(VLOOKUP(D216,'DESEMPATE Y DISCAPACIDAD'!D$3:$E$450,2,FALSE)=1,"N/A",IF(VLOOKUP(D216,'DESEMPATE Y DISCAPACIDAD'!D$3:$F$450,3,FALSE)="X","SI","NO"))),"")</f>
        <v>NO</v>
      </c>
      <c r="F216" s="369" t="s">
        <v>1121</v>
      </c>
      <c r="G216" s="369" t="s">
        <v>1122</v>
      </c>
      <c r="H216" s="369" t="s">
        <v>1123</v>
      </c>
      <c r="I216" s="369" t="s">
        <v>1124</v>
      </c>
      <c r="J216" s="125" t="s">
        <v>74</v>
      </c>
      <c r="K216" s="125" t="s">
        <v>75</v>
      </c>
      <c r="L216" s="125" t="s">
        <v>75</v>
      </c>
      <c r="M216" s="125" t="s">
        <v>74</v>
      </c>
      <c r="N216" s="125" t="str">
        <f t="shared" si="196"/>
        <v>NO</v>
      </c>
      <c r="O216" s="125" t="str">
        <f>IFERROR(IF(OR(J216="",L216=""),"",IF(J216="NO","NO",L216)),"")</f>
        <v>NO</v>
      </c>
      <c r="P216" s="125" t="str">
        <f t="shared" si="197"/>
        <v>SI</v>
      </c>
      <c r="Q216" s="125" t="str">
        <f t="shared" si="184"/>
        <v>SI</v>
      </c>
      <c r="R216" s="263">
        <v>0.31</v>
      </c>
      <c r="S216" s="374">
        <v>37827</v>
      </c>
      <c r="T216" s="374">
        <v>40816</v>
      </c>
      <c r="U216" s="3">
        <f t="shared" si="198"/>
        <v>2011</v>
      </c>
      <c r="V216" s="21">
        <f>IF(U216=2023,1160000,IFERROR(INDEX([1]SMMLV!$B$2:$B$101,MATCH(U216,[1]SMMLV!$A$2:$A$101,0)),""))</f>
        <v>535600</v>
      </c>
      <c r="W216" s="21" t="s">
        <v>670</v>
      </c>
      <c r="X216" s="3" t="s">
        <v>671</v>
      </c>
      <c r="Y216" s="375">
        <v>53</v>
      </c>
      <c r="Z216" s="477" t="s">
        <v>74</v>
      </c>
      <c r="AA216" s="478"/>
      <c r="AB216" s="479"/>
      <c r="AC216" s="3" t="str">
        <f t="shared" si="199"/>
        <v>SI</v>
      </c>
      <c r="AD216" s="21" t="str">
        <f t="shared" si="185"/>
        <v>N/A</v>
      </c>
      <c r="AE216" s="21">
        <v>112199.91</v>
      </c>
      <c r="AF216" s="21">
        <f t="shared" si="174"/>
        <v>34781.972099999999</v>
      </c>
      <c r="AG216" s="470"/>
      <c r="AH216" s="470"/>
      <c r="AI216" s="125" t="str">
        <f t="shared" si="175"/>
        <v>CUMPLE</v>
      </c>
      <c r="AJ216" s="470"/>
      <c r="AK216" s="470"/>
      <c r="AL216" s="472"/>
      <c r="AM216" s="496"/>
      <c r="AN216" s="125" t="s">
        <v>75</v>
      </c>
      <c r="AO216" s="490"/>
      <c r="AP216" s="125" t="s">
        <v>74</v>
      </c>
      <c r="AQ216" s="490"/>
      <c r="AR216" s="522"/>
      <c r="AS216" s="519"/>
      <c r="AT216" s="204"/>
      <c r="AU216" s="643"/>
      <c r="AV216" s="631"/>
      <c r="AW216" s="634"/>
      <c r="AX216" s="634"/>
      <c r="AY216" s="19"/>
      <c r="CB216" s="29" t="str">
        <f>IFERROR(IF(COUNTIF(AF213:AF222,"")=10,"",IF(COUNTIF(E213:E222,"N/A")&gt;0,IF(AF216&gt;=CMEMM1,AF216,0),"N/A")),"")</f>
        <v>N/A</v>
      </c>
      <c r="CC216" s="4"/>
      <c r="CD216" s="4">
        <f>IFERROR(IF(COUNTIF(AF213:AF222,"")=10,"",IF(AF216="","",IF(AF216&gt;=CMEMM1,1,0))),"")</f>
        <v>1</v>
      </c>
      <c r="CE216" s="4" t="str">
        <f>B213&amp;"-0"&amp;4</f>
        <v>P22-04</v>
      </c>
      <c r="CF216" s="4">
        <f>IFERROR(INDEX('DESEMPATE Y DISCAPACIDAD'!$D$3:$D$450,MATCH(CE216,'DESEMPATE Y DISCAPACIDAD'!$C$3:$C$450,0)),"")</f>
        <v>0</v>
      </c>
      <c r="CG216" s="4">
        <f>IF(OR(CE216="",CF216=""),"",SUMIF(D213:D222,CF216,CD213:CD222))</f>
        <v>0</v>
      </c>
      <c r="CH216" s="4" t="str">
        <f t="shared" si="149"/>
        <v>NO CUMPLE</v>
      </c>
      <c r="CI216" s="4">
        <f t="shared" si="200"/>
        <v>0</v>
      </c>
      <c r="CJ216" s="4"/>
      <c r="CK216" s="4"/>
      <c r="CL216" s="4">
        <f t="shared" si="182"/>
        <v>0</v>
      </c>
      <c r="CM216" s="4">
        <f t="shared" si="183"/>
        <v>0</v>
      </c>
      <c r="CN216" s="4" t="str">
        <f t="shared" si="201"/>
        <v>N/A</v>
      </c>
      <c r="CO216" s="4"/>
      <c r="CP216" s="4"/>
      <c r="CQ216" s="29" t="str">
        <f t="shared" si="164"/>
        <v>N/A</v>
      </c>
      <c r="CR216" s="29">
        <f t="shared" si="188"/>
        <v>34781.972099999999</v>
      </c>
      <c r="CS216" s="4"/>
    </row>
    <row r="217" spans="1:97" ht="45" customHeight="1">
      <c r="B217" s="481"/>
      <c r="C217" s="118" t="s">
        <v>355</v>
      </c>
      <c r="D217" s="126" t="str">
        <f>+IFERROR(INDEX('DESEMPATE Y DISCAPACIDAD'!$D$3:$D$450,MATCH(C217,'DESEMPATE Y DISCAPACIDAD'!$C$3:$C$450,0)),"")</f>
        <v>META ENGINEERING S.A.</v>
      </c>
      <c r="E217" s="127" t="str">
        <f>IFERROR(IF(D217="","",IF(VLOOKUP(D217,'DESEMPATE Y DISCAPACIDAD'!D$3:$E$450,2,FALSE)=1,"N/A",IF(VLOOKUP(D217,'DESEMPATE Y DISCAPACIDAD'!D$3:$F$450,3,FALSE)="X","SI","NO"))),"")</f>
        <v>NO</v>
      </c>
      <c r="F217" s="369" t="s">
        <v>1121</v>
      </c>
      <c r="G217" s="369" t="s">
        <v>1122</v>
      </c>
      <c r="H217" s="369" t="s">
        <v>1125</v>
      </c>
      <c r="I217" s="369" t="s">
        <v>1126</v>
      </c>
      <c r="J217" s="125" t="s">
        <v>74</v>
      </c>
      <c r="K217" s="125" t="s">
        <v>75</v>
      </c>
      <c r="L217" s="125" t="s">
        <v>75</v>
      </c>
      <c r="M217" s="125" t="s">
        <v>74</v>
      </c>
      <c r="N217" s="125" t="str">
        <f t="shared" si="196"/>
        <v>NO</v>
      </c>
      <c r="O217" s="125" t="str">
        <f t="shared" ref="O217:O222" si="202">IFERROR(IF(OR(J217="",L217=""),"",IF(J217="NO","NO",L217)),"")</f>
        <v>NO</v>
      </c>
      <c r="P217" s="125" t="str">
        <f t="shared" si="197"/>
        <v>SI</v>
      </c>
      <c r="Q217" s="125" t="str">
        <f t="shared" si="184"/>
        <v>SI</v>
      </c>
      <c r="R217" s="263">
        <v>0.25</v>
      </c>
      <c r="S217" s="264">
        <v>37833</v>
      </c>
      <c r="T217" s="264">
        <v>40816</v>
      </c>
      <c r="U217" s="125">
        <f t="shared" si="198"/>
        <v>2011</v>
      </c>
      <c r="V217" s="117">
        <f>IF(U217=2023,1160000,IFERROR(INDEX([1]SMMLV!$B$2:$B$101,MATCH(U217,[1]SMMLV!$A$2:$A$101,0)),""))</f>
        <v>535600</v>
      </c>
      <c r="W217" s="117" t="s">
        <v>670</v>
      </c>
      <c r="X217" s="125" t="s">
        <v>671</v>
      </c>
      <c r="Y217" s="276">
        <v>33</v>
      </c>
      <c r="Z217" s="474" t="s">
        <v>74</v>
      </c>
      <c r="AA217" s="475"/>
      <c r="AB217" s="476"/>
      <c r="AC217" s="125" t="str">
        <f t="shared" si="199"/>
        <v>SI</v>
      </c>
      <c r="AD217" s="117" t="str">
        <f t="shared" si="185"/>
        <v>N/A</v>
      </c>
      <c r="AE217" s="117">
        <v>62498.63</v>
      </c>
      <c r="AF217" s="117">
        <f t="shared" si="174"/>
        <v>15624.657499999999</v>
      </c>
      <c r="AG217" s="470"/>
      <c r="AH217" s="470"/>
      <c r="AI217" s="125" t="str">
        <f t="shared" si="175"/>
        <v>CUMPLE</v>
      </c>
      <c r="AJ217" s="470"/>
      <c r="AK217" s="470"/>
      <c r="AL217" s="472"/>
      <c r="AM217" s="496"/>
      <c r="AN217" s="125" t="s">
        <v>75</v>
      </c>
      <c r="AO217" s="490"/>
      <c r="AP217" s="125" t="s">
        <v>74</v>
      </c>
      <c r="AQ217" s="490"/>
      <c r="AR217" s="522"/>
      <c r="AS217" s="519"/>
      <c r="AT217" s="204"/>
      <c r="AU217" s="643"/>
      <c r="AV217" s="631"/>
      <c r="AW217" s="634"/>
      <c r="AX217" s="634"/>
      <c r="AY217" s="19"/>
      <c r="CB217" s="29" t="str">
        <f>IFERROR(IF(COUNTIF(AF213:AF222,"")=10,"",IF(COUNTIF(E213:E222,"N/A")&gt;0,IF(AF217&gt;=CMEMM1,AF217,0),"N/A")),"")</f>
        <v>N/A</v>
      </c>
      <c r="CC217" s="4"/>
      <c r="CD217" s="4">
        <f>IFERROR(IF(COUNTIF(AF213:AF222,"")=10,"",IF(AF217="","",IF(AF217&gt;=CMEMM1,1,0))),"")</f>
        <v>1</v>
      </c>
      <c r="CE217" s="4" t="str">
        <f>B213&amp;"-0"&amp;5</f>
        <v>P22-05</v>
      </c>
      <c r="CF217" s="4">
        <f>IFERROR(INDEX('DESEMPATE Y DISCAPACIDAD'!$D$3:$D$450,MATCH(CE217,'DESEMPATE Y DISCAPACIDAD'!$C$3:$C$450,0)),"")</f>
        <v>0</v>
      </c>
      <c r="CG217" s="4">
        <f>IF(OR(CE217="",CF217=""),"",SUMIF(D213:D222,CF217,CD213:CD222))</f>
        <v>0</v>
      </c>
      <c r="CH217" s="4" t="str">
        <f t="shared" si="149"/>
        <v>NO CUMPLE</v>
      </c>
      <c r="CI217" s="4">
        <f t="shared" si="200"/>
        <v>0</v>
      </c>
      <c r="CJ217" s="4"/>
      <c r="CK217" s="4"/>
      <c r="CL217" s="4">
        <f t="shared" si="182"/>
        <v>0</v>
      </c>
      <c r="CM217" s="4">
        <f t="shared" si="183"/>
        <v>0</v>
      </c>
      <c r="CN217" s="4" t="str">
        <f t="shared" si="201"/>
        <v>N/A</v>
      </c>
      <c r="CO217" s="4"/>
      <c r="CP217" s="4"/>
      <c r="CQ217" s="29" t="str">
        <f t="shared" si="164"/>
        <v>N/A</v>
      </c>
      <c r="CR217" s="29">
        <f t="shared" si="188"/>
        <v>15624.657499999999</v>
      </c>
      <c r="CS217" s="4"/>
    </row>
    <row r="218" spans="1:97" ht="45" customHeight="1">
      <c r="B218" s="481"/>
      <c r="C218" s="118" t="s">
        <v>261</v>
      </c>
      <c r="D218" s="126" t="str">
        <f>+IFERROR(INDEX('DESEMPATE Y DISCAPACIDAD'!$D$3:$D$450,MATCH(C218,'DESEMPATE Y DISCAPACIDAD'!$C$3:$C$450,0)),"")</f>
        <v>PROCONSULTING S.A.S.</v>
      </c>
      <c r="E218" s="127" t="str">
        <f>IFERROR(IF(D218="","",IF(VLOOKUP(D218,'DESEMPATE Y DISCAPACIDAD'!D$3:$E$450,2,FALSE)=1,"N/A",IF(VLOOKUP(D218,'DESEMPATE Y DISCAPACIDAD'!D$3:$F$450,3,FALSE)="X","SI","NO"))),"")</f>
        <v>NO</v>
      </c>
      <c r="F218" s="252" t="s">
        <v>1127</v>
      </c>
      <c r="G218" s="252" t="s">
        <v>660</v>
      </c>
      <c r="H218" s="252" t="s">
        <v>1128</v>
      </c>
      <c r="I218" s="252" t="s">
        <v>1129</v>
      </c>
      <c r="J218" s="125" t="s">
        <v>74</v>
      </c>
      <c r="K218" s="125" t="s">
        <v>74</v>
      </c>
      <c r="L218" s="125" t="s">
        <v>75</v>
      </c>
      <c r="M218" s="125" t="s">
        <v>74</v>
      </c>
      <c r="N218" s="125" t="str">
        <f t="shared" si="196"/>
        <v>SI</v>
      </c>
      <c r="O218" s="125" t="str">
        <f t="shared" si="202"/>
        <v>NO</v>
      </c>
      <c r="P218" s="125" t="str">
        <f t="shared" si="197"/>
        <v>SI</v>
      </c>
      <c r="Q218" s="125" t="str">
        <f t="shared" si="184"/>
        <v>SI</v>
      </c>
      <c r="R218" s="263">
        <v>0.5</v>
      </c>
      <c r="S218" s="264">
        <v>39004</v>
      </c>
      <c r="T218" s="264">
        <v>39667</v>
      </c>
      <c r="U218" s="125">
        <f t="shared" si="198"/>
        <v>2008</v>
      </c>
      <c r="V218" s="117">
        <f>IF(U218=2023,1160000,IFERROR(INDEX([1]SMMLV!$B$2:$B$101,MATCH(U218,[1]SMMLV!$A$2:$A$101,0)),""))</f>
        <v>461500</v>
      </c>
      <c r="W218" s="117" t="s">
        <v>670</v>
      </c>
      <c r="X218" s="125" t="s">
        <v>671</v>
      </c>
      <c r="Y218" s="276">
        <v>12</v>
      </c>
      <c r="Z218" s="474" t="s">
        <v>74</v>
      </c>
      <c r="AA218" s="475"/>
      <c r="AB218" s="476"/>
      <c r="AC218" s="125" t="str">
        <f t="shared" si="199"/>
        <v>SI</v>
      </c>
      <c r="AD218" s="117" t="str">
        <f t="shared" si="185"/>
        <v>N/A</v>
      </c>
      <c r="AE218" s="117">
        <v>8338.1299999999992</v>
      </c>
      <c r="AF218" s="117">
        <f t="shared" si="174"/>
        <v>4169.0649999999996</v>
      </c>
      <c r="AG218" s="470"/>
      <c r="AH218" s="470"/>
      <c r="AI218" s="125" t="str">
        <f t="shared" si="175"/>
        <v>CUMPLE</v>
      </c>
      <c r="AJ218" s="470"/>
      <c r="AK218" s="470"/>
      <c r="AL218" s="472"/>
      <c r="AM218" s="496"/>
      <c r="AN218" s="125" t="s">
        <v>75</v>
      </c>
      <c r="AO218" s="490"/>
      <c r="AP218" s="125" t="s">
        <v>74</v>
      </c>
      <c r="AQ218" s="490"/>
      <c r="AR218" s="522"/>
      <c r="AS218" s="519"/>
      <c r="AT218" s="204"/>
      <c r="AU218" s="643"/>
      <c r="AV218" s="631"/>
      <c r="AW218" s="634"/>
      <c r="AX218" s="634"/>
      <c r="AY218" s="19"/>
      <c r="CB218" s="29" t="str">
        <f>IFERROR(IF(COUNTIF(AF213:AF222,"")=10,"",IF(COUNTIF(E213:E222,"N/A")&gt;0,IF(AF218&gt;=CMEMM1,AF218,0),"N/A")),"")</f>
        <v>N/A</v>
      </c>
      <c r="CC218" s="4"/>
      <c r="CD218" s="4">
        <f>IFERROR(IF(COUNTIF(AF213:AF222,"")=10,"",IF(AF218="","",IF(AF218&gt;=CMEMM1,1,0))),"")</f>
        <v>1</v>
      </c>
      <c r="CE218" s="4" t="str">
        <f>B213&amp;"-0"&amp;6</f>
        <v>P22-06</v>
      </c>
      <c r="CF218" s="4">
        <f>IFERROR(INDEX('DESEMPATE Y DISCAPACIDAD'!$D$3:$D$450,MATCH(CE218,'DESEMPATE Y DISCAPACIDAD'!$C$3:$C$450,0)),"")</f>
        <v>0</v>
      </c>
      <c r="CG218" s="4">
        <f>IF(OR(CE218="",CF218=""),"",SUMIF(D213:D222,CF218,CD213:CD222))</f>
        <v>0</v>
      </c>
      <c r="CH218" s="4" t="str">
        <f t="shared" si="149"/>
        <v>NO CUMPLE</v>
      </c>
      <c r="CI218" s="4">
        <f t="shared" si="200"/>
        <v>0</v>
      </c>
      <c r="CJ218" s="4"/>
      <c r="CK218" s="4"/>
      <c r="CL218" s="4">
        <f t="shared" si="182"/>
        <v>1</v>
      </c>
      <c r="CM218" s="4">
        <f t="shared" si="183"/>
        <v>0</v>
      </c>
      <c r="CN218" s="4" t="str">
        <f t="shared" si="201"/>
        <v>COND. A</v>
      </c>
      <c r="CO218" s="4"/>
      <c r="CP218" s="4"/>
      <c r="CQ218" s="29" t="str">
        <f t="shared" si="164"/>
        <v>N/A</v>
      </c>
      <c r="CR218" s="29">
        <f t="shared" si="188"/>
        <v>4169.0649999999996</v>
      </c>
      <c r="CS218" s="4"/>
    </row>
    <row r="219" spans="1:97" ht="45" customHeight="1">
      <c r="B219" s="481"/>
      <c r="C219" s="118" t="s">
        <v>261</v>
      </c>
      <c r="D219" s="126" t="str">
        <f>+IFERROR(INDEX('DESEMPATE Y DISCAPACIDAD'!$D$3:$D$450,MATCH(C219,'DESEMPATE Y DISCAPACIDAD'!$C$3:$C$450,0)),"")</f>
        <v>PROCONSULTING S.A.S.</v>
      </c>
      <c r="E219" s="127" t="str">
        <f>IFERROR(IF(D219="","",IF(VLOOKUP(D219,'DESEMPATE Y DISCAPACIDAD'!D$3:$E$450,2,FALSE)=1,"N/A",IF(VLOOKUP(D219,'DESEMPATE Y DISCAPACIDAD'!D$3:$F$450,3,FALSE)="X","SI","NO"))),"")</f>
        <v>NO</v>
      </c>
      <c r="F219" s="252" t="s">
        <v>1130</v>
      </c>
      <c r="G219" s="252" t="s">
        <v>660</v>
      </c>
      <c r="H219" s="252" t="s">
        <v>1131</v>
      </c>
      <c r="I219" s="252" t="s">
        <v>1132</v>
      </c>
      <c r="J219" s="125" t="s">
        <v>74</v>
      </c>
      <c r="K219" s="125" t="s">
        <v>74</v>
      </c>
      <c r="L219" s="125" t="s">
        <v>75</v>
      </c>
      <c r="M219" s="125" t="s">
        <v>74</v>
      </c>
      <c r="N219" s="125" t="str">
        <f t="shared" si="196"/>
        <v>SI</v>
      </c>
      <c r="O219" s="125" t="str">
        <f t="shared" si="202"/>
        <v>NO</v>
      </c>
      <c r="P219" s="125" t="str">
        <f t="shared" si="197"/>
        <v>SI</v>
      </c>
      <c r="Q219" s="125" t="str">
        <f t="shared" si="184"/>
        <v>SI</v>
      </c>
      <c r="R219" s="263">
        <v>1</v>
      </c>
      <c r="S219" s="264">
        <v>40914</v>
      </c>
      <c r="T219" s="264">
        <v>41459</v>
      </c>
      <c r="U219" s="125">
        <f t="shared" si="198"/>
        <v>2013</v>
      </c>
      <c r="V219" s="117">
        <f>IF(U219=2023,1160000,IFERROR(INDEX([1]SMMLV!$B$2:$B$101,MATCH(U219,[1]SMMLV!$A$2:$A$101,0)),""))</f>
        <v>589500</v>
      </c>
      <c r="W219" s="117" t="s">
        <v>670</v>
      </c>
      <c r="X219" s="125" t="s">
        <v>671</v>
      </c>
      <c r="Y219" s="276">
        <v>19</v>
      </c>
      <c r="Z219" s="474" t="s">
        <v>74</v>
      </c>
      <c r="AA219" s="475"/>
      <c r="AB219" s="476"/>
      <c r="AC219" s="125" t="str">
        <f t="shared" si="199"/>
        <v>SI</v>
      </c>
      <c r="AD219" s="117" t="str">
        <f t="shared" si="185"/>
        <v>N/A</v>
      </c>
      <c r="AE219" s="117">
        <v>3067.77</v>
      </c>
      <c r="AF219" s="117">
        <f t="shared" si="174"/>
        <v>3067.77</v>
      </c>
      <c r="AG219" s="470"/>
      <c r="AH219" s="470"/>
      <c r="AI219" s="125" t="str">
        <f t="shared" si="175"/>
        <v>NO CUMPLE</v>
      </c>
      <c r="AJ219" s="470"/>
      <c r="AK219" s="470"/>
      <c r="AL219" s="472"/>
      <c r="AM219" s="496"/>
      <c r="AN219" s="125" t="s">
        <v>75</v>
      </c>
      <c r="AO219" s="490"/>
      <c r="AP219" s="125" t="s">
        <v>74</v>
      </c>
      <c r="AQ219" s="490"/>
      <c r="AR219" s="522"/>
      <c r="AS219" s="519"/>
      <c r="AT219" s="204"/>
      <c r="AU219" s="643"/>
      <c r="AV219" s="631"/>
      <c r="AW219" s="634"/>
      <c r="AX219" s="634"/>
      <c r="AY219" s="19"/>
      <c r="CB219" s="29" t="str">
        <f>IFERROR(IF(COUNTIF(AF213:AF222,"")=10,"",IF(COUNTIF(E213:E222,"N/A")&gt;0,IF(AF219&gt;=CMEMM1,AF219,0),"N/A")),"")</f>
        <v>N/A</v>
      </c>
      <c r="CC219" s="4"/>
      <c r="CD219" s="4">
        <f>IFERROR(IF(COUNTIF(AF213:AF222,"")=10,"",IF(AF219="","",IF(AF219&gt;=CMEMM1,1,0))),"")</f>
        <v>0</v>
      </c>
      <c r="CE219" s="4" t="str">
        <f>B213&amp;"-0"&amp;7</f>
        <v>P22-07</v>
      </c>
      <c r="CF219" s="4" t="str">
        <f>IFERROR(INDEX('DESEMPATE Y DISCAPACIDAD'!$D$3:$D$450,MATCH(CE219,'DESEMPATE Y DISCAPACIDAD'!$C$3:$C$450,0)),"")</f>
        <v/>
      </c>
      <c r="CG219" s="4" t="str">
        <f>IF(OR(CE219="",CF219=""),"",SUMIF(D213:D222,CF219,CD213:CD222))</f>
        <v/>
      </c>
      <c r="CH219" s="4" t="str">
        <f t="shared" si="149"/>
        <v/>
      </c>
      <c r="CI219" s="4" t="str">
        <f t="shared" si="200"/>
        <v/>
      </c>
      <c r="CJ219" s="4"/>
      <c r="CK219" s="4"/>
      <c r="CL219" s="4">
        <f t="shared" si="182"/>
        <v>1</v>
      </c>
      <c r="CM219" s="4">
        <f t="shared" si="183"/>
        <v>0</v>
      </c>
      <c r="CN219" s="4" t="str">
        <f t="shared" si="201"/>
        <v>COND. A</v>
      </c>
      <c r="CO219" s="4"/>
      <c r="CP219" s="4"/>
      <c r="CQ219" s="29" t="str">
        <f t="shared" si="164"/>
        <v>N/A</v>
      </c>
      <c r="CR219" s="29">
        <f t="shared" si="188"/>
        <v>3067.77</v>
      </c>
      <c r="CS219" s="4"/>
    </row>
    <row r="220" spans="1:97" ht="2" customHeight="1">
      <c r="B220" s="481"/>
      <c r="C220" s="118"/>
      <c r="D220" s="126" t="str">
        <f>+IFERROR(INDEX('DESEMPATE Y DISCAPACIDAD'!$D$3:$D$450,MATCH(C220,'DESEMPATE Y DISCAPACIDAD'!$C$3:$C$450,0)),"")</f>
        <v/>
      </c>
      <c r="E220" s="127" t="str">
        <f>IFERROR(IF(D220="","",IF(VLOOKUP(D220,'DESEMPATE Y DISCAPACIDAD'!D$3:$E$450,2,FALSE)=1,"N/A",IF(VLOOKUP(D220,'DESEMPATE Y DISCAPACIDAD'!D$3:$F$450,3,FALSE)="X","SI","NO"))),"")</f>
        <v/>
      </c>
      <c r="F220" s="125"/>
      <c r="G220" s="125"/>
      <c r="H220" s="125"/>
      <c r="I220" s="128"/>
      <c r="J220" s="125"/>
      <c r="K220" s="125"/>
      <c r="L220" s="125"/>
      <c r="M220" s="125"/>
      <c r="N220" s="125" t="str">
        <f t="shared" si="196"/>
        <v/>
      </c>
      <c r="O220" s="125" t="str">
        <f t="shared" si="202"/>
        <v/>
      </c>
      <c r="P220" s="125" t="str">
        <f t="shared" si="197"/>
        <v/>
      </c>
      <c r="Q220" s="125" t="str">
        <f t="shared" si="184"/>
        <v/>
      </c>
      <c r="R220" s="68"/>
      <c r="S220" s="129"/>
      <c r="T220" s="129"/>
      <c r="U220" s="125" t="str">
        <f t="shared" si="198"/>
        <v/>
      </c>
      <c r="V220" s="117" t="str">
        <f>IF(U220=2023,1160000,IFERROR(INDEX([1]SMMLV!$B$2:$B$101,MATCH(U220,[1]SMMLV!$A$2:$A$101,0)),""))</f>
        <v/>
      </c>
      <c r="W220" s="117"/>
      <c r="X220" s="125"/>
      <c r="Y220" s="125"/>
      <c r="Z220" s="474"/>
      <c r="AA220" s="475"/>
      <c r="AB220" s="476"/>
      <c r="AC220" s="125" t="str">
        <f t="shared" si="199"/>
        <v/>
      </c>
      <c r="AD220" s="117" t="str">
        <f t="shared" si="185"/>
        <v/>
      </c>
      <c r="AE220" s="117" t="str">
        <f t="shared" si="187"/>
        <v/>
      </c>
      <c r="AF220" s="117" t="str">
        <f t="shared" si="174"/>
        <v/>
      </c>
      <c r="AG220" s="470"/>
      <c r="AH220" s="470"/>
      <c r="AI220" s="125" t="str">
        <f t="shared" si="175"/>
        <v/>
      </c>
      <c r="AJ220" s="470"/>
      <c r="AK220" s="470"/>
      <c r="AL220" s="472"/>
      <c r="AM220" s="496"/>
      <c r="AN220" s="125"/>
      <c r="AO220" s="490"/>
      <c r="AP220" s="125"/>
      <c r="AQ220" s="490"/>
      <c r="AR220" s="522"/>
      <c r="AS220" s="519"/>
      <c r="AT220" s="204"/>
      <c r="AU220" s="278" t="s">
        <v>1341</v>
      </c>
      <c r="AV220" s="631"/>
      <c r="AW220" s="634"/>
      <c r="AX220" s="634"/>
      <c r="AY220" s="19"/>
      <c r="CB220" s="29" t="str">
        <f>IFERROR(IF(COUNTIF(AF213:AF222,"")=10,"",IF(COUNTIF(E213:E222,"N/A")&gt;0,IF(AF220&gt;=CMEMM1,AF220,0),"N/A")),"")</f>
        <v>N/A</v>
      </c>
      <c r="CC220" s="4"/>
      <c r="CD220" s="4" t="str">
        <f>IFERROR(IF(COUNTIF(AF213:AF222,"")=10,"",IF(AF220="","",IF(AF220&gt;=CMEMM1,1,0))),"")</f>
        <v/>
      </c>
      <c r="CE220" s="4" t="str">
        <f>B213&amp;"-0"&amp;8</f>
        <v>P22-08</v>
      </c>
      <c r="CF220" s="4" t="str">
        <f>IFERROR(INDEX('DESEMPATE Y DISCAPACIDAD'!$D$3:$D$450,MATCH(CE220,'DESEMPATE Y DISCAPACIDAD'!$C$3:$C$450,0)),"")</f>
        <v/>
      </c>
      <c r="CG220" s="4" t="str">
        <f>IF(OR(CE220="",CF220=""),"",SUMIF(D213:D222,CF220,CD213:CD222))</f>
        <v/>
      </c>
      <c r="CH220" s="4" t="str">
        <f t="shared" si="149"/>
        <v/>
      </c>
      <c r="CI220" s="4" t="str">
        <f t="shared" si="200"/>
        <v/>
      </c>
      <c r="CJ220" s="4"/>
      <c r="CK220" s="4"/>
      <c r="CL220" s="4" t="str">
        <f t="shared" si="182"/>
        <v/>
      </c>
      <c r="CM220" s="4" t="str">
        <f t="shared" si="183"/>
        <v/>
      </c>
      <c r="CN220" s="4" t="str">
        <f t="shared" si="201"/>
        <v/>
      </c>
      <c r="CO220" s="4"/>
      <c r="CP220" s="4"/>
      <c r="CQ220" s="29" t="str">
        <f t="shared" si="164"/>
        <v/>
      </c>
      <c r="CR220" s="29" t="str">
        <f t="shared" si="188"/>
        <v/>
      </c>
      <c r="CS220" s="4"/>
    </row>
    <row r="221" spans="1:97" ht="2" customHeight="1">
      <c r="B221" s="481"/>
      <c r="C221" s="118"/>
      <c r="D221" s="126" t="str">
        <f>+IFERROR(INDEX('DESEMPATE Y DISCAPACIDAD'!$D$3:$D$450,MATCH(C221,'DESEMPATE Y DISCAPACIDAD'!$C$3:$C$450,0)),"")</f>
        <v/>
      </c>
      <c r="E221" s="127" t="str">
        <f>IFERROR(IF(D221="","",IF(VLOOKUP(D221,'DESEMPATE Y DISCAPACIDAD'!D$3:$E$450,2,FALSE)=1,"N/A",IF(VLOOKUP(D221,'DESEMPATE Y DISCAPACIDAD'!D$3:$F$450,3,FALSE)="X","SI","NO"))),"")</f>
        <v/>
      </c>
      <c r="F221" s="125"/>
      <c r="G221" s="125"/>
      <c r="H221" s="125"/>
      <c r="I221" s="128"/>
      <c r="J221" s="125"/>
      <c r="K221" s="125"/>
      <c r="L221" s="125"/>
      <c r="M221" s="125"/>
      <c r="N221" s="125" t="str">
        <f t="shared" si="196"/>
        <v/>
      </c>
      <c r="O221" s="125" t="str">
        <f t="shared" si="202"/>
        <v/>
      </c>
      <c r="P221" s="125" t="str">
        <f t="shared" si="197"/>
        <v/>
      </c>
      <c r="Q221" s="125" t="str">
        <f t="shared" si="184"/>
        <v/>
      </c>
      <c r="R221" s="68"/>
      <c r="S221" s="129"/>
      <c r="T221" s="129"/>
      <c r="U221" s="125" t="str">
        <f t="shared" si="198"/>
        <v/>
      </c>
      <c r="V221" s="117" t="str">
        <f>IF(U221=2023,1160000,IFERROR(INDEX([1]SMMLV!$B$2:$B$101,MATCH(U221,[1]SMMLV!$A$2:$A$101,0)),""))</f>
        <v/>
      </c>
      <c r="W221" s="117"/>
      <c r="X221" s="125"/>
      <c r="Y221" s="125"/>
      <c r="Z221" s="474"/>
      <c r="AA221" s="475"/>
      <c r="AB221" s="476"/>
      <c r="AC221" s="125" t="str">
        <f t="shared" si="199"/>
        <v/>
      </c>
      <c r="AD221" s="117" t="str">
        <f t="shared" si="185"/>
        <v/>
      </c>
      <c r="AE221" s="117" t="str">
        <f t="shared" si="187"/>
        <v/>
      </c>
      <c r="AF221" s="117" t="str">
        <f t="shared" si="174"/>
        <v/>
      </c>
      <c r="AG221" s="470"/>
      <c r="AH221" s="470"/>
      <c r="AI221" s="125" t="str">
        <f t="shared" si="175"/>
        <v/>
      </c>
      <c r="AJ221" s="470"/>
      <c r="AK221" s="470"/>
      <c r="AL221" s="472"/>
      <c r="AM221" s="496"/>
      <c r="AN221" s="125"/>
      <c r="AO221" s="490"/>
      <c r="AP221" s="125"/>
      <c r="AQ221" s="490"/>
      <c r="AR221" s="522"/>
      <c r="AS221" s="519"/>
      <c r="AT221" s="204"/>
      <c r="AU221" s="278" t="s">
        <v>1342</v>
      </c>
      <c r="AV221" s="631"/>
      <c r="AW221" s="634"/>
      <c r="AX221" s="634"/>
      <c r="AY221" s="19"/>
      <c r="CB221" s="29" t="str">
        <f>IFERROR(IF(COUNTIF(AF213:AF222,"")=10,"",IF(COUNTIF(E213:E222,"N/A")&gt;0,IF(AF221&gt;=CMEMM1,AF221,0),"N/A")),"")</f>
        <v>N/A</v>
      </c>
      <c r="CC221" s="4"/>
      <c r="CD221" s="4" t="str">
        <f>IFERROR(IF(COUNTIF(AF213:AF222,"")=10,"",IF(AF221="","",IF(AF221&gt;=CMEMM1,1,0))),"")</f>
        <v/>
      </c>
      <c r="CE221" s="4" t="str">
        <f>B213&amp;"-0"&amp;9</f>
        <v>P22-09</v>
      </c>
      <c r="CF221" s="4" t="str">
        <f>IFERROR(INDEX('DESEMPATE Y DISCAPACIDAD'!$D$3:$D$450,MATCH(CE221,'DESEMPATE Y DISCAPACIDAD'!$C$3:$C$450,0)),"")</f>
        <v/>
      </c>
      <c r="CG221" s="4" t="str">
        <f>IF(OR(CE221="",CF221=""),"",SUMIF(D213:D222,CF221,CD213:CD222))</f>
        <v/>
      </c>
      <c r="CH221" s="4" t="str">
        <f t="shared" si="149"/>
        <v/>
      </c>
      <c r="CI221" s="4" t="str">
        <f t="shared" si="200"/>
        <v/>
      </c>
      <c r="CJ221" s="4"/>
      <c r="CK221" s="4"/>
      <c r="CL221" s="4" t="str">
        <f t="shared" si="182"/>
        <v/>
      </c>
      <c r="CM221" s="4" t="str">
        <f t="shared" si="183"/>
        <v/>
      </c>
      <c r="CN221" s="4" t="str">
        <f t="shared" si="201"/>
        <v/>
      </c>
      <c r="CO221" s="4"/>
      <c r="CP221" s="4"/>
      <c r="CQ221" s="29" t="str">
        <f t="shared" si="164"/>
        <v/>
      </c>
      <c r="CR221" s="29" t="str">
        <f t="shared" si="188"/>
        <v/>
      </c>
      <c r="CS221" s="4"/>
    </row>
    <row r="222" spans="1:97" ht="2" customHeight="1" thickBot="1">
      <c r="B222" s="482"/>
      <c r="C222" s="130"/>
      <c r="D222" s="131" t="str">
        <f>+IFERROR(INDEX('DESEMPATE Y DISCAPACIDAD'!$D$3:$D$450,MATCH(C222,'DESEMPATE Y DISCAPACIDAD'!$C$3:$C$450,0)),"")</f>
        <v/>
      </c>
      <c r="E222" s="132" t="str">
        <f>IFERROR(IF(D222="","",IF(VLOOKUP(D222,'DESEMPATE Y DISCAPACIDAD'!D$3:$E$450,2,FALSE)=1,"N/A",IF(VLOOKUP(D222,'DESEMPATE Y DISCAPACIDAD'!D$3:$F$450,3,FALSE)="X","SI","NO"))),"")</f>
        <v/>
      </c>
      <c r="F222" s="133"/>
      <c r="G222" s="133"/>
      <c r="H222" s="133"/>
      <c r="I222" s="134"/>
      <c r="J222" s="133"/>
      <c r="K222" s="133"/>
      <c r="L222" s="133"/>
      <c r="M222" s="133"/>
      <c r="N222" s="133" t="str">
        <f t="shared" si="196"/>
        <v/>
      </c>
      <c r="O222" s="133" t="str">
        <f t="shared" si="202"/>
        <v/>
      </c>
      <c r="P222" s="133" t="str">
        <f t="shared" si="197"/>
        <v/>
      </c>
      <c r="Q222" s="133" t="str">
        <f t="shared" si="184"/>
        <v/>
      </c>
      <c r="R222" s="104"/>
      <c r="S222" s="135"/>
      <c r="T222" s="135"/>
      <c r="U222" s="133" t="str">
        <f t="shared" si="198"/>
        <v/>
      </c>
      <c r="V222" s="136" t="str">
        <f>IF(U222=2023,1160000,IFERROR(INDEX([1]SMMLV!$B$2:$B$101,MATCH(U222,[1]SMMLV!$A$2:$A$101,0)),""))</f>
        <v/>
      </c>
      <c r="W222" s="136"/>
      <c r="X222" s="133"/>
      <c r="Y222" s="133"/>
      <c r="Z222" s="487"/>
      <c r="AA222" s="488"/>
      <c r="AB222" s="489"/>
      <c r="AC222" s="133" t="str">
        <f t="shared" si="199"/>
        <v/>
      </c>
      <c r="AD222" s="136" t="str">
        <f t="shared" si="185"/>
        <v/>
      </c>
      <c r="AE222" s="117" t="str">
        <f t="shared" si="187"/>
        <v/>
      </c>
      <c r="AF222" s="136" t="str">
        <f t="shared" si="174"/>
        <v/>
      </c>
      <c r="AG222" s="471"/>
      <c r="AH222" s="471"/>
      <c r="AI222" s="133" t="str">
        <f t="shared" si="175"/>
        <v/>
      </c>
      <c r="AJ222" s="471"/>
      <c r="AK222" s="471"/>
      <c r="AL222" s="473"/>
      <c r="AM222" s="497"/>
      <c r="AN222" s="133"/>
      <c r="AO222" s="491"/>
      <c r="AP222" s="133"/>
      <c r="AQ222" s="491"/>
      <c r="AR222" s="523"/>
      <c r="AS222" s="520"/>
      <c r="AT222" s="206"/>
      <c r="AU222" s="279" t="s">
        <v>1343</v>
      </c>
      <c r="AV222" s="632"/>
      <c r="AW222" s="635"/>
      <c r="AX222" s="635"/>
      <c r="AY222" s="19"/>
      <c r="CB222" s="29" t="str">
        <f>IFERROR(IF(COUNTIF(AF213:AF222,"")=10,"",IF(COUNTIF(E213:E222,"N/A")&gt;0,IF(AF222&gt;=CMEMM1,AF222,0),"N/A")),"")</f>
        <v>N/A</v>
      </c>
      <c r="CC222" s="4"/>
      <c r="CD222" s="4" t="str">
        <f>IFERROR(IF(COUNTIF(AF213:AF222,"")=10,"",IF(AF222="","",IF(AF222&gt;=CMEMM1,1,0))),"")</f>
        <v/>
      </c>
      <c r="CE222" s="4" t="str">
        <f>B213&amp;"-"&amp;10</f>
        <v>P22-10</v>
      </c>
      <c r="CF222" s="4" t="str">
        <f>IFERROR(INDEX('DESEMPATE Y DISCAPACIDAD'!$D$3:$D$450,MATCH(CE222,'DESEMPATE Y DISCAPACIDAD'!$C$3:$C$450,0)),"")</f>
        <v/>
      </c>
      <c r="CG222" s="4" t="str">
        <f>IF(OR(CE222="",CF222=""),"",SUMIF(D213:D222,CF222,CD213:CD222))</f>
        <v/>
      </c>
      <c r="CH222" s="4" t="str">
        <f t="shared" si="149"/>
        <v/>
      </c>
      <c r="CI222" s="4" t="str">
        <f t="shared" si="200"/>
        <v/>
      </c>
      <c r="CJ222" s="4"/>
      <c r="CK222" s="4"/>
      <c r="CL222" s="4" t="str">
        <f t="shared" si="182"/>
        <v/>
      </c>
      <c r="CM222" s="4" t="str">
        <f t="shared" si="183"/>
        <v/>
      </c>
      <c r="CN222" s="4" t="str">
        <f t="shared" si="201"/>
        <v/>
      </c>
      <c r="CO222" s="4"/>
      <c r="CP222" s="4"/>
      <c r="CQ222" s="29" t="str">
        <f t="shared" si="164"/>
        <v/>
      </c>
      <c r="CR222" s="29" t="str">
        <f t="shared" si="188"/>
        <v/>
      </c>
      <c r="CS222" s="4"/>
    </row>
    <row r="223" spans="1:97" ht="45" customHeight="1">
      <c r="A223" s="4" t="str">
        <f>"A"&amp;B223</f>
        <v>AP23</v>
      </c>
      <c r="B223" s="480" t="s">
        <v>284</v>
      </c>
      <c r="C223" s="108" t="s">
        <v>356</v>
      </c>
      <c r="D223" s="119" t="str">
        <f>+IFERROR(INDEX('DESEMPATE Y DISCAPACIDAD'!$D$3:$D$450,MATCH(C223,'DESEMPATE Y DISCAPACIDAD'!$C$3:$C$450,0)),"")</f>
        <v>PROYECTOS CONSTRUCCIONES CIVILES Y VIALES S.A.S. – PIV INGENIERÍA S.A.S.</v>
      </c>
      <c r="E223" s="120" t="str">
        <f>IFERROR(IF(D223="","",IF(VLOOKUP(D223,'DESEMPATE Y DISCAPACIDAD'!D$3:$E$450,2,FALSE)=1,"N/A",IF(VLOOKUP(D223,'DESEMPATE Y DISCAPACIDAD'!D$3:$F$450,3,FALSE)="X","SI","NO"))),"")</f>
        <v>NO</v>
      </c>
      <c r="F223" s="148" t="s">
        <v>741</v>
      </c>
      <c r="G223" s="214" t="s">
        <v>660</v>
      </c>
      <c r="H223" s="215" t="s">
        <v>1133</v>
      </c>
      <c r="I223" s="148" t="s">
        <v>1134</v>
      </c>
      <c r="J223" s="121" t="s">
        <v>74</v>
      </c>
      <c r="K223" s="125" t="s">
        <v>74</v>
      </c>
      <c r="L223" s="125" t="s">
        <v>75</v>
      </c>
      <c r="M223" s="125" t="s">
        <v>74</v>
      </c>
      <c r="N223" s="121" t="str">
        <f>IFERROR(IF(OR(J223="",K223=""),"",IF(J223="NO","NO",K223)),"")</f>
        <v>SI</v>
      </c>
      <c r="O223" s="121" t="str">
        <f>IFERROR(IF(OR(J223="",L223=""),"",IF(J223="NO","NO",L223)),"")</f>
        <v>NO</v>
      </c>
      <c r="P223" s="121" t="str">
        <f>IFERROR(IF(OR(J223="",M223=""),"",IF(J223="NO","NO",M223)),"")</f>
        <v>SI</v>
      </c>
      <c r="Q223" s="121" t="str">
        <f t="shared" si="184"/>
        <v>SI</v>
      </c>
      <c r="R223" s="217">
        <v>1</v>
      </c>
      <c r="S223" s="218">
        <v>32965</v>
      </c>
      <c r="T223" s="218">
        <v>35064</v>
      </c>
      <c r="U223" s="121">
        <f>IFERROR(IF(T223="","",YEAR(T223)),"")</f>
        <v>1995</v>
      </c>
      <c r="V223" s="124">
        <f>IF(U223=2023,1160000,IFERROR(INDEX([1]SMMLV!$B$2:$B$101,MATCH(U223,[1]SMMLV!$A$2:$A$101,0)),""))</f>
        <v>118933.5</v>
      </c>
      <c r="W223" s="124" t="s">
        <v>670</v>
      </c>
      <c r="X223" s="121" t="s">
        <v>671</v>
      </c>
      <c r="Y223" s="214">
        <v>131</v>
      </c>
      <c r="Z223" s="483" t="s">
        <v>74</v>
      </c>
      <c r="AA223" s="484"/>
      <c r="AB223" s="485"/>
      <c r="AC223" s="121" t="str">
        <f>IFERROR(IF(Y223="","",IF(ISNUMBER(Y223),IF(COUNTIF(Z223,"SI")&gt;0,"SI","NO"),Y223)),"")</f>
        <v>SI</v>
      </c>
      <c r="AD223" s="124" t="str">
        <f t="shared" si="185"/>
        <v>N/A</v>
      </c>
      <c r="AE223" s="117">
        <v>6932.14</v>
      </c>
      <c r="AF223" s="124">
        <f t="shared" si="174"/>
        <v>6932.14</v>
      </c>
      <c r="AG223" s="486" t="str">
        <f>IFERROR(IF(COUNTIF(AF223:AF232,"")=10,"",IF(COUNTIF(E223:E232,"N/A")&gt;0,IF(SUM(CB223:CB232)&gt;=CMEM1,"CUMPLE","NO CUMPLE"),IF(SUM(AF223:AF232)&gt;=CMEM1,"CUMPLE","NO CUMPLE"))),"")</f>
        <v>CUMPLE</v>
      </c>
      <c r="AH223" s="486" t="str">
        <f>IF(COUNTIF(AF223:AF232,"")=10,"",IF(SUMIF(C223:C232,C223,AF223:AF232)&gt;=CMLM1,"CUMPLE",IF(SUMIF(C223:C232,C224,AF223:AF232)&gt;=CMLM1,"CUMPLE",IF(SUMIF(C223:C232,C225,AF223:AF232)&gt;=CMLM1,"CUMPLE",IF(SUMIF(C223:C232,C226,AF223:AF232)&gt;=CMLM1,"CUMPLE",IF(SUMIF(C223:C232,C227,AF223:AF232)&gt;=CMLM1,"CUMPLE",IF(SUMIF(C223:C232,C228,AF223:AF232)&gt;=CMLM1,"CUMPLE",IF(SUMIF(C223:C232,C229,AF223:AF232)&gt;=CMLM1,"CUMPLE",IF(SUMIF(C223:C232,C230,AF223:AF232)&gt;=CMLM1,"CUMPLE",IF(SUMIF(C223:C232,C231,AF223:AF232)&gt;=CMLM1,"CUMPLE",IF(SUMIF(C223:C232,C232,AF223:AF232)&gt;=CMLM1,"CUMPLE","NO CUMPLE")))))))))))</f>
        <v>CUMPLE</v>
      </c>
      <c r="AI223" s="121" t="str">
        <f t="shared" si="175"/>
        <v>CUMPLE</v>
      </c>
      <c r="AJ223" s="469" t="str">
        <f>IFERROR(IF(COUNTIF(AF223:AF232,"")=10,"",IF(COUNTIF(E223:E232,"N/A")&gt;0,"N/A",CJ223)),"")</f>
        <v>CUMPLE</v>
      </c>
      <c r="AK223" s="469" t="str">
        <f>IFERROR(IF(AND(COUNTIF(N223:N232,"SI")&gt;=1,COUNTIF(O223:O232,"SI")&gt;=1,COUNTIF(P223:P232,"SI")&gt;=1,COUNTIF(J223:J232,"SI")&lt;=10,CO223="CUMPLE"),"CUMPLE","NO CUMPLE"),"")</f>
        <v>CUMPLE</v>
      </c>
      <c r="AL223" s="472" t="s">
        <v>77</v>
      </c>
      <c r="AM223" s="495">
        <f>IFERROR(IF(B223&lt;&gt;"",IF(VLOOKUP(B223,'DESEMPATE Y DISCAPACIDAD'!$A$3:$Q$450,10,FALSE)="","",VLOOKUP(B223,'DESEMPATE Y DISCAPACIDAD'!$A$3:$Q$450,10,FALSE)+6),""),"")</f>
        <v>8</v>
      </c>
      <c r="AN223" s="121" t="s">
        <v>75</v>
      </c>
      <c r="AO223" s="490" t="s">
        <v>74</v>
      </c>
      <c r="AP223" s="121" t="s">
        <v>74</v>
      </c>
      <c r="AQ223" s="490">
        <f>IFERROR(IF(COUNTIF(AP223:AP232,"")=10,"",IF(AO223="NO",0,COUNTIF(AP223:AP232,"SI"))),"")</f>
        <v>5</v>
      </c>
      <c r="AR223" s="521">
        <f>IFERROR(IF(COUNTIF(AF223:AF232,"")=10,"",IF(AO223="NO",0,IF(COUNTIF(E223:E232,"N/A")&gt;0,SUM(CQ223:CQ232),SUM(CR223:CR232)))),"")</f>
        <v>56015.9277</v>
      </c>
      <c r="AS223" s="518">
        <f>IFERROR(IF(OR(COUNTIF(AF223:AF232,"")=10,AQ223="",AR223=""),"",IF(AO223="NO",0,AR223/AQ223)),"")</f>
        <v>11203.18554</v>
      </c>
      <c r="AT223" s="207"/>
      <c r="AU223" s="639" t="s">
        <v>1180</v>
      </c>
      <c r="AV223" s="642" t="s">
        <v>1357</v>
      </c>
      <c r="AW223" s="633" t="s">
        <v>1357</v>
      </c>
      <c r="AX223" s="633" t="s">
        <v>1357</v>
      </c>
      <c r="AY223" s="19"/>
      <c r="CB223" s="29" t="str">
        <f>IFERROR(IF(COUNTIF(AF223:AF232,"")=10,"",IF(COUNTIF(E223:E232,"N/A")&gt;0,IF(AF223&gt;=CMEMM1,AF223,0),"N/A")),"")</f>
        <v>N/A</v>
      </c>
      <c r="CC223" s="4"/>
      <c r="CD223" s="4">
        <f>IFERROR(IF(COUNTIF(AF223:AF232,"")=10,"",IF(AF223="","",IF(AF223&gt;=CMEMM1,1,0))),"")</f>
        <v>1</v>
      </c>
      <c r="CE223" s="4" t="str">
        <f>B223&amp;"-0"&amp;1</f>
        <v>P23-01</v>
      </c>
      <c r="CF223" s="4" t="str">
        <f>IFERROR(INDEX('DESEMPATE Y DISCAPACIDAD'!$D$3:$D$450,MATCH(CE223,'DESEMPATE Y DISCAPACIDAD'!$C$3:$C$450,0)),"")</f>
        <v>PROYECTOS CONSTRUCCIONES CIVILES Y VIALES S.A.S. – PIV INGENIERÍA S.A.S.</v>
      </c>
      <c r="CG223" s="4">
        <f>IF(OR(CE223="",CF223=""),"",SUMIF(D223:D232,CF223,CD223:CD232))</f>
        <v>1</v>
      </c>
      <c r="CH223" s="4" t="str">
        <f t="shared" si="149"/>
        <v>CUMPLE</v>
      </c>
      <c r="CI223" s="4">
        <f>IF(CF223="","",IF(ISTEXT(CF223),1,0))</f>
        <v>1</v>
      </c>
      <c r="CJ223" s="4" t="str">
        <f>IF(OR(CD223="",CE223="",CF223="",CG223="",CH223="",CI223=""),"",IF(COUNTIF(CH223:CH232,"CUMPLE")=COUNTIF(CI223:CI232,1),"CUMPLE","NO CUMPLE"))</f>
        <v>CUMPLE</v>
      </c>
      <c r="CK223" s="4"/>
      <c r="CL223" s="4">
        <f t="shared" si="182"/>
        <v>1</v>
      </c>
      <c r="CM223" s="4">
        <f t="shared" si="183"/>
        <v>0</v>
      </c>
      <c r="CN223" s="4" t="str">
        <f>IF(OR(CL223="",CM223=""),"",IF(AND(CL223=0,CM223=0),"N/A",IF(AND(CL223=1,CM223=0),"COND. A",IF(AND(CL223=0,CM223=1),"COND. B",IF(AND(CL223=1,CM223=1),"COND. A Y B","")))))</f>
        <v>COND. A</v>
      </c>
      <c r="CO223" s="4" t="str">
        <f>IF(COUNTIF(CN223:CN232,"N/A")=10,"NO CUMPLE",IF(COUNTIF(CN223:CN232,"COND. A Y B")&gt;1,"CUMPLE",IF(AND(COUNTIF(CN223:CN232,"COND. A")&gt;0,COUNTIF(CN223:CN232,"COND. B")&gt;0),"CUMPLE",IF(AND(COUNTIF(CN223:CN232,"COND. A Y B")&gt;0,COUNTIF(CN223:CN232,"COND. A")&gt;0),"CUMPLE",IF(AND(COUNTIF(CN223:CN232,"COND. A Y B")&gt;0,COUNTIF(CN223:CN232,"COND. B")&gt;0),"CUMPLE","NO CUMPLE")))))</f>
        <v>CUMPLE</v>
      </c>
      <c r="CP223" s="4"/>
      <c r="CQ223" s="29" t="str">
        <f t="shared" si="164"/>
        <v>N/A</v>
      </c>
      <c r="CR223" s="29">
        <f>IF(OR(AN223="",AF223=""),"",IF(AN223="NO",AF223,0))</f>
        <v>6932.14</v>
      </c>
      <c r="CS223" s="4"/>
    </row>
    <row r="224" spans="1:97" ht="45" customHeight="1">
      <c r="B224" s="481"/>
      <c r="C224" s="118" t="s">
        <v>356</v>
      </c>
      <c r="D224" s="119" t="str">
        <f>+IFERROR(INDEX('DESEMPATE Y DISCAPACIDAD'!$D$3:$D$450,MATCH(C224,'DESEMPATE Y DISCAPACIDAD'!$C$3:$C$450,0)),"")</f>
        <v>PROYECTOS CONSTRUCCIONES CIVILES Y VIALES S.A.S. – PIV INGENIERÍA S.A.S.</v>
      </c>
      <c r="E224" s="120" t="str">
        <f>IFERROR(IF(D224="","",IF(VLOOKUP(D224,'DESEMPATE Y DISCAPACIDAD'!D$3:$E$450,2,FALSE)=1,"N/A",IF(VLOOKUP(D224,'DESEMPATE Y DISCAPACIDAD'!D$3:$F$450,3,FALSE)="X","SI","NO"))),"")</f>
        <v>NO</v>
      </c>
      <c r="F224" s="148" t="s">
        <v>741</v>
      </c>
      <c r="G224" s="214" t="s">
        <v>660</v>
      </c>
      <c r="H224" s="215" t="s">
        <v>1135</v>
      </c>
      <c r="I224" s="148" t="s">
        <v>1136</v>
      </c>
      <c r="J224" s="121" t="s">
        <v>74</v>
      </c>
      <c r="K224" s="125" t="s">
        <v>74</v>
      </c>
      <c r="L224" s="125" t="s">
        <v>75</v>
      </c>
      <c r="M224" s="125" t="s">
        <v>74</v>
      </c>
      <c r="N224" s="121" t="str">
        <f t="shared" ref="N224:N232" si="203">IFERROR(IF(OR(J224="",K224=""),"",IF(J224="NO","NO",K224)),"")</f>
        <v>SI</v>
      </c>
      <c r="O224" s="121" t="str">
        <f>IFERROR(IF(OR(J224="",L224=""),"",IF(J224="NO","NO",L224)),"")</f>
        <v>NO</v>
      </c>
      <c r="P224" s="121" t="str">
        <f t="shared" ref="P224:P232" si="204">IFERROR(IF(OR(J224="",M224=""),"",IF(J224="NO","NO",M224)),"")</f>
        <v>SI</v>
      </c>
      <c r="Q224" s="121" t="str">
        <f t="shared" si="184"/>
        <v>SI</v>
      </c>
      <c r="R224" s="217">
        <v>0.37</v>
      </c>
      <c r="S224" s="265">
        <v>41257</v>
      </c>
      <c r="T224" s="265">
        <v>42564</v>
      </c>
      <c r="U224" s="121">
        <f t="shared" ref="U224:U232" si="205">IFERROR(IF(T224="","",YEAR(T224)),"")</f>
        <v>2016</v>
      </c>
      <c r="V224" s="124">
        <f>IF(U224=2023,1160000,IFERROR(INDEX([1]SMMLV!$B$2:$B$101,MATCH(U224,[1]SMMLV!$A$2:$A$101,0)),""))</f>
        <v>689455</v>
      </c>
      <c r="W224" s="124">
        <v>5067291892.5200005</v>
      </c>
      <c r="X224" s="125" t="s">
        <v>671</v>
      </c>
      <c r="Y224" s="214">
        <v>188</v>
      </c>
      <c r="Z224" s="474" t="s">
        <v>74</v>
      </c>
      <c r="AA224" s="475"/>
      <c r="AB224" s="476"/>
      <c r="AC224" s="125" t="str">
        <f t="shared" ref="AC224:AC232" si="206">IFERROR(IF(Y224="","",IF(ISNUMBER(Y224),IF(COUNTIF(Z224,"SI")&gt;0,"SI","NO"),Y224)),"")</f>
        <v>SI</v>
      </c>
      <c r="AD224" s="117">
        <f t="shared" si="185"/>
        <v>5067291892.5200005</v>
      </c>
      <c r="AE224" s="117">
        <f t="shared" si="187"/>
        <v>7349.71</v>
      </c>
      <c r="AF224" s="117">
        <f t="shared" si="174"/>
        <v>2719.3926999999999</v>
      </c>
      <c r="AG224" s="470"/>
      <c r="AH224" s="470"/>
      <c r="AI224" s="125" t="str">
        <f t="shared" si="175"/>
        <v>NO CUMPLE</v>
      </c>
      <c r="AJ224" s="470"/>
      <c r="AK224" s="470"/>
      <c r="AL224" s="472"/>
      <c r="AM224" s="496"/>
      <c r="AN224" s="125" t="s">
        <v>75</v>
      </c>
      <c r="AO224" s="490"/>
      <c r="AP224" s="125" t="s">
        <v>74</v>
      </c>
      <c r="AQ224" s="490"/>
      <c r="AR224" s="522"/>
      <c r="AS224" s="519"/>
      <c r="AT224" s="204"/>
      <c r="AU224" s="640"/>
      <c r="AV224" s="643"/>
      <c r="AW224" s="634"/>
      <c r="AX224" s="634"/>
      <c r="AY224" s="19"/>
      <c r="CB224" s="29" t="str">
        <f>IFERROR(IF(COUNTIF(AF223:AF232,"")=10,"",IF(COUNTIF(E223:E232,"N/A")&gt;0,IF(AF224&gt;=CMEMM1,AF224,0),"N/A")),"")</f>
        <v>N/A</v>
      </c>
      <c r="CC224" s="4"/>
      <c r="CD224" s="4">
        <f>IFERROR(IF(COUNTIF(AF223:AF232,"")=10,"",IF(AF224="","",IF(AF224&gt;=CMEMM1,1,0))),"")</f>
        <v>0</v>
      </c>
      <c r="CE224" s="4" t="str">
        <f>B223&amp;"-0"&amp;2</f>
        <v>P23-02</v>
      </c>
      <c r="CF224" s="4" t="str">
        <f>IFERROR(INDEX('DESEMPATE Y DISCAPACIDAD'!$D$3:$D$450,MATCH(CE224,'DESEMPATE Y DISCAPACIDAD'!$C$3:$C$450,0)),"")</f>
        <v>IV INGENIEROS CONSULTORES SUCURSAL COLOMBIA S.A.</v>
      </c>
      <c r="CG224" s="4">
        <f>IF(OR(CE224="",CF224=""),"",SUMIF(D223:D232,CF224,CD223:CD232))</f>
        <v>2</v>
      </c>
      <c r="CH224" s="4" t="str">
        <f t="shared" si="149"/>
        <v>CUMPLE</v>
      </c>
      <c r="CI224" s="4">
        <f t="shared" ref="CI224:CI232" si="207">IF(CF224="","",IF(ISTEXT(CF224),1,0))</f>
        <v>1</v>
      </c>
      <c r="CJ224" s="4"/>
      <c r="CK224" s="4"/>
      <c r="CL224" s="4">
        <f t="shared" si="182"/>
        <v>1</v>
      </c>
      <c r="CM224" s="4">
        <f t="shared" si="183"/>
        <v>0</v>
      </c>
      <c r="CN224" s="4" t="str">
        <f t="shared" ref="CN224:CN232" si="208">IF(OR(CL224="",CM224=""),"",IF(AND(CL224=0,CM224=0),"N/A",IF(AND(CL224=1,CM224=0),"COND. A",IF(AND(CL224=0,CM224=1),"COND. B",IF(AND(CL224=1,CM224=1),"COND. A Y B","")))))</f>
        <v>COND. A</v>
      </c>
      <c r="CO224" s="4"/>
      <c r="CP224" s="4"/>
      <c r="CQ224" s="29" t="str">
        <f t="shared" si="164"/>
        <v>N/A</v>
      </c>
      <c r="CR224" s="29">
        <f>IF(OR(AN223="",AF224=""),"",IF(AN223="NO",AF224,0))</f>
        <v>2719.3926999999999</v>
      </c>
      <c r="CS224" s="4"/>
    </row>
    <row r="225" spans="1:97" ht="45" customHeight="1">
      <c r="B225" s="481"/>
      <c r="C225" s="118" t="s">
        <v>356</v>
      </c>
      <c r="D225" s="126" t="str">
        <f>+IFERROR(INDEX('DESEMPATE Y DISCAPACIDAD'!$D$3:$D$450,MATCH(C225,'DESEMPATE Y DISCAPACIDAD'!$C$3:$C$450,0)),"")</f>
        <v>PROYECTOS CONSTRUCCIONES CIVILES Y VIALES S.A.S. – PIV INGENIERÍA S.A.S.</v>
      </c>
      <c r="E225" s="127" t="str">
        <f>IFERROR(IF(D225="","",IF(VLOOKUP(D225,'DESEMPATE Y DISCAPACIDAD'!D$3:$E$450,2,FALSE)=1,"N/A",IF(VLOOKUP(D225,'DESEMPATE Y DISCAPACIDAD'!D$3:$F$450,3,FALSE)="X","SI","NO"))),"")</f>
        <v>NO</v>
      </c>
      <c r="F225" s="148" t="s">
        <v>741</v>
      </c>
      <c r="G225" s="214" t="s">
        <v>660</v>
      </c>
      <c r="H225" s="215" t="s">
        <v>1137</v>
      </c>
      <c r="I225" s="148" t="s">
        <v>1138</v>
      </c>
      <c r="J225" s="125" t="s">
        <v>74</v>
      </c>
      <c r="K225" s="125" t="s">
        <v>74</v>
      </c>
      <c r="L225" s="125" t="s">
        <v>74</v>
      </c>
      <c r="M225" s="125" t="s">
        <v>74</v>
      </c>
      <c r="N225" s="125" t="str">
        <f t="shared" si="203"/>
        <v>SI</v>
      </c>
      <c r="O225" s="125" t="str">
        <f>IFERROR(IF(OR(J225="",L225=""),"",IF(J225="NO","NO",L225)),"")</f>
        <v>SI</v>
      </c>
      <c r="P225" s="125" t="str">
        <f t="shared" si="204"/>
        <v>SI</v>
      </c>
      <c r="Q225" s="125" t="str">
        <f t="shared" si="184"/>
        <v>SI</v>
      </c>
      <c r="R225" s="217">
        <v>0.5</v>
      </c>
      <c r="S225" s="218">
        <v>35076</v>
      </c>
      <c r="T225" s="218">
        <v>35881</v>
      </c>
      <c r="U225" s="125">
        <f t="shared" si="205"/>
        <v>1998</v>
      </c>
      <c r="V225" s="117">
        <f>IF(U225=2023,1160000,IFERROR(INDEX([1]SMMLV!$B$2:$B$101,MATCH(U225,[1]SMMLV!$A$2:$A$101,0)),""))</f>
        <v>203826</v>
      </c>
      <c r="W225" s="117" t="s">
        <v>670</v>
      </c>
      <c r="X225" s="125" t="s">
        <v>671</v>
      </c>
      <c r="Y225" s="214">
        <v>101</v>
      </c>
      <c r="Z225" s="474" t="s">
        <v>74</v>
      </c>
      <c r="AA225" s="475"/>
      <c r="AB225" s="476"/>
      <c r="AC225" s="125" t="str">
        <f t="shared" si="206"/>
        <v>SI</v>
      </c>
      <c r="AD225" s="117" t="str">
        <f t="shared" si="185"/>
        <v>N/A</v>
      </c>
      <c r="AE225" s="117">
        <v>7869.44</v>
      </c>
      <c r="AF225" s="117">
        <f t="shared" si="174"/>
        <v>3934.72</v>
      </c>
      <c r="AG225" s="470"/>
      <c r="AH225" s="470"/>
      <c r="AI225" s="125" t="str">
        <f t="shared" si="175"/>
        <v>NO CUMPLE</v>
      </c>
      <c r="AJ225" s="470"/>
      <c r="AK225" s="470"/>
      <c r="AL225" s="472"/>
      <c r="AM225" s="496"/>
      <c r="AN225" s="125" t="s">
        <v>75</v>
      </c>
      <c r="AO225" s="490"/>
      <c r="AP225" s="125" t="s">
        <v>74</v>
      </c>
      <c r="AQ225" s="490"/>
      <c r="AR225" s="522"/>
      <c r="AS225" s="519"/>
      <c r="AT225" s="204"/>
      <c r="AU225" s="640"/>
      <c r="AV225" s="643"/>
      <c r="AW225" s="634"/>
      <c r="AX225" s="634"/>
      <c r="AY225" s="19"/>
      <c r="CB225" s="29" t="str">
        <f>IFERROR(IF(COUNTIF(AF223:AF232,"")=10,"",IF(COUNTIF(E223:E232,"N/A")&gt;0,IF(AF225&gt;=CMEMM1,AF225,0),"N/A")),"")</f>
        <v>N/A</v>
      </c>
      <c r="CC225" s="4"/>
      <c r="CD225" s="4">
        <f>IFERROR(IF(COUNTIF(AF223:AF232,"")=10,"",IF(AF225="","",IF(AF225&gt;=CMEMM1,1,0))),"")</f>
        <v>0</v>
      </c>
      <c r="CE225" s="4" t="str">
        <f>B223&amp;"-0"&amp;3</f>
        <v>P23-03</v>
      </c>
      <c r="CF225" s="4">
        <f>IFERROR(INDEX('DESEMPATE Y DISCAPACIDAD'!$D$3:$D$450,MATCH(CE225,'DESEMPATE Y DISCAPACIDAD'!$C$3:$C$450,0)),"")</f>
        <v>0</v>
      </c>
      <c r="CG225" s="4">
        <f>IF(OR(CE225="",CF225=""),"",SUMIF(D223:D232,CF225,CD223:CD232))</f>
        <v>0</v>
      </c>
      <c r="CH225" s="4" t="str">
        <f t="shared" si="149"/>
        <v>NO CUMPLE</v>
      </c>
      <c r="CI225" s="4">
        <f t="shared" si="207"/>
        <v>0</v>
      </c>
      <c r="CJ225" s="4"/>
      <c r="CK225" s="4"/>
      <c r="CL225" s="4">
        <f t="shared" si="182"/>
        <v>1</v>
      </c>
      <c r="CM225" s="4">
        <f t="shared" si="183"/>
        <v>1</v>
      </c>
      <c r="CN225" s="4" t="str">
        <f t="shared" si="208"/>
        <v>COND. A Y B</v>
      </c>
      <c r="CO225" s="4"/>
      <c r="CP225" s="4"/>
      <c r="CQ225" s="29" t="str">
        <f t="shared" si="164"/>
        <v>N/A</v>
      </c>
      <c r="CR225" s="29">
        <f>IF(OR(AN223="",AF225=""),"",IF(AN223="NO",AF225,0))</f>
        <v>3934.72</v>
      </c>
      <c r="CS225" s="4"/>
    </row>
    <row r="226" spans="1:97" ht="45" customHeight="1">
      <c r="B226" s="481"/>
      <c r="C226" s="118" t="s">
        <v>357</v>
      </c>
      <c r="D226" s="126" t="str">
        <f>+IFERROR(INDEX('DESEMPATE Y DISCAPACIDAD'!$D$3:$D$450,MATCH(C226,'DESEMPATE Y DISCAPACIDAD'!$C$3:$C$450,0)),"")</f>
        <v>IV INGENIEROS CONSULTORES SUCURSAL COLOMBIA S.A.</v>
      </c>
      <c r="E226" s="127" t="str">
        <f>IFERROR(IF(D226="","",IF(VLOOKUP(D226,'DESEMPATE Y DISCAPACIDAD'!D$3:$E$450,2,FALSE)=1,"N/A",IF(VLOOKUP(D226,'DESEMPATE Y DISCAPACIDAD'!D$3:$F$450,3,FALSE)="X","SI","NO"))),"")</f>
        <v>NO</v>
      </c>
      <c r="F226" s="148" t="s">
        <v>741</v>
      </c>
      <c r="G226" s="214" t="s">
        <v>660</v>
      </c>
      <c r="H226" s="215" t="s">
        <v>1139</v>
      </c>
      <c r="I226" s="148" t="s">
        <v>1140</v>
      </c>
      <c r="J226" s="125" t="s">
        <v>74</v>
      </c>
      <c r="K226" s="125" t="s">
        <v>74</v>
      </c>
      <c r="L226" s="125" t="s">
        <v>75</v>
      </c>
      <c r="M226" s="125" t="s">
        <v>74</v>
      </c>
      <c r="N226" s="125" t="str">
        <f t="shared" si="203"/>
        <v>SI</v>
      </c>
      <c r="O226" s="125" t="str">
        <f>IFERROR(IF(OR(J226="",L226=""),"",IF(J226="NO","NO",L226)),"")</f>
        <v>NO</v>
      </c>
      <c r="P226" s="125" t="str">
        <f t="shared" si="204"/>
        <v>SI</v>
      </c>
      <c r="Q226" s="125" t="str">
        <f t="shared" si="184"/>
        <v>SI</v>
      </c>
      <c r="R226" s="217">
        <v>0.25</v>
      </c>
      <c r="S226" s="266">
        <v>40487</v>
      </c>
      <c r="T226" s="266">
        <v>42460</v>
      </c>
      <c r="U226" s="125">
        <f t="shared" si="205"/>
        <v>2016</v>
      </c>
      <c r="V226" s="117">
        <f>IF(U226=2023,1160000,IFERROR(INDEX([1]SMMLV!$B$2:$B$101,MATCH(U226,[1]SMMLV!$A$2:$A$101,0)),""))</f>
        <v>689455</v>
      </c>
      <c r="W226" s="117" t="s">
        <v>670</v>
      </c>
      <c r="X226" s="125" t="s">
        <v>671</v>
      </c>
      <c r="Y226" s="214">
        <v>71</v>
      </c>
      <c r="Z226" s="474" t="s">
        <v>74</v>
      </c>
      <c r="AA226" s="475"/>
      <c r="AB226" s="476"/>
      <c r="AC226" s="125" t="str">
        <f t="shared" si="206"/>
        <v>SI</v>
      </c>
      <c r="AD226" s="117" t="str">
        <f t="shared" si="185"/>
        <v>N/A</v>
      </c>
      <c r="AE226" s="117">
        <v>38991.58</v>
      </c>
      <c r="AF226" s="117">
        <f t="shared" si="174"/>
        <v>9747.8950000000004</v>
      </c>
      <c r="AG226" s="470"/>
      <c r="AH226" s="470"/>
      <c r="AI226" s="125" t="str">
        <f t="shared" si="175"/>
        <v>CUMPLE</v>
      </c>
      <c r="AJ226" s="470"/>
      <c r="AK226" s="470"/>
      <c r="AL226" s="472"/>
      <c r="AM226" s="496"/>
      <c r="AN226" s="125" t="s">
        <v>75</v>
      </c>
      <c r="AO226" s="490"/>
      <c r="AP226" s="125" t="s">
        <v>74</v>
      </c>
      <c r="AQ226" s="490"/>
      <c r="AR226" s="522"/>
      <c r="AS226" s="519"/>
      <c r="AT226" s="204"/>
      <c r="AU226" s="640"/>
      <c r="AV226" s="643"/>
      <c r="AW226" s="634"/>
      <c r="AX226" s="634"/>
      <c r="AY226" s="19"/>
      <c r="CB226" s="29" t="str">
        <f>IFERROR(IF(COUNTIF(AF223:AF232,"")=10,"",IF(COUNTIF(E223:E232,"N/A")&gt;0,IF(AF226&gt;=CMEMM1,AF226,0),"N/A")),"")</f>
        <v>N/A</v>
      </c>
      <c r="CC226" s="4"/>
      <c r="CD226" s="4">
        <f>IFERROR(IF(COUNTIF(AF223:AF232,"")=10,"",IF(AF226="","",IF(AF226&gt;=CMEMM1,1,0))),"")</f>
        <v>1</v>
      </c>
      <c r="CE226" s="4" t="str">
        <f>B223&amp;"-0"&amp;4</f>
        <v>P23-04</v>
      </c>
      <c r="CF226" s="4">
        <f>IFERROR(INDEX('DESEMPATE Y DISCAPACIDAD'!$D$3:$D$450,MATCH(CE226,'DESEMPATE Y DISCAPACIDAD'!$C$3:$C$450,0)),"")</f>
        <v>0</v>
      </c>
      <c r="CG226" s="4">
        <f>IF(OR(CE226="",CF226=""),"",SUMIF(D223:D232,CF226,CD223:CD232))</f>
        <v>0</v>
      </c>
      <c r="CH226" s="4" t="str">
        <f t="shared" ref="CH226:CH289" si="209">IF(OR(CE226="",CF226="",CG226=""),"",IF(CG226&gt;0,"CUMPLE","NO CUMPLE"))</f>
        <v>NO CUMPLE</v>
      </c>
      <c r="CI226" s="4">
        <f t="shared" si="207"/>
        <v>0</v>
      </c>
      <c r="CJ226" s="4"/>
      <c r="CK226" s="4"/>
      <c r="CL226" s="4">
        <f t="shared" si="182"/>
        <v>1</v>
      </c>
      <c r="CM226" s="4">
        <f t="shared" si="183"/>
        <v>0</v>
      </c>
      <c r="CN226" s="4" t="str">
        <f t="shared" si="208"/>
        <v>COND. A</v>
      </c>
      <c r="CO226" s="4"/>
      <c r="CP226" s="4"/>
      <c r="CQ226" s="29" t="str">
        <f t="shared" si="164"/>
        <v>N/A</v>
      </c>
      <c r="CR226" s="29">
        <f>IF(OR(AN226="",AF226=""),"",IF(AN226="NO",AF226,0))</f>
        <v>9747.8950000000004</v>
      </c>
      <c r="CS226" s="4"/>
    </row>
    <row r="227" spans="1:97" ht="45" customHeight="1">
      <c r="B227" s="481"/>
      <c r="C227" s="118" t="s">
        <v>357</v>
      </c>
      <c r="D227" s="126" t="str">
        <f>+IFERROR(INDEX('DESEMPATE Y DISCAPACIDAD'!$D$3:$D$450,MATCH(C227,'DESEMPATE Y DISCAPACIDAD'!$C$3:$C$450,0)),"")</f>
        <v>IV INGENIEROS CONSULTORES SUCURSAL COLOMBIA S.A.</v>
      </c>
      <c r="E227" s="127" t="str">
        <f>IFERROR(IF(D227="","",IF(VLOOKUP(D227,'DESEMPATE Y DISCAPACIDAD'!D$3:$E$450,2,FALSE)=1,"N/A",IF(VLOOKUP(D227,'DESEMPATE Y DISCAPACIDAD'!D$3:$F$450,3,FALSE)="X","SI","NO"))),"")</f>
        <v>NO</v>
      </c>
      <c r="F227" s="148" t="s">
        <v>1141</v>
      </c>
      <c r="G227" s="214" t="s">
        <v>703</v>
      </c>
      <c r="H227" s="215">
        <v>1</v>
      </c>
      <c r="I227" s="148" t="s">
        <v>1142</v>
      </c>
      <c r="J227" s="125" t="s">
        <v>74</v>
      </c>
      <c r="K227" s="125" t="s">
        <v>75</v>
      </c>
      <c r="L227" s="125" t="s">
        <v>75</v>
      </c>
      <c r="M227" s="125" t="s">
        <v>74</v>
      </c>
      <c r="N227" s="125" t="str">
        <f t="shared" si="203"/>
        <v>NO</v>
      </c>
      <c r="O227" s="125" t="str">
        <f t="shared" ref="O227:O232" si="210">IFERROR(IF(OR(J227="",L227=""),"",IF(J227="NO","NO",L227)),"")</f>
        <v>NO</v>
      </c>
      <c r="P227" s="125" t="str">
        <f t="shared" si="204"/>
        <v>SI</v>
      </c>
      <c r="Q227" s="125" t="str">
        <f t="shared" si="184"/>
        <v>SI</v>
      </c>
      <c r="R227" s="217">
        <v>1</v>
      </c>
      <c r="S227" s="266">
        <v>37655</v>
      </c>
      <c r="T227" s="266">
        <v>39967</v>
      </c>
      <c r="U227" s="125">
        <f t="shared" si="205"/>
        <v>2009</v>
      </c>
      <c r="V227" s="117">
        <f>IF(U227=2023,1160000,IFERROR(INDEX([1]SMMLV!$B$2:$B$101,MATCH(U227,[1]SMMLV!$A$2:$A$101,0)),""))</f>
        <v>496900</v>
      </c>
      <c r="W227" s="117" t="s">
        <v>670</v>
      </c>
      <c r="X227" s="125" t="s">
        <v>671</v>
      </c>
      <c r="Y227" s="214">
        <v>18</v>
      </c>
      <c r="Z227" s="474" t="s">
        <v>74</v>
      </c>
      <c r="AA227" s="475"/>
      <c r="AB227" s="476"/>
      <c r="AC227" s="125" t="str">
        <f t="shared" si="206"/>
        <v>SI</v>
      </c>
      <c r="AD227" s="117" t="str">
        <f t="shared" si="185"/>
        <v>N/A</v>
      </c>
      <c r="AE227" s="117">
        <v>32681.78</v>
      </c>
      <c r="AF227" s="117">
        <f t="shared" si="174"/>
        <v>32681.78</v>
      </c>
      <c r="AG227" s="470"/>
      <c r="AH227" s="470"/>
      <c r="AI227" s="125" t="str">
        <f t="shared" si="175"/>
        <v>CUMPLE</v>
      </c>
      <c r="AJ227" s="470"/>
      <c r="AK227" s="470"/>
      <c r="AL227" s="472"/>
      <c r="AM227" s="496"/>
      <c r="AN227" s="125" t="s">
        <v>75</v>
      </c>
      <c r="AO227" s="490"/>
      <c r="AP227" s="125" t="s">
        <v>74</v>
      </c>
      <c r="AQ227" s="490"/>
      <c r="AR227" s="522"/>
      <c r="AS227" s="519"/>
      <c r="AT227" s="204"/>
      <c r="AU227" s="640"/>
      <c r="AV227" s="643"/>
      <c r="AW227" s="634"/>
      <c r="AX227" s="634"/>
      <c r="AY227" s="19"/>
      <c r="CB227" s="29" t="str">
        <f>IFERROR(IF(COUNTIF(AF223:AF232,"")=10,"",IF(COUNTIF(E223:E232,"N/A")&gt;0,IF(AF227&gt;=CMEMM1,AF227,0),"N/A")),"")</f>
        <v>N/A</v>
      </c>
      <c r="CC227" s="4"/>
      <c r="CD227" s="4">
        <f>IFERROR(IF(COUNTIF(AF223:AF232,"")=10,"",IF(AF227="","",IF(AF227&gt;=CMEMM1,1,0))),"")</f>
        <v>1</v>
      </c>
      <c r="CE227" s="4" t="str">
        <f>B223&amp;"-0"&amp;5</f>
        <v>P23-05</v>
      </c>
      <c r="CF227" s="4">
        <f>IFERROR(INDEX('DESEMPATE Y DISCAPACIDAD'!$D$3:$D$450,MATCH(CE227,'DESEMPATE Y DISCAPACIDAD'!$C$3:$C$450,0)),"")</f>
        <v>0</v>
      </c>
      <c r="CG227" s="4">
        <f>IF(OR(CE227="",CF227=""),"",SUMIF(D223:D232,CF227,CD223:CD232))</f>
        <v>0</v>
      </c>
      <c r="CH227" s="4" t="str">
        <f t="shared" si="209"/>
        <v>NO CUMPLE</v>
      </c>
      <c r="CI227" s="4">
        <f t="shared" si="207"/>
        <v>0</v>
      </c>
      <c r="CJ227" s="4"/>
      <c r="CK227" s="4"/>
      <c r="CL227" s="4">
        <f t="shared" si="182"/>
        <v>0</v>
      </c>
      <c r="CM227" s="4">
        <f t="shared" si="183"/>
        <v>0</v>
      </c>
      <c r="CN227" s="4" t="str">
        <f t="shared" si="208"/>
        <v>N/A</v>
      </c>
      <c r="CO227" s="4"/>
      <c r="CP227" s="4"/>
      <c r="CQ227" s="29" t="str">
        <f t="shared" si="164"/>
        <v>N/A</v>
      </c>
      <c r="CR227" s="29">
        <f t="shared" si="188"/>
        <v>32681.78</v>
      </c>
      <c r="CS227" s="4"/>
    </row>
    <row r="228" spans="1:97" ht="2" customHeight="1">
      <c r="B228" s="481"/>
      <c r="C228" s="118"/>
      <c r="D228" s="126" t="str">
        <f>+IFERROR(INDEX('DESEMPATE Y DISCAPACIDAD'!$D$3:$D$450,MATCH(C228,'DESEMPATE Y DISCAPACIDAD'!$C$3:$C$450,0)),"")</f>
        <v/>
      </c>
      <c r="E228" s="127" t="str">
        <f>IFERROR(IF(D228="","",IF(VLOOKUP(D228,'DESEMPATE Y DISCAPACIDAD'!D$3:$E$450,2,FALSE)=1,"N/A",IF(VLOOKUP(D228,'DESEMPATE Y DISCAPACIDAD'!D$3:$F$450,3,FALSE)="X","SI","NO"))),"")</f>
        <v/>
      </c>
      <c r="F228" s="125"/>
      <c r="G228" s="125"/>
      <c r="H228" s="125"/>
      <c r="I228" s="128"/>
      <c r="J228" s="125"/>
      <c r="K228" s="125"/>
      <c r="L228" s="125"/>
      <c r="M228" s="125"/>
      <c r="N228" s="125" t="str">
        <f t="shared" si="203"/>
        <v/>
      </c>
      <c r="O228" s="125" t="str">
        <f t="shared" si="210"/>
        <v/>
      </c>
      <c r="P228" s="125" t="str">
        <f t="shared" si="204"/>
        <v/>
      </c>
      <c r="Q228" s="125" t="str">
        <f t="shared" si="184"/>
        <v/>
      </c>
      <c r="R228" s="68"/>
      <c r="S228" s="129"/>
      <c r="T228" s="129"/>
      <c r="U228" s="125" t="str">
        <f t="shared" si="205"/>
        <v/>
      </c>
      <c r="V228" s="117" t="str">
        <f>IF(U228=2023,1160000,IFERROR(INDEX([1]SMMLV!$B$2:$B$101,MATCH(U228,[1]SMMLV!$A$2:$A$101,0)),""))</f>
        <v/>
      </c>
      <c r="W228" s="117"/>
      <c r="X228" s="125"/>
      <c r="Y228" s="125"/>
      <c r="Z228" s="474"/>
      <c r="AA228" s="475"/>
      <c r="AB228" s="476"/>
      <c r="AC228" s="125" t="str">
        <f t="shared" si="206"/>
        <v/>
      </c>
      <c r="AD228" s="117" t="str">
        <f t="shared" si="185"/>
        <v/>
      </c>
      <c r="AE228" s="117" t="str">
        <f t="shared" si="187"/>
        <v/>
      </c>
      <c r="AF228" s="117" t="str">
        <f t="shared" si="174"/>
        <v/>
      </c>
      <c r="AG228" s="470"/>
      <c r="AH228" s="470"/>
      <c r="AI228" s="125" t="str">
        <f t="shared" si="175"/>
        <v/>
      </c>
      <c r="AJ228" s="470"/>
      <c r="AK228" s="470"/>
      <c r="AL228" s="472"/>
      <c r="AM228" s="496"/>
      <c r="AN228" s="125"/>
      <c r="AO228" s="490"/>
      <c r="AP228" s="125"/>
      <c r="AQ228" s="490"/>
      <c r="AR228" s="522"/>
      <c r="AS228" s="519"/>
      <c r="AT228" s="204"/>
      <c r="AU228" s="640"/>
      <c r="AV228" s="643"/>
      <c r="AW228" s="634"/>
      <c r="AX228" s="634"/>
      <c r="AY228" s="19"/>
      <c r="CB228" s="29" t="str">
        <f>IFERROR(IF(COUNTIF(AF223:AF232,"")=10,"",IF(COUNTIF(E223:E232,"N/A")&gt;0,IF(AF228&gt;=CMEMM1,AF228,0),"N/A")),"")</f>
        <v>N/A</v>
      </c>
      <c r="CC228" s="4"/>
      <c r="CD228" s="4" t="str">
        <f>IFERROR(IF(COUNTIF(AF223:AF232,"")=10,"",IF(AF228="","",IF(AF228&gt;=CMEMM1,1,0))),"")</f>
        <v/>
      </c>
      <c r="CE228" s="4" t="str">
        <f>B223&amp;"-0"&amp;6</f>
        <v>P23-06</v>
      </c>
      <c r="CF228" s="4">
        <f>IFERROR(INDEX('DESEMPATE Y DISCAPACIDAD'!$D$3:$D$450,MATCH(CE228,'DESEMPATE Y DISCAPACIDAD'!$C$3:$C$450,0)),"")</f>
        <v>0</v>
      </c>
      <c r="CG228" s="4">
        <f>IF(OR(CE228="",CF228=""),"",SUMIF(D223:D232,CF228,CD223:CD232))</f>
        <v>0</v>
      </c>
      <c r="CH228" s="4" t="str">
        <f t="shared" si="209"/>
        <v>NO CUMPLE</v>
      </c>
      <c r="CI228" s="4">
        <f t="shared" si="207"/>
        <v>0</v>
      </c>
      <c r="CJ228" s="4"/>
      <c r="CK228" s="4"/>
      <c r="CL228" s="4" t="str">
        <f t="shared" si="182"/>
        <v/>
      </c>
      <c r="CM228" s="4" t="str">
        <f t="shared" si="183"/>
        <v/>
      </c>
      <c r="CN228" s="4" t="str">
        <f t="shared" si="208"/>
        <v/>
      </c>
      <c r="CO228" s="4"/>
      <c r="CP228" s="4"/>
      <c r="CQ228" s="29" t="str">
        <f t="shared" si="164"/>
        <v/>
      </c>
      <c r="CR228" s="29" t="str">
        <f t="shared" si="188"/>
        <v/>
      </c>
      <c r="CS228" s="4"/>
    </row>
    <row r="229" spans="1:97" ht="2" customHeight="1">
      <c r="B229" s="481"/>
      <c r="C229" s="118"/>
      <c r="D229" s="126" t="str">
        <f>+IFERROR(INDEX('DESEMPATE Y DISCAPACIDAD'!$D$3:$D$450,MATCH(C229,'DESEMPATE Y DISCAPACIDAD'!$C$3:$C$450,0)),"")</f>
        <v/>
      </c>
      <c r="E229" s="127" t="str">
        <f>IFERROR(IF(D229="","",IF(VLOOKUP(D229,'DESEMPATE Y DISCAPACIDAD'!D$3:$E$450,2,FALSE)=1,"N/A",IF(VLOOKUP(D229,'DESEMPATE Y DISCAPACIDAD'!D$3:$F$450,3,FALSE)="X","SI","NO"))),"")</f>
        <v/>
      </c>
      <c r="F229" s="125"/>
      <c r="G229" s="125"/>
      <c r="H229" s="125"/>
      <c r="I229" s="128"/>
      <c r="J229" s="125"/>
      <c r="K229" s="181"/>
      <c r="L229" s="181"/>
      <c r="M229" s="181"/>
      <c r="N229" s="125" t="str">
        <f t="shared" si="203"/>
        <v/>
      </c>
      <c r="O229" s="125" t="str">
        <f t="shared" si="210"/>
        <v/>
      </c>
      <c r="P229" s="125" t="str">
        <f t="shared" si="204"/>
        <v/>
      </c>
      <c r="Q229" s="125" t="str">
        <f t="shared" si="184"/>
        <v/>
      </c>
      <c r="R229" s="68"/>
      <c r="S229" s="129"/>
      <c r="T229" s="129"/>
      <c r="U229" s="125" t="str">
        <f t="shared" si="205"/>
        <v/>
      </c>
      <c r="V229" s="117" t="str">
        <f>IF(U229=2023,1160000,IFERROR(INDEX([1]SMMLV!$B$2:$B$101,MATCH(U229,[1]SMMLV!$A$2:$A$101,0)),""))</f>
        <v/>
      </c>
      <c r="W229" s="117"/>
      <c r="X229" s="125"/>
      <c r="Y229" s="125"/>
      <c r="Z229" s="474"/>
      <c r="AA229" s="475"/>
      <c r="AB229" s="476"/>
      <c r="AC229" s="125" t="str">
        <f t="shared" si="206"/>
        <v/>
      </c>
      <c r="AD229" s="117" t="str">
        <f t="shared" si="185"/>
        <v/>
      </c>
      <c r="AE229" s="117" t="str">
        <f t="shared" si="187"/>
        <v/>
      </c>
      <c r="AF229" s="117" t="str">
        <f t="shared" si="174"/>
        <v/>
      </c>
      <c r="AG229" s="470"/>
      <c r="AH229" s="470"/>
      <c r="AI229" s="125" t="str">
        <f t="shared" si="175"/>
        <v/>
      </c>
      <c r="AJ229" s="470"/>
      <c r="AK229" s="470"/>
      <c r="AL229" s="472"/>
      <c r="AM229" s="496"/>
      <c r="AN229" s="125"/>
      <c r="AO229" s="490"/>
      <c r="AP229" s="125"/>
      <c r="AQ229" s="490"/>
      <c r="AR229" s="522"/>
      <c r="AS229" s="519"/>
      <c r="AT229" s="204"/>
      <c r="AU229" s="640"/>
      <c r="AV229" s="643"/>
      <c r="AW229" s="634"/>
      <c r="AX229" s="634"/>
      <c r="AY229" s="19"/>
      <c r="CB229" s="29" t="str">
        <f>IFERROR(IF(COUNTIF(AF223:AF232,"")=10,"",IF(COUNTIF(E223:E232,"N/A")&gt;0,IF(AF229&gt;=CMEMM1,AF229,0),"N/A")),"")</f>
        <v>N/A</v>
      </c>
      <c r="CC229" s="4"/>
      <c r="CD229" s="4" t="str">
        <f>IFERROR(IF(COUNTIF(AF223:AF232,"")=10,"",IF(AF229="","",IF(AF229&gt;=CMEMM1,1,0))),"")</f>
        <v/>
      </c>
      <c r="CE229" s="4" t="str">
        <f>B223&amp;"-0"&amp;7</f>
        <v>P23-07</v>
      </c>
      <c r="CF229" s="4" t="str">
        <f>IFERROR(INDEX('DESEMPATE Y DISCAPACIDAD'!$D$3:$D$450,MATCH(CE229,'DESEMPATE Y DISCAPACIDAD'!$C$3:$C$450,0)),"")</f>
        <v/>
      </c>
      <c r="CG229" s="4" t="str">
        <f>IF(OR(CE229="",CF229=""),"",SUMIF(D223:D232,CF229,CD223:CD232))</f>
        <v/>
      </c>
      <c r="CH229" s="4" t="str">
        <f t="shared" si="209"/>
        <v/>
      </c>
      <c r="CI229" s="4" t="str">
        <f t="shared" si="207"/>
        <v/>
      </c>
      <c r="CJ229" s="4"/>
      <c r="CK229" s="4"/>
      <c r="CL229" s="4" t="str">
        <f t="shared" si="182"/>
        <v/>
      </c>
      <c r="CM229" s="4" t="str">
        <f t="shared" si="183"/>
        <v/>
      </c>
      <c r="CN229" s="4" t="str">
        <f t="shared" si="208"/>
        <v/>
      </c>
      <c r="CO229" s="4"/>
      <c r="CP229" s="4"/>
      <c r="CQ229" s="29" t="str">
        <f t="shared" si="164"/>
        <v/>
      </c>
      <c r="CR229" s="29" t="str">
        <f>IF(OR(AN228="",AF229=""),"",IF(AN228="NO",AF229,0))</f>
        <v/>
      </c>
      <c r="CS229" s="4"/>
    </row>
    <row r="230" spans="1:97" ht="2" customHeight="1">
      <c r="B230" s="481"/>
      <c r="C230" s="118"/>
      <c r="D230" s="126" t="str">
        <f>+IFERROR(INDEX('DESEMPATE Y DISCAPACIDAD'!$D$3:$D$450,MATCH(C230,'DESEMPATE Y DISCAPACIDAD'!$C$3:$C$450,0)),"")</f>
        <v/>
      </c>
      <c r="E230" s="127" t="str">
        <f>IFERROR(IF(D230="","",IF(VLOOKUP(D230,'DESEMPATE Y DISCAPACIDAD'!D$3:$E$450,2,FALSE)=1,"N/A",IF(VLOOKUP(D230,'DESEMPATE Y DISCAPACIDAD'!D$3:$F$450,3,FALSE)="X","SI","NO"))),"")</f>
        <v/>
      </c>
      <c r="F230" s="125"/>
      <c r="G230" s="125"/>
      <c r="H230" s="125"/>
      <c r="I230" s="128"/>
      <c r="J230" s="125"/>
      <c r="K230" s="125"/>
      <c r="L230" s="125"/>
      <c r="M230" s="125"/>
      <c r="N230" s="125" t="str">
        <f t="shared" si="203"/>
        <v/>
      </c>
      <c r="O230" s="125" t="str">
        <f t="shared" si="210"/>
        <v/>
      </c>
      <c r="P230" s="125" t="str">
        <f t="shared" si="204"/>
        <v/>
      </c>
      <c r="Q230" s="125" t="str">
        <f t="shared" si="184"/>
        <v/>
      </c>
      <c r="R230" s="68"/>
      <c r="S230" s="129"/>
      <c r="T230" s="129"/>
      <c r="U230" s="125" t="str">
        <f t="shared" si="205"/>
        <v/>
      </c>
      <c r="V230" s="117" t="str">
        <f>IF(U230=2023,1160000,IFERROR(INDEX([1]SMMLV!$B$2:$B$101,MATCH(U230,[1]SMMLV!$A$2:$A$101,0)),""))</f>
        <v/>
      </c>
      <c r="W230" s="117"/>
      <c r="X230" s="125"/>
      <c r="Y230" s="125"/>
      <c r="Z230" s="474"/>
      <c r="AA230" s="475"/>
      <c r="AB230" s="476"/>
      <c r="AC230" s="125" t="str">
        <f t="shared" si="206"/>
        <v/>
      </c>
      <c r="AD230" s="117" t="str">
        <f t="shared" si="185"/>
        <v/>
      </c>
      <c r="AE230" s="117" t="str">
        <f t="shared" si="187"/>
        <v/>
      </c>
      <c r="AF230" s="117" t="str">
        <f t="shared" si="174"/>
        <v/>
      </c>
      <c r="AG230" s="470"/>
      <c r="AH230" s="470"/>
      <c r="AI230" s="125" t="str">
        <f t="shared" si="175"/>
        <v/>
      </c>
      <c r="AJ230" s="470"/>
      <c r="AK230" s="470"/>
      <c r="AL230" s="472"/>
      <c r="AM230" s="496"/>
      <c r="AN230" s="125"/>
      <c r="AO230" s="490"/>
      <c r="AP230" s="125"/>
      <c r="AQ230" s="490"/>
      <c r="AR230" s="522"/>
      <c r="AS230" s="519"/>
      <c r="AT230" s="204"/>
      <c r="AU230" s="640"/>
      <c r="AV230" s="643"/>
      <c r="AW230" s="634"/>
      <c r="AX230" s="634"/>
      <c r="AY230" s="19"/>
      <c r="CB230" s="29" t="str">
        <f>IFERROR(IF(COUNTIF(AF223:AF232,"")=10,"",IF(COUNTIF(E223:E232,"N/A")&gt;0,IF(AF230&gt;=CMEMM1,AF230,0),"N/A")),"")</f>
        <v>N/A</v>
      </c>
      <c r="CC230" s="4"/>
      <c r="CD230" s="4" t="str">
        <f>IFERROR(IF(COUNTIF(AF223:AF232,"")=10,"",IF(AF230="","",IF(AF230&gt;=CMEMM1,1,0))),"")</f>
        <v/>
      </c>
      <c r="CE230" s="4" t="str">
        <f>B223&amp;"-0"&amp;8</f>
        <v>P23-08</v>
      </c>
      <c r="CF230" s="4" t="str">
        <f>IFERROR(INDEX('DESEMPATE Y DISCAPACIDAD'!$D$3:$D$450,MATCH(CE230,'DESEMPATE Y DISCAPACIDAD'!$C$3:$C$450,0)),"")</f>
        <v/>
      </c>
      <c r="CG230" s="4" t="str">
        <f>IF(OR(CE230="",CF230=""),"",SUMIF(D223:D232,CF230,CD223:CD232))</f>
        <v/>
      </c>
      <c r="CH230" s="4" t="str">
        <f t="shared" si="209"/>
        <v/>
      </c>
      <c r="CI230" s="4" t="str">
        <f t="shared" si="207"/>
        <v/>
      </c>
      <c r="CJ230" s="4"/>
      <c r="CK230" s="4"/>
      <c r="CL230" s="4" t="str">
        <f t="shared" si="182"/>
        <v/>
      </c>
      <c r="CM230" s="4" t="str">
        <f t="shared" si="183"/>
        <v/>
      </c>
      <c r="CN230" s="4" t="str">
        <f t="shared" si="208"/>
        <v/>
      </c>
      <c r="CO230" s="4"/>
      <c r="CP230" s="4"/>
      <c r="CQ230" s="29" t="str">
        <f t="shared" si="164"/>
        <v/>
      </c>
      <c r="CR230" s="29" t="str">
        <f>IF(OR(AN230="",AF230=""),"",IF(AN230="NO",AF230,0))</f>
        <v/>
      </c>
      <c r="CS230" s="4"/>
    </row>
    <row r="231" spans="1:97" ht="2" customHeight="1">
      <c r="B231" s="481"/>
      <c r="C231" s="118"/>
      <c r="D231" s="126" t="str">
        <f>+IFERROR(INDEX('DESEMPATE Y DISCAPACIDAD'!$D$3:$D$450,MATCH(C231,'DESEMPATE Y DISCAPACIDAD'!$C$3:$C$450,0)),"")</f>
        <v/>
      </c>
      <c r="E231" s="127" t="str">
        <f>IFERROR(IF(D231="","",IF(VLOOKUP(D231,'DESEMPATE Y DISCAPACIDAD'!D$3:$E$450,2,FALSE)=1,"N/A",IF(VLOOKUP(D231,'DESEMPATE Y DISCAPACIDAD'!D$3:$F$450,3,FALSE)="X","SI","NO"))),"")</f>
        <v/>
      </c>
      <c r="F231" s="125"/>
      <c r="G231" s="125"/>
      <c r="H231" s="125"/>
      <c r="I231" s="128"/>
      <c r="J231" s="125"/>
      <c r="K231" s="125"/>
      <c r="L231" s="125"/>
      <c r="M231" s="125"/>
      <c r="N231" s="125" t="str">
        <f t="shared" si="203"/>
        <v/>
      </c>
      <c r="O231" s="125" t="str">
        <f t="shared" si="210"/>
        <v/>
      </c>
      <c r="P231" s="125" t="str">
        <f t="shared" si="204"/>
        <v/>
      </c>
      <c r="Q231" s="125" t="str">
        <f t="shared" si="184"/>
        <v/>
      </c>
      <c r="R231" s="68"/>
      <c r="S231" s="129"/>
      <c r="T231" s="129"/>
      <c r="U231" s="125" t="str">
        <f t="shared" si="205"/>
        <v/>
      </c>
      <c r="V231" s="117" t="str">
        <f>IF(U231=2023,1160000,IFERROR(INDEX([1]SMMLV!$B$2:$B$101,MATCH(U231,[1]SMMLV!$A$2:$A$101,0)),""))</f>
        <v/>
      </c>
      <c r="W231" s="117"/>
      <c r="X231" s="125"/>
      <c r="Y231" s="125"/>
      <c r="Z231" s="474"/>
      <c r="AA231" s="475"/>
      <c r="AB231" s="476"/>
      <c r="AC231" s="125" t="str">
        <f t="shared" si="206"/>
        <v/>
      </c>
      <c r="AD231" s="117" t="str">
        <f t="shared" si="185"/>
        <v/>
      </c>
      <c r="AE231" s="117" t="str">
        <f t="shared" si="187"/>
        <v/>
      </c>
      <c r="AF231" s="117" t="str">
        <f t="shared" si="174"/>
        <v/>
      </c>
      <c r="AG231" s="470"/>
      <c r="AH231" s="470"/>
      <c r="AI231" s="125" t="str">
        <f t="shared" si="175"/>
        <v/>
      </c>
      <c r="AJ231" s="470"/>
      <c r="AK231" s="470"/>
      <c r="AL231" s="472"/>
      <c r="AM231" s="496"/>
      <c r="AN231" s="125"/>
      <c r="AO231" s="490"/>
      <c r="AP231" s="125"/>
      <c r="AQ231" s="490"/>
      <c r="AR231" s="522"/>
      <c r="AS231" s="519"/>
      <c r="AT231" s="204"/>
      <c r="AU231" s="640"/>
      <c r="AV231" s="643"/>
      <c r="AW231" s="634"/>
      <c r="AX231" s="634"/>
      <c r="AY231" s="19"/>
      <c r="CB231" s="29" t="str">
        <f>IFERROR(IF(COUNTIF(AF223:AF232,"")=10,"",IF(COUNTIF(E223:E232,"N/A")&gt;0,IF(AF231&gt;=CMEMM1,AF231,0),"N/A")),"")</f>
        <v>N/A</v>
      </c>
      <c r="CC231" s="4"/>
      <c r="CD231" s="4" t="str">
        <f>IFERROR(IF(COUNTIF(AF223:AF232,"")=10,"",IF(AF231="","",IF(AF231&gt;=CMEMM1,1,0))),"")</f>
        <v/>
      </c>
      <c r="CE231" s="4" t="str">
        <f>B223&amp;"-0"&amp;9</f>
        <v>P23-09</v>
      </c>
      <c r="CF231" s="4" t="str">
        <f>IFERROR(INDEX('DESEMPATE Y DISCAPACIDAD'!$D$3:$D$450,MATCH(CE231,'DESEMPATE Y DISCAPACIDAD'!$C$3:$C$450,0)),"")</f>
        <v/>
      </c>
      <c r="CG231" s="4" t="str">
        <f>IF(OR(CE231="",CF231=""),"",SUMIF(D223:D232,CF231,CD223:CD232))</f>
        <v/>
      </c>
      <c r="CH231" s="4" t="str">
        <f t="shared" si="209"/>
        <v/>
      </c>
      <c r="CI231" s="4" t="str">
        <f t="shared" si="207"/>
        <v/>
      </c>
      <c r="CJ231" s="4"/>
      <c r="CK231" s="4"/>
      <c r="CL231" s="4" t="str">
        <f t="shared" si="182"/>
        <v/>
      </c>
      <c r="CM231" s="4" t="str">
        <f t="shared" si="183"/>
        <v/>
      </c>
      <c r="CN231" s="4" t="str">
        <f t="shared" si="208"/>
        <v/>
      </c>
      <c r="CO231" s="4"/>
      <c r="CP231" s="4"/>
      <c r="CQ231" s="29" t="str">
        <f t="shared" si="164"/>
        <v/>
      </c>
      <c r="CR231" s="29" t="str">
        <f t="shared" si="188"/>
        <v/>
      </c>
      <c r="CS231" s="4"/>
    </row>
    <row r="232" spans="1:97" ht="2" customHeight="1" thickBot="1">
      <c r="B232" s="482"/>
      <c r="C232" s="130"/>
      <c r="D232" s="131" t="str">
        <f>+IFERROR(INDEX('DESEMPATE Y DISCAPACIDAD'!$D$3:$D$450,MATCH(C232,'DESEMPATE Y DISCAPACIDAD'!$C$3:$C$450,0)),"")</f>
        <v/>
      </c>
      <c r="E232" s="132" t="str">
        <f>IFERROR(IF(D232="","",IF(VLOOKUP(D232,'DESEMPATE Y DISCAPACIDAD'!D$3:$E$450,2,FALSE)=1,"N/A",IF(VLOOKUP(D232,'DESEMPATE Y DISCAPACIDAD'!D$3:$F$450,3,FALSE)="X","SI","NO"))),"")</f>
        <v/>
      </c>
      <c r="F232" s="133"/>
      <c r="G232" s="133"/>
      <c r="H232" s="133"/>
      <c r="I232" s="134"/>
      <c r="J232" s="133"/>
      <c r="K232" s="133"/>
      <c r="L232" s="133"/>
      <c r="M232" s="133"/>
      <c r="N232" s="133" t="str">
        <f t="shared" si="203"/>
        <v/>
      </c>
      <c r="O232" s="133" t="str">
        <f t="shared" si="210"/>
        <v/>
      </c>
      <c r="P232" s="133" t="str">
        <f t="shared" si="204"/>
        <v/>
      </c>
      <c r="Q232" s="133" t="str">
        <f t="shared" si="184"/>
        <v/>
      </c>
      <c r="R232" s="104"/>
      <c r="S232" s="135"/>
      <c r="T232" s="135"/>
      <c r="U232" s="133" t="str">
        <f t="shared" si="205"/>
        <v/>
      </c>
      <c r="V232" s="136" t="str">
        <f>IF(U232=2023,1160000,IFERROR(INDEX([1]SMMLV!$B$2:$B$101,MATCH(U232,[1]SMMLV!$A$2:$A$101,0)),""))</f>
        <v/>
      </c>
      <c r="W232" s="136"/>
      <c r="X232" s="133"/>
      <c r="Y232" s="133"/>
      <c r="Z232" s="487"/>
      <c r="AA232" s="488"/>
      <c r="AB232" s="489"/>
      <c r="AC232" s="133" t="str">
        <f t="shared" si="206"/>
        <v/>
      </c>
      <c r="AD232" s="136" t="str">
        <f t="shared" si="185"/>
        <v/>
      </c>
      <c r="AE232" s="117" t="str">
        <f t="shared" si="187"/>
        <v/>
      </c>
      <c r="AF232" s="136" t="str">
        <f t="shared" si="174"/>
        <v/>
      </c>
      <c r="AG232" s="471"/>
      <c r="AH232" s="471"/>
      <c r="AI232" s="133" t="str">
        <f t="shared" si="175"/>
        <v/>
      </c>
      <c r="AJ232" s="471"/>
      <c r="AK232" s="471"/>
      <c r="AL232" s="473"/>
      <c r="AM232" s="497"/>
      <c r="AN232" s="133"/>
      <c r="AO232" s="491"/>
      <c r="AP232" s="133"/>
      <c r="AQ232" s="491"/>
      <c r="AR232" s="523"/>
      <c r="AS232" s="520"/>
      <c r="AT232" s="206"/>
      <c r="AU232" s="641"/>
      <c r="AV232" s="644"/>
      <c r="AW232" s="635"/>
      <c r="AX232" s="635"/>
      <c r="AY232" s="19"/>
      <c r="CB232" s="29" t="str">
        <f>IFERROR(IF(COUNTIF(AF223:AF232,"")=10,"",IF(COUNTIF(E223:E232,"N/A")&gt;0,IF(AF232&gt;=CMEMM1,AF232,0),"N/A")),"")</f>
        <v>N/A</v>
      </c>
      <c r="CC232" s="4"/>
      <c r="CD232" s="4" t="str">
        <f>IFERROR(IF(COUNTIF(AF223:AF232,"")=10,"",IF(AF232="","",IF(AF232&gt;=CMEMM1,1,0))),"")</f>
        <v/>
      </c>
      <c r="CE232" s="4" t="str">
        <f>B223&amp;"-"&amp;10</f>
        <v>P23-10</v>
      </c>
      <c r="CF232" s="4" t="str">
        <f>IFERROR(INDEX('DESEMPATE Y DISCAPACIDAD'!$D$3:$D$450,MATCH(CE232,'DESEMPATE Y DISCAPACIDAD'!$C$3:$C$450,0)),"")</f>
        <v/>
      </c>
      <c r="CG232" s="4" t="str">
        <f>IF(OR(CE232="",CF232=""),"",SUMIF(D223:D232,CF232,CD223:CD232))</f>
        <v/>
      </c>
      <c r="CH232" s="4" t="str">
        <f t="shared" si="209"/>
        <v/>
      </c>
      <c r="CI232" s="4" t="str">
        <f t="shared" si="207"/>
        <v/>
      </c>
      <c r="CJ232" s="4"/>
      <c r="CK232" s="4"/>
      <c r="CL232" s="4" t="str">
        <f t="shared" si="182"/>
        <v/>
      </c>
      <c r="CM232" s="4" t="str">
        <f t="shared" si="183"/>
        <v/>
      </c>
      <c r="CN232" s="4" t="str">
        <f t="shared" si="208"/>
        <v/>
      </c>
      <c r="CO232" s="4"/>
      <c r="CP232" s="4"/>
      <c r="CQ232" s="29" t="str">
        <f t="shared" si="164"/>
        <v/>
      </c>
      <c r="CR232" s="29" t="str">
        <f t="shared" si="188"/>
        <v/>
      </c>
      <c r="CS232" s="4"/>
    </row>
    <row r="233" spans="1:97" ht="45" customHeight="1">
      <c r="A233" s="4" t="str">
        <f>"A"&amp;B233</f>
        <v>AP24</v>
      </c>
      <c r="B233" s="648" t="s">
        <v>285</v>
      </c>
      <c r="C233" s="108" t="s">
        <v>362</v>
      </c>
      <c r="D233" s="119" t="str">
        <f>+IFERROR(INDEX('DESEMPATE Y DISCAPACIDAD'!$D$3:$D$450,MATCH(C233,'DESEMPATE Y DISCAPACIDAD'!$C$3:$C$450,0)),"")</f>
        <v>Estudios TÈcnicos S.A.S.</v>
      </c>
      <c r="E233" s="120" t="str">
        <f>IFERROR(IF(D233="","",IF(VLOOKUP(D233,'DESEMPATE Y DISCAPACIDAD'!D$3:$E$450,2,FALSE)=1,"N/A",IF(VLOOKUP(D233,'DESEMPATE Y DISCAPACIDAD'!D$3:$F$450,3,FALSE)="X","SI","NO"))),"")</f>
        <v>NO</v>
      </c>
      <c r="F233" s="254" t="s">
        <v>1143</v>
      </c>
      <c r="G233" s="254" t="s">
        <v>660</v>
      </c>
      <c r="H233" s="253" t="s">
        <v>1144</v>
      </c>
      <c r="I233" s="253" t="s">
        <v>1145</v>
      </c>
      <c r="J233" s="121" t="s">
        <v>74</v>
      </c>
      <c r="K233" s="121" t="s">
        <v>74</v>
      </c>
      <c r="L233" s="121" t="s">
        <v>75</v>
      </c>
      <c r="M233" s="121" t="s">
        <v>74</v>
      </c>
      <c r="N233" s="121" t="str">
        <f>IFERROR(IF(OR(J233="",K233=""),"",IF(J233="NO","NO",K233)),"")</f>
        <v>SI</v>
      </c>
      <c r="O233" s="121" t="str">
        <f>IFERROR(IF(OR(J233="",L233=""),"",IF(J233="NO","NO",L233)),"")</f>
        <v>NO</v>
      </c>
      <c r="P233" s="121" t="str">
        <f>IFERROR(IF(OR(J233="",M233=""),"",IF(J233="NO","NO",M233)),"")</f>
        <v>SI</v>
      </c>
      <c r="Q233" s="121" t="str">
        <f t="shared" si="184"/>
        <v>SI</v>
      </c>
      <c r="R233" s="267">
        <v>0.5</v>
      </c>
      <c r="S233" s="268">
        <v>40078</v>
      </c>
      <c r="T233" s="269">
        <v>42216</v>
      </c>
      <c r="U233" s="121">
        <f>IFERROR(IF(T233="","",YEAR(T233)),"")</f>
        <v>2015</v>
      </c>
      <c r="V233" s="277">
        <f>IF(U233=2023,1160000,IFERROR(INDEX([1]SMMLV!$B$2:$B$101,MATCH(U233,[1]SMMLV!$A$2:$A$101,0)),""))</f>
        <v>644350</v>
      </c>
      <c r="W233" s="124" t="s">
        <v>670</v>
      </c>
      <c r="X233" s="121" t="s">
        <v>671</v>
      </c>
      <c r="Y233" s="254">
        <v>255</v>
      </c>
      <c r="Z233" s="483" t="s">
        <v>74</v>
      </c>
      <c r="AA233" s="484"/>
      <c r="AB233" s="485"/>
      <c r="AC233" s="121" t="str">
        <f>IFERROR(IF(Y233="","",IF(ISNUMBER(Y233),IF(COUNTIF(Z233,"SI")&gt;0,"SI","NO"),Y233)),"")</f>
        <v>SI</v>
      </c>
      <c r="AD233" s="124" t="str">
        <f t="shared" si="185"/>
        <v>N/A</v>
      </c>
      <c r="AE233" s="117">
        <v>18277.7</v>
      </c>
      <c r="AF233" s="124">
        <f t="shared" si="174"/>
        <v>9138.85</v>
      </c>
      <c r="AG233" s="486" t="str">
        <f>IFERROR(IF(COUNTIF(AF233:AF242,"")=10,"",IF(COUNTIF(E233:E242,"N/A")&gt;0,IF(SUM(CB233:CB242)&gt;=CMEM1,"CUMPLE","NO CUMPLE"),IF(SUM(AF233:AF242)&gt;=CMEM1,"CUMPLE","NO CUMPLE"))),"")</f>
        <v>CUMPLE</v>
      </c>
      <c r="AH233" s="486" t="str">
        <f>IF(COUNTIF(AF233:AF242,"")=10,"",IF(SUMIF(C233:C242,C233,AF233:AF242)&gt;=CMLM1,"CUMPLE",IF(SUMIF(C233:C242,C234,AF233:AF242)&gt;=CMLM1,"CUMPLE",IF(SUMIF(C233:C242,C235,AF233:AF242)&gt;=CMLM1,"CUMPLE",IF(SUMIF(C233:C242,C236,AF233:AF242)&gt;=CMLM1,"CUMPLE",IF(SUMIF(C233:C242,C237,AF233:AF242)&gt;=CMLM1,"CUMPLE",IF(SUMIF(C233:C242,C238,AF233:AF242)&gt;=CMLM1,"CUMPLE",IF(SUMIF(C233:C242,C239,AF233:AF242)&gt;=CMLM1,"CUMPLE",IF(SUMIF(C233:C242,C240,AF233:AF242)&gt;=CMLM1,"CUMPLE",IF(SUMIF(C233:C242,C241,AF233:AF242)&gt;=CMLM1,"CUMPLE",IF(SUMIF(C233:C242,C242,AF233:AF242)&gt;=CMLM1,"CUMPLE","NO CUMPLE")))))))))))</f>
        <v>CUMPLE</v>
      </c>
      <c r="AI233" s="121" t="str">
        <f t="shared" si="175"/>
        <v>CUMPLE</v>
      </c>
      <c r="AJ233" s="469" t="str">
        <f>IFERROR(IF(COUNTIF(AF233:AF242,"")=10,"",IF(COUNTIF(E233:E242,"N/A")&gt;0,"N/A",CJ233)),"")</f>
        <v>CUMPLE</v>
      </c>
      <c r="AK233" s="469" t="str">
        <f>IFERROR(IF(AND(COUNTIF(N233:N242,"SI")&gt;=1,COUNTIF(O233:O242,"SI")&gt;=1,COUNTIF(P233:P242,"SI")&gt;=1,COUNTIF(J233:J242,"SI")&lt;=10,CO233="CUMPLE"),"CUMPLE","NO CUMPLE"),"")</f>
        <v>CUMPLE</v>
      </c>
      <c r="AL233" s="527" t="s">
        <v>77</v>
      </c>
      <c r="AM233" s="504">
        <f>IFERROR(IF(B233&lt;&gt;"",IF(VLOOKUP(B233,'DESEMPATE Y DISCAPACIDAD'!$A$3:$Q$450,10,FALSE)="","",VLOOKUP(B233,'DESEMPATE Y DISCAPACIDAD'!$A$3:$Q$450,10,FALSE)+6),""),"")</f>
        <v>8</v>
      </c>
      <c r="AN233" s="179" t="s">
        <v>75</v>
      </c>
      <c r="AO233" s="498" t="s">
        <v>74</v>
      </c>
      <c r="AP233" s="179" t="s">
        <v>74</v>
      </c>
      <c r="AQ233" s="498">
        <f>IFERROR(IF(COUNTIF(AP233:AP242,"")=10,"",IF(AO233="NO",0,COUNTIF(AP233:AP242,"SI"))),"")</f>
        <v>5</v>
      </c>
      <c r="AR233" s="599">
        <f>IFERROR(IF(COUNTIF(AF233:AF242,"")=10,"",IF(AO233="NO",0,IF(COUNTIF(E233:E242,"N/A")&gt;0,SUM(CQ233:CQ242),SUM(CR233:CR242)))),"")</f>
        <v>77207.854799999986</v>
      </c>
      <c r="AS233" s="586">
        <f>IFERROR(IF(OR(COUNTIF(AF233:AF242,"")=10,AQ233="",AR233=""),"",IF(AO233="NO",0,AR233/AQ233)),"")</f>
        <v>15441.570959999997</v>
      </c>
      <c r="AT233" s="207"/>
      <c r="AU233" s="627" t="s">
        <v>1181</v>
      </c>
      <c r="AV233" s="630" t="s">
        <v>1357</v>
      </c>
      <c r="AW233" s="633" t="s">
        <v>1357</v>
      </c>
      <c r="AX233" s="633" t="s">
        <v>1357</v>
      </c>
      <c r="AY233" s="19"/>
      <c r="CB233" s="29" t="str">
        <f>IFERROR(IF(COUNTIF(AF233:AF242,"")=10,"",IF(COUNTIF(E233:E242,"N/A")&gt;0,IF(AF233&gt;=CMEMM1,AF233,0),"N/A")),"")</f>
        <v>N/A</v>
      </c>
      <c r="CC233" s="4"/>
      <c r="CD233" s="4">
        <f>IFERROR(IF(COUNTIF(AF233:AF242,"")=10,"",IF(AF233="","",IF(AF233&gt;=CMEMM1,1,0))),"")</f>
        <v>1</v>
      </c>
      <c r="CE233" s="4" t="str">
        <f>B233&amp;"-0"&amp;1</f>
        <v>P24-01</v>
      </c>
      <c r="CF233" s="4" t="str">
        <f>IFERROR(INDEX('DESEMPATE Y DISCAPACIDAD'!$D$3:$D$450,MATCH(CE233,'DESEMPATE Y DISCAPACIDAD'!$C$3:$C$450,0)),"")</f>
        <v>Estudios TÈcnicos S.A.S.</v>
      </c>
      <c r="CG233" s="4">
        <f>IF(OR(CE233="",CF233=""),"",SUMIF(D233:D242,CF233,CD233:CD242))</f>
        <v>3</v>
      </c>
      <c r="CH233" s="4" t="str">
        <f t="shared" si="209"/>
        <v>CUMPLE</v>
      </c>
      <c r="CI233" s="4">
        <f>IF(CF233="","",IF(ISTEXT(CF233),1,0))</f>
        <v>1</v>
      </c>
      <c r="CJ233" s="4" t="str">
        <f>IF(OR(CD233="",CE233="",CF233="",CG233="",CH233="",CI233=""),"",IF(COUNTIF(CH233:CH242,"CUMPLE")=COUNTIF(CI233:CI242,1),"CUMPLE","NO CUMPLE"))</f>
        <v>CUMPLE</v>
      </c>
      <c r="CK233" s="4"/>
      <c r="CL233" s="4">
        <f t="shared" si="182"/>
        <v>1</v>
      </c>
      <c r="CM233" s="4">
        <f t="shared" si="183"/>
        <v>0</v>
      </c>
      <c r="CN233" s="4" t="str">
        <f>IF(OR(CL233="",CM233=""),"",IF(AND(CL233=0,CM233=0),"N/A",IF(AND(CL233=1,CM233=0),"COND. A",IF(AND(CL233=0,CM233=1),"COND. B",IF(AND(CL233=1,CM233=1),"COND. A Y B","")))))</f>
        <v>COND. A</v>
      </c>
      <c r="CO233" s="4" t="str">
        <f>IF(COUNTIF(CN233:CN242,"N/A")=10,"NO CUMPLE",IF(COUNTIF(CN233:CN242,"COND. A Y B")&gt;1,"CUMPLE",IF(AND(COUNTIF(CN233:CN242,"COND. A")&gt;0,COUNTIF(CN233:CN242,"COND. B")&gt;0),"CUMPLE",IF(AND(COUNTIF(CN233:CN242,"COND. A Y B")&gt;0,COUNTIF(CN233:CN242,"COND. A")&gt;0),"CUMPLE",IF(AND(COUNTIF(CN233:CN242,"COND. A Y B")&gt;0,COUNTIF(CN233:CN242,"COND. B")&gt;0),"CUMPLE","NO CUMPLE")))))</f>
        <v>CUMPLE</v>
      </c>
      <c r="CP233" s="4"/>
      <c r="CQ233" s="29" t="str">
        <f t="shared" si="164"/>
        <v>N/A</v>
      </c>
      <c r="CR233" s="29">
        <f t="shared" si="188"/>
        <v>9138.85</v>
      </c>
      <c r="CS233" s="4"/>
    </row>
    <row r="234" spans="1:97" ht="45" customHeight="1">
      <c r="B234" s="649"/>
      <c r="C234" s="118" t="s">
        <v>362</v>
      </c>
      <c r="D234" s="119" t="str">
        <f>+IFERROR(INDEX('DESEMPATE Y DISCAPACIDAD'!$D$3:$D$450,MATCH(C234,'DESEMPATE Y DISCAPACIDAD'!$C$3:$C$450,0)),"")</f>
        <v>Estudios TÈcnicos S.A.S.</v>
      </c>
      <c r="E234" s="120" t="str">
        <f>IFERROR(IF(D234="","",IF(VLOOKUP(D234,'DESEMPATE Y DISCAPACIDAD'!D$3:$E$450,2,FALSE)=1,"N/A",IF(VLOOKUP(D234,'DESEMPATE Y DISCAPACIDAD'!D$3:$F$450,3,FALSE)="X","SI","NO"))),"")</f>
        <v>NO</v>
      </c>
      <c r="F234" s="254" t="s">
        <v>940</v>
      </c>
      <c r="G234" s="254" t="s">
        <v>660</v>
      </c>
      <c r="H234" s="253" t="s">
        <v>1146</v>
      </c>
      <c r="I234" s="253" t="s">
        <v>1147</v>
      </c>
      <c r="J234" s="179" t="s">
        <v>74</v>
      </c>
      <c r="K234" s="3" t="s">
        <v>74</v>
      </c>
      <c r="L234" s="3" t="s">
        <v>74</v>
      </c>
      <c r="M234" s="3" t="s">
        <v>74</v>
      </c>
      <c r="N234" s="179" t="str">
        <f t="shared" ref="N234:N242" si="211">IFERROR(IF(OR(J234="",K234=""),"",IF(J234="NO","NO",K234)),"")</f>
        <v>SI</v>
      </c>
      <c r="O234" s="179" t="str">
        <f>IFERROR(IF(OR(J234="",L234=""),"",IF(J234="NO","NO",L234)),"")</f>
        <v>SI</v>
      </c>
      <c r="P234" s="179" t="str">
        <f t="shared" ref="P234:P242" si="212">IFERROR(IF(OR(J234="",M234=""),"",IF(J234="NO","NO",M234)),"")</f>
        <v>SI</v>
      </c>
      <c r="Q234" s="179" t="str">
        <f t="shared" si="184"/>
        <v>SI</v>
      </c>
      <c r="R234" s="355">
        <v>0.49</v>
      </c>
      <c r="S234" s="356">
        <v>42382</v>
      </c>
      <c r="T234" s="357">
        <v>46083</v>
      </c>
      <c r="U234" s="179">
        <f t="shared" ref="U234:U242" si="213">IFERROR(IF(T234="","",YEAR(T234)),"")</f>
        <v>2026</v>
      </c>
      <c r="V234" s="358">
        <v>1750905</v>
      </c>
      <c r="W234" s="358">
        <v>62229651291</v>
      </c>
      <c r="X234" s="3" t="s">
        <v>671</v>
      </c>
      <c r="Y234" s="359">
        <v>378</v>
      </c>
      <c r="Z234" s="477" t="s">
        <v>74</v>
      </c>
      <c r="AA234" s="478"/>
      <c r="AB234" s="479"/>
      <c r="AC234" s="3" t="str">
        <f t="shared" ref="AC234:AC242" si="214">IFERROR(IF(Y234="","",IF(ISNUMBER(Y234),IF(COUNTIF(Z234,"SI")&gt;0,"SI","NO"),Y234)),"")</f>
        <v>SI</v>
      </c>
      <c r="AD234" s="21">
        <f t="shared" si="185"/>
        <v>62229651291</v>
      </c>
      <c r="AE234" s="21">
        <f t="shared" si="187"/>
        <v>35541.42</v>
      </c>
      <c r="AF234" s="21">
        <f t="shared" si="174"/>
        <v>17415.2958</v>
      </c>
      <c r="AG234" s="470"/>
      <c r="AH234" s="470"/>
      <c r="AI234" s="125" t="str">
        <f t="shared" si="175"/>
        <v>CUMPLE</v>
      </c>
      <c r="AJ234" s="470"/>
      <c r="AK234" s="470"/>
      <c r="AL234" s="527"/>
      <c r="AM234" s="505"/>
      <c r="AN234" s="3" t="s">
        <v>75</v>
      </c>
      <c r="AO234" s="498"/>
      <c r="AP234" s="3" t="s">
        <v>74</v>
      </c>
      <c r="AQ234" s="498"/>
      <c r="AR234" s="600"/>
      <c r="AS234" s="587"/>
      <c r="AT234" s="204"/>
      <c r="AU234" s="628"/>
      <c r="AV234" s="631"/>
      <c r="AW234" s="634"/>
      <c r="AX234" s="634"/>
      <c r="AY234" s="19"/>
      <c r="CB234" s="29" t="str">
        <f>IFERROR(IF(COUNTIF(AF233:AF242,"")=10,"",IF(COUNTIF(E233:E242,"N/A")&gt;0,IF(AF234&gt;=CMEMM1,AF234,0),"N/A")),"")</f>
        <v>N/A</v>
      </c>
      <c r="CC234" s="4"/>
      <c r="CD234" s="4">
        <f>IFERROR(IF(COUNTIF(AF233:AF242,"")=10,"",IF(AF234="","",IF(AF234&gt;=CMEMM1,1,0))),"")</f>
        <v>1</v>
      </c>
      <c r="CE234" s="4" t="str">
        <f>B233&amp;"-0"&amp;2</f>
        <v>P24-02</v>
      </c>
      <c r="CF234" s="4" t="str">
        <f>IFERROR(INDEX('DESEMPATE Y DISCAPACIDAD'!$D$3:$D$450,MATCH(CE234,'DESEMPATE Y DISCAPACIDAD'!$C$3:$C$450,0)),"")</f>
        <v>SIGA IngenierÌa y ConsultorÌa S.A. Sucursal Colombia</v>
      </c>
      <c r="CG234" s="4">
        <f>IF(OR(CE234="",CF234=""),"",SUMIF(D233:D242,CF234,CD233:CD242))</f>
        <v>2</v>
      </c>
      <c r="CH234" s="4" t="str">
        <f t="shared" si="209"/>
        <v>CUMPLE</v>
      </c>
      <c r="CI234" s="4">
        <f t="shared" ref="CI234:CI242" si="215">IF(CF234="","",IF(ISTEXT(CF234),1,0))</f>
        <v>1</v>
      </c>
      <c r="CJ234" s="4"/>
      <c r="CK234" s="4"/>
      <c r="CL234" s="4">
        <f t="shared" si="182"/>
        <v>1</v>
      </c>
      <c r="CM234" s="4">
        <f t="shared" si="183"/>
        <v>1</v>
      </c>
      <c r="CN234" s="4" t="str">
        <f t="shared" ref="CN234:CN242" si="216">IF(OR(CL234="",CM234=""),"",IF(AND(CL234=0,CM234=0),"N/A",IF(AND(CL234=1,CM234=0),"COND. A",IF(AND(CL234=0,CM234=1),"COND. B",IF(AND(CL234=1,CM234=1),"COND. A Y B","")))))</f>
        <v>COND. A Y B</v>
      </c>
      <c r="CO234" s="4"/>
      <c r="CP234" s="4"/>
      <c r="CQ234" s="29" t="str">
        <f t="shared" si="164"/>
        <v>N/A</v>
      </c>
      <c r="CR234" s="29">
        <f t="shared" si="188"/>
        <v>17415.2958</v>
      </c>
      <c r="CS234" s="4"/>
    </row>
    <row r="235" spans="1:97" ht="45" customHeight="1">
      <c r="B235" s="649"/>
      <c r="C235" s="247" t="s">
        <v>362</v>
      </c>
      <c r="D235" s="126" t="str">
        <f>+IFERROR(INDEX('DESEMPATE Y DISCAPACIDAD'!$D$3:$D$450,MATCH(C235,'DESEMPATE Y DISCAPACIDAD'!$C$3:$C$450,0)),"")</f>
        <v>Estudios TÈcnicos S.A.S.</v>
      </c>
      <c r="E235" s="127" t="str">
        <f>IFERROR(IF(D235="","",IF(VLOOKUP(D235,'DESEMPATE Y DISCAPACIDAD'!D$3:$E$450,2,FALSE)=1,"N/A",IF(VLOOKUP(D235,'DESEMPATE Y DISCAPACIDAD'!D$3:$F$450,3,FALSE)="X","SI","NO"))),"")</f>
        <v>NO</v>
      </c>
      <c r="F235" s="651" t="s">
        <v>940</v>
      </c>
      <c r="G235" s="651" t="s">
        <v>660</v>
      </c>
      <c r="H235" s="653" t="s">
        <v>1148</v>
      </c>
      <c r="I235" s="653" t="s">
        <v>1149</v>
      </c>
      <c r="J235" s="3" t="s">
        <v>74</v>
      </c>
      <c r="K235" s="574" t="s">
        <v>74</v>
      </c>
      <c r="L235" s="574" t="s">
        <v>74</v>
      </c>
      <c r="M235" s="574" t="s">
        <v>74</v>
      </c>
      <c r="N235" s="3" t="str">
        <f t="shared" si="211"/>
        <v>SI</v>
      </c>
      <c r="O235" s="3" t="str">
        <f>IFERROR(IF(OR(J235="",L235=""),"",IF(J235="NO","NO",L235)),"")</f>
        <v>SI</v>
      </c>
      <c r="P235" s="3" t="str">
        <f t="shared" si="212"/>
        <v>SI</v>
      </c>
      <c r="Q235" s="3" t="str">
        <f t="shared" si="184"/>
        <v>SI</v>
      </c>
      <c r="R235" s="360">
        <v>0.49</v>
      </c>
      <c r="S235" s="356">
        <v>42836</v>
      </c>
      <c r="T235" s="357">
        <v>46021</v>
      </c>
      <c r="U235" s="3">
        <f t="shared" si="213"/>
        <v>2025</v>
      </c>
      <c r="V235" s="358">
        <v>1423500</v>
      </c>
      <c r="W235" s="21">
        <v>45935247871.160004</v>
      </c>
      <c r="X235" s="3" t="s">
        <v>671</v>
      </c>
      <c r="Y235" s="361">
        <v>373</v>
      </c>
      <c r="Z235" s="477" t="s">
        <v>74</v>
      </c>
      <c r="AA235" s="478"/>
      <c r="AB235" s="479"/>
      <c r="AC235" s="3" t="str">
        <f t="shared" si="214"/>
        <v>SI</v>
      </c>
      <c r="AD235" s="21">
        <f t="shared" si="185"/>
        <v>45935247871.160004</v>
      </c>
      <c r="AE235" s="21">
        <f t="shared" si="187"/>
        <v>32269.23</v>
      </c>
      <c r="AF235" s="21">
        <f t="shared" si="174"/>
        <v>15811.922699999999</v>
      </c>
      <c r="AG235" s="470"/>
      <c r="AH235" s="470"/>
      <c r="AI235" s="125" t="str">
        <f t="shared" si="175"/>
        <v>CUMPLE</v>
      </c>
      <c r="AJ235" s="470"/>
      <c r="AK235" s="470"/>
      <c r="AL235" s="527"/>
      <c r="AM235" s="505"/>
      <c r="AN235" s="574" t="s">
        <v>75</v>
      </c>
      <c r="AO235" s="498"/>
      <c r="AP235" s="574" t="s">
        <v>74</v>
      </c>
      <c r="AQ235" s="498"/>
      <c r="AR235" s="600"/>
      <c r="AS235" s="587"/>
      <c r="AT235" s="204"/>
      <c r="AU235" s="628"/>
      <c r="AV235" s="631"/>
      <c r="AW235" s="634"/>
      <c r="AX235" s="634"/>
      <c r="AY235" s="19"/>
      <c r="CB235" s="29" t="str">
        <f>IFERROR(IF(COUNTIF(AF233:AF242,"")=10,"",IF(COUNTIF(E233:E242,"N/A")&gt;0,IF(AF235&gt;=CMEMM1,AF235,0),"N/A")),"")</f>
        <v>N/A</v>
      </c>
      <c r="CC235" s="4"/>
      <c r="CD235" s="4">
        <f>IFERROR(IF(COUNTIF(AF233:AF242,"")=10,"",IF(AF235="","",IF(AF235&gt;=CMEMM1,1,0))),"")</f>
        <v>1</v>
      </c>
      <c r="CE235" s="4" t="str">
        <f>B233&amp;"-0"&amp;3</f>
        <v>P24-03</v>
      </c>
      <c r="CF235" s="4" t="str">
        <f>IFERROR(INDEX('DESEMPATE Y DISCAPACIDAD'!$D$3:$D$450,MATCH(CE235,'DESEMPATE Y DISCAPACIDAD'!$C$3:$C$450,0)),"")</f>
        <v>Grupo Intecon S.A.S.</v>
      </c>
      <c r="CG235" s="4">
        <f>IF(OR(CE235="",CF235=""),"",SUMIF(D233:D242,CF235,CD233:CD242))</f>
        <v>1</v>
      </c>
      <c r="CH235" s="4" t="str">
        <f t="shared" si="209"/>
        <v>CUMPLE</v>
      </c>
      <c r="CI235" s="4">
        <f t="shared" si="215"/>
        <v>1</v>
      </c>
      <c r="CJ235" s="4"/>
      <c r="CK235" s="4"/>
      <c r="CL235" s="4">
        <f t="shared" si="182"/>
        <v>1</v>
      </c>
      <c r="CM235" s="4">
        <f t="shared" si="183"/>
        <v>1</v>
      </c>
      <c r="CN235" s="4" t="str">
        <f t="shared" si="216"/>
        <v>COND. A Y B</v>
      </c>
      <c r="CO235" s="4"/>
      <c r="CP235" s="4"/>
      <c r="CQ235" s="29" t="str">
        <f>IF(OR(AN234="",CB235=""),"",IF(AN234="NO",CB235,0))</f>
        <v>N/A</v>
      </c>
      <c r="CR235" s="29">
        <f>IF(OR(AN235="",AF235=""),"",IF(AN235="NO",AF235,0))</f>
        <v>15811.922699999999</v>
      </c>
      <c r="CS235" s="4"/>
    </row>
    <row r="236" spans="1:97" ht="45" customHeight="1">
      <c r="B236" s="649"/>
      <c r="C236" s="247" t="s">
        <v>363</v>
      </c>
      <c r="D236" s="126" t="str">
        <f>+IFERROR(INDEX('DESEMPATE Y DISCAPACIDAD'!$D$3:$D$450,MATCH(C236,'DESEMPATE Y DISCAPACIDAD'!$C$3:$C$450,0)),"")</f>
        <v>SIGA IngenierÌa y ConsultorÌa S.A. Sucursal Colombia</v>
      </c>
      <c r="E236" s="127" t="str">
        <f>IFERROR(IF(D236="","",IF(VLOOKUP(D236,'DESEMPATE Y DISCAPACIDAD'!D$3:$E$450,2,FALSE)=1,"N/A",IF(VLOOKUP(D236,'DESEMPATE Y DISCAPACIDAD'!D$3:$F$450,3,FALSE)="X","SI","NO"))),"")</f>
        <v>NO</v>
      </c>
      <c r="F236" s="652"/>
      <c r="G236" s="652"/>
      <c r="H236" s="654"/>
      <c r="I236" s="654"/>
      <c r="J236" s="3" t="s">
        <v>74</v>
      </c>
      <c r="K236" s="575"/>
      <c r="L236" s="575"/>
      <c r="M236" s="575"/>
      <c r="N236" s="3" t="str">
        <f t="shared" si="211"/>
        <v/>
      </c>
      <c r="O236" s="3" t="str">
        <f>IFERROR(IF(OR(J236="",L236=""),"",IF(J236="NO","NO",L236)),"")</f>
        <v/>
      </c>
      <c r="P236" s="3" t="str">
        <f t="shared" si="212"/>
        <v/>
      </c>
      <c r="Q236" s="3" t="str">
        <f t="shared" si="184"/>
        <v>SI</v>
      </c>
      <c r="R236" s="360">
        <v>0.51</v>
      </c>
      <c r="S236" s="356">
        <v>42836</v>
      </c>
      <c r="T236" s="357">
        <v>46021</v>
      </c>
      <c r="U236" s="3">
        <f t="shared" si="213"/>
        <v>2025</v>
      </c>
      <c r="V236" s="358">
        <v>1423500</v>
      </c>
      <c r="W236" s="21">
        <v>45935247871.160004</v>
      </c>
      <c r="X236" s="3" t="s">
        <v>671</v>
      </c>
      <c r="Y236" s="361">
        <v>133</v>
      </c>
      <c r="Z236" s="477" t="s">
        <v>74</v>
      </c>
      <c r="AA236" s="478"/>
      <c r="AB236" s="479"/>
      <c r="AC236" s="3" t="str">
        <f t="shared" si="214"/>
        <v>SI</v>
      </c>
      <c r="AD236" s="21">
        <f t="shared" si="185"/>
        <v>45935247871.160004</v>
      </c>
      <c r="AE236" s="21">
        <f t="shared" si="187"/>
        <v>32269.23</v>
      </c>
      <c r="AF236" s="21">
        <f t="shared" si="174"/>
        <v>16457.3073</v>
      </c>
      <c r="AG236" s="470"/>
      <c r="AH236" s="470"/>
      <c r="AI236" s="125" t="str">
        <f t="shared" si="175"/>
        <v>CUMPLE</v>
      </c>
      <c r="AJ236" s="470"/>
      <c r="AK236" s="470"/>
      <c r="AL236" s="527"/>
      <c r="AM236" s="505"/>
      <c r="AN236" s="575"/>
      <c r="AO236" s="498"/>
      <c r="AP236" s="575"/>
      <c r="AQ236" s="498"/>
      <c r="AR236" s="600"/>
      <c r="AS236" s="587"/>
      <c r="AT236" s="204"/>
      <c r="AU236" s="628"/>
      <c r="AV236" s="631"/>
      <c r="AW236" s="634"/>
      <c r="AX236" s="634"/>
      <c r="AY236" s="19"/>
      <c r="CB236" s="29" t="str">
        <f>IFERROR(IF(COUNTIF(AF233:AF242,"")=10,"",IF(COUNTIF(E233:E242,"N/A")&gt;0,IF(AF236&gt;=CMEMM1,AF236,0),"N/A")),"")</f>
        <v>N/A</v>
      </c>
      <c r="CC236" s="4"/>
      <c r="CD236" s="4">
        <f>IFERROR(IF(COUNTIF(AF233:AF242,"")=10,"",IF(AF236="","",IF(AF236&gt;=CMEMM1,1,0))),"")</f>
        <v>1</v>
      </c>
      <c r="CE236" s="4" t="str">
        <f>B233&amp;"-0"&amp;4</f>
        <v>P24-04</v>
      </c>
      <c r="CF236" s="4">
        <f>IFERROR(INDEX('DESEMPATE Y DISCAPACIDAD'!$D$3:$D$450,MATCH(CE236,'DESEMPATE Y DISCAPACIDAD'!$C$3:$C$450,0)),"")</f>
        <v>0</v>
      </c>
      <c r="CG236" s="4">
        <f>IF(OR(CE236="",CF236=""),"",SUMIF(D233:D242,CF236,CD233:CD242))</f>
        <v>0</v>
      </c>
      <c r="CH236" s="4" t="str">
        <f t="shared" si="209"/>
        <v>NO CUMPLE</v>
      </c>
      <c r="CI236" s="4">
        <f t="shared" si="215"/>
        <v>0</v>
      </c>
      <c r="CJ236" s="4"/>
      <c r="CK236" s="4"/>
      <c r="CL236" s="4" t="str">
        <f t="shared" si="182"/>
        <v/>
      </c>
      <c r="CM236" s="4" t="str">
        <f t="shared" si="183"/>
        <v/>
      </c>
      <c r="CN236" s="4" t="str">
        <f t="shared" si="216"/>
        <v/>
      </c>
      <c r="CO236" s="4"/>
      <c r="CP236" s="4"/>
      <c r="CQ236" s="29" t="str">
        <f t="shared" si="164"/>
        <v/>
      </c>
      <c r="CR236" s="29">
        <f>IF(OR(AN235="",AF236=""),"",IF(AN235="NO",AF236,0))</f>
        <v>16457.3073</v>
      </c>
      <c r="CS236" s="4"/>
    </row>
    <row r="237" spans="1:97" ht="45" customHeight="1">
      <c r="B237" s="649"/>
      <c r="C237" s="118" t="s">
        <v>363</v>
      </c>
      <c r="D237" s="126" t="str">
        <f>+IFERROR(INDEX('DESEMPATE Y DISCAPACIDAD'!$D$3:$D$450,MATCH(C237,'DESEMPATE Y DISCAPACIDAD'!$C$3:$C$450,0)),"")</f>
        <v>SIGA IngenierÌa y ConsultorÌa S.A. Sucursal Colombia</v>
      </c>
      <c r="E237" s="127" t="str">
        <f>IFERROR(IF(D237="","",IF(VLOOKUP(D237,'DESEMPATE Y DISCAPACIDAD'!D$3:$E$450,2,FALSE)=1,"N/A",IF(VLOOKUP(D237,'DESEMPATE Y DISCAPACIDAD'!D$3:$F$450,3,FALSE)="X","SI","NO"))),"")</f>
        <v>NO</v>
      </c>
      <c r="F237" s="254" t="s">
        <v>1150</v>
      </c>
      <c r="G237" s="254" t="s">
        <v>660</v>
      </c>
      <c r="H237" s="255" t="s">
        <v>1151</v>
      </c>
      <c r="I237" s="256" t="s">
        <v>1152</v>
      </c>
      <c r="J237" s="3" t="s">
        <v>74</v>
      </c>
      <c r="K237" s="3" t="s">
        <v>74</v>
      </c>
      <c r="L237" s="3" t="s">
        <v>74</v>
      </c>
      <c r="M237" s="3" t="s">
        <v>74</v>
      </c>
      <c r="N237" s="3" t="str">
        <f t="shared" si="211"/>
        <v>SI</v>
      </c>
      <c r="O237" s="3" t="str">
        <f t="shared" ref="O237:O242" si="217">IFERROR(IF(OR(J237="",L237=""),"",IF(J237="NO","NO",L237)),"")</f>
        <v>SI</v>
      </c>
      <c r="P237" s="3" t="str">
        <f t="shared" si="212"/>
        <v>SI</v>
      </c>
      <c r="Q237" s="3" t="str">
        <f t="shared" si="184"/>
        <v>SI</v>
      </c>
      <c r="R237" s="360">
        <v>0.5</v>
      </c>
      <c r="S237" s="356">
        <v>41059</v>
      </c>
      <c r="T237" s="357">
        <v>43982</v>
      </c>
      <c r="U237" s="3">
        <f t="shared" si="213"/>
        <v>2020</v>
      </c>
      <c r="V237" s="362">
        <f>IF(U237=2023,1160000,IFERROR(INDEX([1]SMMLV!$B$2:$B$101,MATCH(U237,[1]SMMLV!$A$2:$A$101,0)),""))</f>
        <v>877803</v>
      </c>
      <c r="W237" s="21" t="s">
        <v>670</v>
      </c>
      <c r="X237" s="3" t="s">
        <v>671</v>
      </c>
      <c r="Y237" s="361">
        <v>128</v>
      </c>
      <c r="Z237" s="477" t="s">
        <v>74</v>
      </c>
      <c r="AA237" s="478"/>
      <c r="AB237" s="479"/>
      <c r="AC237" s="3" t="str">
        <f t="shared" si="214"/>
        <v>SI</v>
      </c>
      <c r="AD237" s="21" t="str">
        <f t="shared" si="185"/>
        <v>N/A</v>
      </c>
      <c r="AE237" s="21">
        <v>18960.43</v>
      </c>
      <c r="AF237" s="21">
        <f t="shared" si="174"/>
        <v>9480.2150000000001</v>
      </c>
      <c r="AG237" s="470"/>
      <c r="AH237" s="470"/>
      <c r="AI237" s="125" t="str">
        <f t="shared" si="175"/>
        <v>CUMPLE</v>
      </c>
      <c r="AJ237" s="470"/>
      <c r="AK237" s="470"/>
      <c r="AL237" s="527"/>
      <c r="AM237" s="505"/>
      <c r="AN237" s="3" t="s">
        <v>75</v>
      </c>
      <c r="AO237" s="498"/>
      <c r="AP237" s="3" t="s">
        <v>74</v>
      </c>
      <c r="AQ237" s="498"/>
      <c r="AR237" s="600"/>
      <c r="AS237" s="587"/>
      <c r="AT237" s="204"/>
      <c r="AU237" s="628"/>
      <c r="AV237" s="631"/>
      <c r="AW237" s="634"/>
      <c r="AX237" s="634"/>
      <c r="AY237" s="19"/>
      <c r="CB237" s="29" t="str">
        <f>IFERROR(IF(COUNTIF(AF233:AF242,"")=10,"",IF(COUNTIF(E233:E242,"N/A")&gt;0,IF(AF237&gt;=CMEMM1,AF237,0),"N/A")),"")</f>
        <v>N/A</v>
      </c>
      <c r="CC237" s="4"/>
      <c r="CD237" s="4">
        <f>IFERROR(IF(COUNTIF(AF233:AF242,"")=10,"",IF(AF237="","",IF(AF237&gt;=CMEMM1,1,0))),"")</f>
        <v>1</v>
      </c>
      <c r="CE237" s="4" t="str">
        <f>B233&amp;"-0"&amp;5</f>
        <v>P24-05</v>
      </c>
      <c r="CF237" s="4">
        <f>IFERROR(INDEX('DESEMPATE Y DISCAPACIDAD'!$D$3:$D$450,MATCH(CE237,'DESEMPATE Y DISCAPACIDAD'!$C$3:$C$450,0)),"")</f>
        <v>0</v>
      </c>
      <c r="CG237" s="4">
        <f>IF(OR(CE237="",CF237=""),"",SUMIF(D233:D242,CF237,CD233:CD242))</f>
        <v>0</v>
      </c>
      <c r="CH237" s="4" t="str">
        <f t="shared" si="209"/>
        <v>NO CUMPLE</v>
      </c>
      <c r="CI237" s="4">
        <f t="shared" si="215"/>
        <v>0</v>
      </c>
      <c r="CJ237" s="4"/>
      <c r="CK237" s="4"/>
      <c r="CL237" s="4">
        <f t="shared" si="182"/>
        <v>1</v>
      </c>
      <c r="CM237" s="4">
        <f t="shared" si="183"/>
        <v>1</v>
      </c>
      <c r="CN237" s="4" t="str">
        <f t="shared" si="216"/>
        <v>COND. A Y B</v>
      </c>
      <c r="CO237" s="4"/>
      <c r="CP237" s="4"/>
      <c r="CQ237" s="29" t="str">
        <f>IF(OR(AN236="",CB237=""),"",IF(AN236="NO",CB237,0))</f>
        <v/>
      </c>
      <c r="CR237" s="29">
        <f>IF(OR(AN237="",AF237=""),"",IF(AN237="NO",AF237,0))</f>
        <v>9480.2150000000001</v>
      </c>
      <c r="CS237" s="4"/>
    </row>
    <row r="238" spans="1:97" ht="45" customHeight="1">
      <c r="B238" s="649"/>
      <c r="C238" s="118" t="s">
        <v>364</v>
      </c>
      <c r="D238" s="126" t="str">
        <f>+IFERROR(INDEX('DESEMPATE Y DISCAPACIDAD'!$D$3:$D$450,MATCH(C238,'DESEMPATE Y DISCAPACIDAD'!$C$3:$C$450,0)),"")</f>
        <v>Grupo Intecon S.A.S.</v>
      </c>
      <c r="E238" s="127" t="str">
        <f>IFERROR(IF(D238="","",IF(VLOOKUP(D238,'DESEMPATE Y DISCAPACIDAD'!D$3:$E$450,2,FALSE)=1,"N/A",IF(VLOOKUP(D238,'DESEMPATE Y DISCAPACIDAD'!D$3:$F$450,3,FALSE)="X","SI","NO"))),"")</f>
        <v>NO</v>
      </c>
      <c r="F238" s="254" t="s">
        <v>1143</v>
      </c>
      <c r="G238" s="254" t="s">
        <v>660</v>
      </c>
      <c r="H238" s="253" t="s">
        <v>1153</v>
      </c>
      <c r="I238" s="253" t="s">
        <v>1154</v>
      </c>
      <c r="J238" s="3" t="s">
        <v>74</v>
      </c>
      <c r="K238" s="3" t="s">
        <v>74</v>
      </c>
      <c r="L238" s="3" t="s">
        <v>75</v>
      </c>
      <c r="M238" s="3" t="s">
        <v>74</v>
      </c>
      <c r="N238" s="3" t="str">
        <f t="shared" si="211"/>
        <v>SI</v>
      </c>
      <c r="O238" s="3" t="str">
        <f t="shared" si="217"/>
        <v>NO</v>
      </c>
      <c r="P238" s="3" t="str">
        <f t="shared" si="212"/>
        <v>SI</v>
      </c>
      <c r="Q238" s="3" t="str">
        <f t="shared" si="184"/>
        <v>SI</v>
      </c>
      <c r="R238" s="363">
        <v>0.6</v>
      </c>
      <c r="S238" s="356">
        <v>44196</v>
      </c>
      <c r="T238" s="357">
        <v>45199</v>
      </c>
      <c r="U238" s="3">
        <f t="shared" si="213"/>
        <v>2023</v>
      </c>
      <c r="V238" s="362">
        <f>IF(U238=2023,1160000,IFERROR(INDEX([1]SMMLV!$B$2:$B$101,MATCH(U238,[1]SMMLV!$A$2:$A$101,0)),""))</f>
        <v>1160000</v>
      </c>
      <c r="W238" s="21">
        <v>17214907266</v>
      </c>
      <c r="X238" s="3" t="s">
        <v>671</v>
      </c>
      <c r="Y238" s="359">
        <v>152</v>
      </c>
      <c r="Z238" s="477" t="s">
        <v>74</v>
      </c>
      <c r="AA238" s="478"/>
      <c r="AB238" s="479"/>
      <c r="AC238" s="3" t="str">
        <f t="shared" si="214"/>
        <v>SI</v>
      </c>
      <c r="AD238" s="21">
        <f t="shared" si="185"/>
        <v>17214907266</v>
      </c>
      <c r="AE238" s="21">
        <f t="shared" si="187"/>
        <v>14840.44</v>
      </c>
      <c r="AF238" s="21">
        <f t="shared" si="174"/>
        <v>8904.2639999999992</v>
      </c>
      <c r="AG238" s="470"/>
      <c r="AH238" s="470"/>
      <c r="AI238" s="125" t="str">
        <f t="shared" si="175"/>
        <v>CUMPLE</v>
      </c>
      <c r="AJ238" s="470"/>
      <c r="AK238" s="470"/>
      <c r="AL238" s="527"/>
      <c r="AM238" s="505"/>
      <c r="AN238" s="3" t="s">
        <v>75</v>
      </c>
      <c r="AO238" s="498"/>
      <c r="AP238" s="3" t="s">
        <v>74</v>
      </c>
      <c r="AQ238" s="498"/>
      <c r="AR238" s="600"/>
      <c r="AS238" s="587"/>
      <c r="AT238" s="204"/>
      <c r="AU238" s="628"/>
      <c r="AV238" s="631"/>
      <c r="AW238" s="634"/>
      <c r="AX238" s="634"/>
      <c r="AY238" s="19"/>
      <c r="CB238" s="29" t="str">
        <f>IFERROR(IF(COUNTIF(AF233:AF242,"")=10,"",IF(COUNTIF(E233:E242,"N/A")&gt;0,IF(AF238&gt;=CMEMM1,AF238,0),"N/A")),"")</f>
        <v>N/A</v>
      </c>
      <c r="CC238" s="4"/>
      <c r="CD238" s="4">
        <f>IFERROR(IF(COUNTIF(AF233:AF242,"")=10,"",IF(AF238="","",IF(AF238&gt;=CMEMM1,1,0))),"")</f>
        <v>1</v>
      </c>
      <c r="CE238" s="4" t="str">
        <f>B233&amp;"-0"&amp;6</f>
        <v>P24-06</v>
      </c>
      <c r="CF238" s="4">
        <f>IFERROR(INDEX('DESEMPATE Y DISCAPACIDAD'!$D$3:$D$450,MATCH(CE238,'DESEMPATE Y DISCAPACIDAD'!$C$3:$C$450,0)),"")</f>
        <v>0</v>
      </c>
      <c r="CG238" s="4">
        <f>IF(OR(CE238="",CF238=""),"",SUMIF(D233:D242,CF238,CD233:CD242))</f>
        <v>0</v>
      </c>
      <c r="CH238" s="4" t="str">
        <f t="shared" si="209"/>
        <v>NO CUMPLE</v>
      </c>
      <c r="CI238" s="4">
        <f t="shared" si="215"/>
        <v>0</v>
      </c>
      <c r="CJ238" s="4"/>
      <c r="CK238" s="4"/>
      <c r="CL238" s="4">
        <f t="shared" si="182"/>
        <v>1</v>
      </c>
      <c r="CM238" s="4">
        <f t="shared" si="183"/>
        <v>0</v>
      </c>
      <c r="CN238" s="4" t="str">
        <f t="shared" si="216"/>
        <v>COND. A</v>
      </c>
      <c r="CO238" s="4"/>
      <c r="CP238" s="4"/>
      <c r="CQ238" s="29" t="str">
        <f t="shared" si="164"/>
        <v>N/A</v>
      </c>
      <c r="CR238" s="29">
        <f t="shared" ref="CR238:CR266" si="218">IF(OR(AN238="",AF238=""),"",IF(AN238="NO",AF238,0))</f>
        <v>8904.2639999999992</v>
      </c>
      <c r="CS238" s="4"/>
    </row>
    <row r="239" spans="1:97" ht="2" customHeight="1">
      <c r="B239" s="649"/>
      <c r="C239" s="118"/>
      <c r="D239" s="126" t="str">
        <f>+IFERROR(INDEX('DESEMPATE Y DISCAPACIDAD'!$D$3:$D$450,MATCH(C239,'DESEMPATE Y DISCAPACIDAD'!$C$3:$C$450,0)),"")</f>
        <v/>
      </c>
      <c r="E239" s="127" t="str">
        <f>IFERROR(IF(D239="","",IF(VLOOKUP(D239,'DESEMPATE Y DISCAPACIDAD'!D$3:$E$450,2,FALSE)=1,"N/A",IF(VLOOKUP(D239,'DESEMPATE Y DISCAPACIDAD'!D$3:$F$450,3,FALSE)="X","SI","NO"))),"")</f>
        <v/>
      </c>
      <c r="F239" s="125"/>
      <c r="G239" s="125"/>
      <c r="H239" s="125"/>
      <c r="I239" s="128"/>
      <c r="J239" s="3"/>
      <c r="K239" s="3"/>
      <c r="L239" s="3"/>
      <c r="M239" s="3"/>
      <c r="N239" s="3" t="str">
        <f t="shared" si="211"/>
        <v/>
      </c>
      <c r="O239" s="3" t="str">
        <f t="shared" si="217"/>
        <v/>
      </c>
      <c r="P239" s="3" t="str">
        <f t="shared" si="212"/>
        <v/>
      </c>
      <c r="Q239" s="3" t="str">
        <f t="shared" si="184"/>
        <v/>
      </c>
      <c r="R239" s="7"/>
      <c r="S239" s="248"/>
      <c r="T239" s="248"/>
      <c r="U239" s="3" t="str">
        <f t="shared" si="213"/>
        <v/>
      </c>
      <c r="V239" s="21" t="str">
        <f>IF(U239=2023,1160000,IFERROR(INDEX([1]SMMLV!$B$2:$B$101,MATCH(U239,[1]SMMLV!$A$2:$A$101,0)),""))</f>
        <v/>
      </c>
      <c r="W239" s="21"/>
      <c r="X239" s="3"/>
      <c r="Y239" s="3"/>
      <c r="Z239" s="477"/>
      <c r="AA239" s="478"/>
      <c r="AB239" s="479"/>
      <c r="AC239" s="3" t="str">
        <f t="shared" si="214"/>
        <v/>
      </c>
      <c r="AD239" s="21" t="str">
        <f t="shared" si="185"/>
        <v/>
      </c>
      <c r="AE239" s="21" t="str">
        <f t="shared" si="187"/>
        <v/>
      </c>
      <c r="AF239" s="21" t="str">
        <f t="shared" si="174"/>
        <v/>
      </c>
      <c r="AG239" s="470"/>
      <c r="AH239" s="470"/>
      <c r="AI239" s="125" t="str">
        <f t="shared" si="175"/>
        <v/>
      </c>
      <c r="AJ239" s="470"/>
      <c r="AK239" s="470"/>
      <c r="AL239" s="527"/>
      <c r="AM239" s="505"/>
      <c r="AN239" s="3"/>
      <c r="AO239" s="498"/>
      <c r="AP239" s="3"/>
      <c r="AQ239" s="498"/>
      <c r="AR239" s="600"/>
      <c r="AS239" s="587"/>
      <c r="AT239" s="204"/>
      <c r="AU239" s="628"/>
      <c r="AV239" s="631"/>
      <c r="AW239" s="634"/>
      <c r="AX239" s="634"/>
      <c r="AY239" s="19"/>
      <c r="CB239" s="29" t="str">
        <f>IFERROR(IF(COUNTIF(AF233:AF242,"")=10,"",IF(COUNTIF(E233:E242,"N/A")&gt;0,IF(AF239&gt;=CMEMM1,AF239,0),"N/A")),"")</f>
        <v>N/A</v>
      </c>
      <c r="CC239" s="4"/>
      <c r="CD239" s="4" t="str">
        <f>IFERROR(IF(COUNTIF(AF233:AF242,"")=10,"",IF(AF239="","",IF(AF239&gt;=CMEMM1,1,0))),"")</f>
        <v/>
      </c>
      <c r="CE239" s="4" t="str">
        <f>B233&amp;"-0"&amp;7</f>
        <v>P24-07</v>
      </c>
      <c r="CF239" s="4" t="str">
        <f>IFERROR(INDEX('DESEMPATE Y DISCAPACIDAD'!$D$3:$D$450,MATCH(CE239,'DESEMPATE Y DISCAPACIDAD'!$C$3:$C$450,0)),"")</f>
        <v/>
      </c>
      <c r="CG239" s="4" t="str">
        <f>IF(OR(CE239="",CF239=""),"",SUMIF(D233:D242,CF239,CD233:CD242))</f>
        <v/>
      </c>
      <c r="CH239" s="4" t="str">
        <f t="shared" si="209"/>
        <v/>
      </c>
      <c r="CI239" s="4" t="str">
        <f t="shared" si="215"/>
        <v/>
      </c>
      <c r="CJ239" s="4"/>
      <c r="CK239" s="4"/>
      <c r="CL239" s="4" t="str">
        <f t="shared" si="182"/>
        <v/>
      </c>
      <c r="CM239" s="4" t="str">
        <f t="shared" si="183"/>
        <v/>
      </c>
      <c r="CN239" s="4" t="str">
        <f t="shared" si="216"/>
        <v/>
      </c>
      <c r="CO239" s="4"/>
      <c r="CP239" s="4"/>
      <c r="CQ239" s="29" t="str">
        <f t="shared" si="164"/>
        <v/>
      </c>
      <c r="CR239" s="29" t="str">
        <f t="shared" si="218"/>
        <v/>
      </c>
      <c r="CS239" s="4"/>
    </row>
    <row r="240" spans="1:97" ht="2" customHeight="1">
      <c r="B240" s="649"/>
      <c r="C240" s="118"/>
      <c r="D240" s="126" t="str">
        <f>+IFERROR(INDEX('DESEMPATE Y DISCAPACIDAD'!$D$3:$D$450,MATCH(C240,'DESEMPATE Y DISCAPACIDAD'!$C$3:$C$450,0)),"")</f>
        <v/>
      </c>
      <c r="E240" s="127" t="str">
        <f>IFERROR(IF(D240="","",IF(VLOOKUP(D240,'DESEMPATE Y DISCAPACIDAD'!D$3:$E$450,2,FALSE)=1,"N/A",IF(VLOOKUP(D240,'DESEMPATE Y DISCAPACIDAD'!D$3:$F$450,3,FALSE)="X","SI","NO"))),"")</f>
        <v/>
      </c>
      <c r="F240" s="125"/>
      <c r="G240" s="125"/>
      <c r="H240" s="125"/>
      <c r="I240" s="128"/>
      <c r="J240" s="3"/>
      <c r="K240" s="3"/>
      <c r="L240" s="3"/>
      <c r="M240" s="3"/>
      <c r="N240" s="3" t="str">
        <f t="shared" si="211"/>
        <v/>
      </c>
      <c r="O240" s="3" t="str">
        <f t="shared" si="217"/>
        <v/>
      </c>
      <c r="P240" s="3" t="str">
        <f t="shared" si="212"/>
        <v/>
      </c>
      <c r="Q240" s="3" t="str">
        <f t="shared" si="184"/>
        <v/>
      </c>
      <c r="R240" s="7"/>
      <c r="S240" s="248"/>
      <c r="T240" s="248"/>
      <c r="U240" s="3" t="str">
        <f t="shared" si="213"/>
        <v/>
      </c>
      <c r="V240" s="21" t="str">
        <f>IF(U240=2023,1160000,IFERROR(INDEX([1]SMMLV!$B$2:$B$101,MATCH(U240,[1]SMMLV!$A$2:$A$101,0)),""))</f>
        <v/>
      </c>
      <c r="W240" s="21"/>
      <c r="X240" s="3"/>
      <c r="Y240" s="3"/>
      <c r="Z240" s="477"/>
      <c r="AA240" s="478"/>
      <c r="AB240" s="479"/>
      <c r="AC240" s="3" t="str">
        <f t="shared" si="214"/>
        <v/>
      </c>
      <c r="AD240" s="21" t="str">
        <f t="shared" si="185"/>
        <v/>
      </c>
      <c r="AE240" s="21" t="str">
        <f t="shared" si="187"/>
        <v/>
      </c>
      <c r="AF240" s="21" t="str">
        <f t="shared" si="174"/>
        <v/>
      </c>
      <c r="AG240" s="470"/>
      <c r="AH240" s="470"/>
      <c r="AI240" s="125" t="str">
        <f t="shared" si="175"/>
        <v/>
      </c>
      <c r="AJ240" s="470"/>
      <c r="AK240" s="470"/>
      <c r="AL240" s="527"/>
      <c r="AM240" s="505"/>
      <c r="AN240" s="3"/>
      <c r="AO240" s="498"/>
      <c r="AP240" s="3"/>
      <c r="AQ240" s="498"/>
      <c r="AR240" s="600"/>
      <c r="AS240" s="587"/>
      <c r="AT240" s="204"/>
      <c r="AU240" s="628"/>
      <c r="AV240" s="631"/>
      <c r="AW240" s="634"/>
      <c r="AX240" s="634"/>
      <c r="AY240" s="19"/>
      <c r="CB240" s="29" t="str">
        <f>IFERROR(IF(COUNTIF(AF233:AF242,"")=10,"",IF(COUNTIF(E233:E242,"N/A")&gt;0,IF(AF240&gt;=CMEMM1,AF240,0),"N/A")),"")</f>
        <v>N/A</v>
      </c>
      <c r="CC240" s="4"/>
      <c r="CD240" s="4" t="str">
        <f>IFERROR(IF(COUNTIF(AF233:AF242,"")=10,"",IF(AF240="","",IF(AF240&gt;=CMEMM1,1,0))),"")</f>
        <v/>
      </c>
      <c r="CE240" s="4" t="str">
        <f>B233&amp;"-0"&amp;8</f>
        <v>P24-08</v>
      </c>
      <c r="CF240" s="4" t="str">
        <f>IFERROR(INDEX('DESEMPATE Y DISCAPACIDAD'!$D$3:$D$450,MATCH(CE240,'DESEMPATE Y DISCAPACIDAD'!$C$3:$C$450,0)),"")</f>
        <v/>
      </c>
      <c r="CG240" s="4" t="str">
        <f>IF(OR(CE240="",CF240=""),"",SUMIF(D233:D242,CF240,CD233:CD242))</f>
        <v/>
      </c>
      <c r="CH240" s="4" t="str">
        <f t="shared" si="209"/>
        <v/>
      </c>
      <c r="CI240" s="4" t="str">
        <f t="shared" si="215"/>
        <v/>
      </c>
      <c r="CJ240" s="4"/>
      <c r="CK240" s="4"/>
      <c r="CL240" s="4" t="str">
        <f t="shared" si="182"/>
        <v/>
      </c>
      <c r="CM240" s="4" t="str">
        <f t="shared" si="183"/>
        <v/>
      </c>
      <c r="CN240" s="4" t="str">
        <f t="shared" si="216"/>
        <v/>
      </c>
      <c r="CO240" s="4"/>
      <c r="CP240" s="4"/>
      <c r="CQ240" s="29" t="str">
        <f t="shared" si="164"/>
        <v/>
      </c>
      <c r="CR240" s="29" t="str">
        <f t="shared" si="218"/>
        <v/>
      </c>
      <c r="CS240" s="4"/>
    </row>
    <row r="241" spans="1:97" ht="2" customHeight="1">
      <c r="B241" s="649"/>
      <c r="C241" s="118"/>
      <c r="D241" s="126" t="str">
        <f>+IFERROR(INDEX('DESEMPATE Y DISCAPACIDAD'!$D$3:$D$450,MATCH(C241,'DESEMPATE Y DISCAPACIDAD'!$C$3:$C$450,0)),"")</f>
        <v/>
      </c>
      <c r="E241" s="127" t="str">
        <f>IFERROR(IF(D241="","",IF(VLOOKUP(D241,'DESEMPATE Y DISCAPACIDAD'!D$3:$E$450,2,FALSE)=1,"N/A",IF(VLOOKUP(D241,'DESEMPATE Y DISCAPACIDAD'!D$3:$F$450,3,FALSE)="X","SI","NO"))),"")</f>
        <v/>
      </c>
      <c r="F241" s="125"/>
      <c r="G241" s="125"/>
      <c r="H241" s="125"/>
      <c r="I241" s="128"/>
      <c r="J241" s="3"/>
      <c r="K241" s="3"/>
      <c r="L241" s="3"/>
      <c r="M241" s="3"/>
      <c r="N241" s="3" t="str">
        <f t="shared" si="211"/>
        <v/>
      </c>
      <c r="O241" s="3" t="str">
        <f t="shared" si="217"/>
        <v/>
      </c>
      <c r="P241" s="3" t="str">
        <f t="shared" si="212"/>
        <v/>
      </c>
      <c r="Q241" s="3" t="str">
        <f t="shared" si="184"/>
        <v/>
      </c>
      <c r="R241" s="7"/>
      <c r="S241" s="248"/>
      <c r="T241" s="248"/>
      <c r="U241" s="3" t="str">
        <f t="shared" si="213"/>
        <v/>
      </c>
      <c r="V241" s="21" t="str">
        <f>IF(U241=2023,1160000,IFERROR(INDEX([1]SMMLV!$B$2:$B$101,MATCH(U241,[1]SMMLV!$A$2:$A$101,0)),""))</f>
        <v/>
      </c>
      <c r="W241" s="21"/>
      <c r="X241" s="3"/>
      <c r="Y241" s="3"/>
      <c r="Z241" s="477"/>
      <c r="AA241" s="478"/>
      <c r="AB241" s="479"/>
      <c r="AC241" s="3" t="str">
        <f t="shared" si="214"/>
        <v/>
      </c>
      <c r="AD241" s="21" t="str">
        <f t="shared" si="185"/>
        <v/>
      </c>
      <c r="AE241" s="21" t="str">
        <f t="shared" si="187"/>
        <v/>
      </c>
      <c r="AF241" s="21" t="str">
        <f t="shared" si="174"/>
        <v/>
      </c>
      <c r="AG241" s="470"/>
      <c r="AH241" s="470"/>
      <c r="AI241" s="125" t="str">
        <f t="shared" si="175"/>
        <v/>
      </c>
      <c r="AJ241" s="470"/>
      <c r="AK241" s="470"/>
      <c r="AL241" s="527"/>
      <c r="AM241" s="505"/>
      <c r="AN241" s="3"/>
      <c r="AO241" s="498"/>
      <c r="AP241" s="3"/>
      <c r="AQ241" s="498"/>
      <c r="AR241" s="600"/>
      <c r="AS241" s="587"/>
      <c r="AT241" s="204"/>
      <c r="AU241" s="628"/>
      <c r="AV241" s="631"/>
      <c r="AW241" s="634"/>
      <c r="AX241" s="634"/>
      <c r="AY241" s="19"/>
      <c r="CB241" s="29" t="str">
        <f>IFERROR(IF(COUNTIF(AF233:AF242,"")=10,"",IF(COUNTIF(E233:E242,"N/A")&gt;0,IF(AF241&gt;=CMEMM1,AF241,0),"N/A")),"")</f>
        <v>N/A</v>
      </c>
      <c r="CC241" s="4"/>
      <c r="CD241" s="4" t="str">
        <f>IFERROR(IF(COUNTIF(AF233:AF242,"")=10,"",IF(AF241="","",IF(AF241&gt;=CMEMM1,1,0))),"")</f>
        <v/>
      </c>
      <c r="CE241" s="4" t="str">
        <f>B233&amp;"-0"&amp;9</f>
        <v>P24-09</v>
      </c>
      <c r="CF241" s="4" t="str">
        <f>IFERROR(INDEX('DESEMPATE Y DISCAPACIDAD'!$D$3:$D$450,MATCH(CE241,'DESEMPATE Y DISCAPACIDAD'!$C$3:$C$450,0)),"")</f>
        <v/>
      </c>
      <c r="CG241" s="4" t="str">
        <f>IF(OR(CE241="",CF241=""),"",SUMIF(D233:D242,CF241,CD233:CD242))</f>
        <v/>
      </c>
      <c r="CH241" s="4" t="str">
        <f t="shared" si="209"/>
        <v/>
      </c>
      <c r="CI241" s="4" t="str">
        <f t="shared" si="215"/>
        <v/>
      </c>
      <c r="CJ241" s="4"/>
      <c r="CK241" s="4"/>
      <c r="CL241" s="4" t="str">
        <f t="shared" si="182"/>
        <v/>
      </c>
      <c r="CM241" s="4" t="str">
        <f t="shared" si="183"/>
        <v/>
      </c>
      <c r="CN241" s="4" t="str">
        <f t="shared" si="216"/>
        <v/>
      </c>
      <c r="CO241" s="4"/>
      <c r="CP241" s="4"/>
      <c r="CQ241" s="29" t="str">
        <f t="shared" si="164"/>
        <v/>
      </c>
      <c r="CR241" s="29" t="str">
        <f t="shared" si="218"/>
        <v/>
      </c>
      <c r="CS241" s="4"/>
    </row>
    <row r="242" spans="1:97" ht="2" customHeight="1" thickBot="1">
      <c r="B242" s="650"/>
      <c r="C242" s="130"/>
      <c r="D242" s="131" t="str">
        <f>+IFERROR(INDEX('DESEMPATE Y DISCAPACIDAD'!$D$3:$D$450,MATCH(C242,'DESEMPATE Y DISCAPACIDAD'!$C$3:$C$450,0)),"")</f>
        <v/>
      </c>
      <c r="E242" s="132" t="str">
        <f>IFERROR(IF(D242="","",IF(VLOOKUP(D242,'DESEMPATE Y DISCAPACIDAD'!D$3:$E$450,2,FALSE)=1,"N/A",IF(VLOOKUP(D242,'DESEMPATE Y DISCAPACIDAD'!D$3:$F$450,3,FALSE)="X","SI","NO"))),"")</f>
        <v/>
      </c>
      <c r="F242" s="133"/>
      <c r="G242" s="133"/>
      <c r="H242" s="133"/>
      <c r="I242" s="134"/>
      <c r="J242" s="133"/>
      <c r="K242" s="133"/>
      <c r="L242" s="133"/>
      <c r="M242" s="133"/>
      <c r="N242" s="133" t="str">
        <f t="shared" si="211"/>
        <v/>
      </c>
      <c r="O242" s="133" t="str">
        <f t="shared" si="217"/>
        <v/>
      </c>
      <c r="P242" s="133" t="str">
        <f t="shared" si="212"/>
        <v/>
      </c>
      <c r="Q242" s="133" t="str">
        <f t="shared" si="184"/>
        <v/>
      </c>
      <c r="R242" s="104"/>
      <c r="S242" s="135"/>
      <c r="T242" s="135"/>
      <c r="U242" s="133" t="str">
        <f t="shared" si="213"/>
        <v/>
      </c>
      <c r="V242" s="136" t="str">
        <f>IF(U242=2023,1160000,IFERROR(INDEX([1]SMMLV!$B$2:$B$101,MATCH(U242,[1]SMMLV!$A$2:$A$101,0)),""))</f>
        <v/>
      </c>
      <c r="W242" s="136"/>
      <c r="X242" s="133"/>
      <c r="Y242" s="133"/>
      <c r="Z242" s="487"/>
      <c r="AA242" s="488"/>
      <c r="AB242" s="489"/>
      <c r="AC242" s="133" t="str">
        <f t="shared" si="214"/>
        <v/>
      </c>
      <c r="AD242" s="136" t="str">
        <f t="shared" si="185"/>
        <v/>
      </c>
      <c r="AE242" s="117" t="str">
        <f t="shared" si="187"/>
        <v/>
      </c>
      <c r="AF242" s="136" t="str">
        <f t="shared" si="174"/>
        <v/>
      </c>
      <c r="AG242" s="471"/>
      <c r="AH242" s="471"/>
      <c r="AI242" s="133" t="str">
        <f t="shared" si="175"/>
        <v/>
      </c>
      <c r="AJ242" s="471"/>
      <c r="AK242" s="471"/>
      <c r="AL242" s="528"/>
      <c r="AM242" s="506"/>
      <c r="AN242" s="5"/>
      <c r="AO242" s="499"/>
      <c r="AP242" s="5"/>
      <c r="AQ242" s="499"/>
      <c r="AR242" s="601"/>
      <c r="AS242" s="588"/>
      <c r="AT242" s="206"/>
      <c r="AU242" s="629"/>
      <c r="AV242" s="632"/>
      <c r="AW242" s="635"/>
      <c r="AX242" s="635"/>
      <c r="AY242" s="19"/>
      <c r="CB242" s="29" t="str">
        <f>IFERROR(IF(COUNTIF(AF233:AF242,"")=10,"",IF(COUNTIF(E233:E242,"N/A")&gt;0,IF(AF242&gt;=CMEMM1,AF242,0),"N/A")),"")</f>
        <v>N/A</v>
      </c>
      <c r="CC242" s="4"/>
      <c r="CD242" s="4" t="str">
        <f>IFERROR(IF(COUNTIF(AF233:AF242,"")=10,"",IF(AF242="","",IF(AF242&gt;=CMEMM1,1,0))),"")</f>
        <v/>
      </c>
      <c r="CE242" s="4" t="str">
        <f>B233&amp;"-"&amp;10</f>
        <v>P24-10</v>
      </c>
      <c r="CF242" s="4" t="str">
        <f>IFERROR(INDEX('DESEMPATE Y DISCAPACIDAD'!$D$3:$D$450,MATCH(CE242,'DESEMPATE Y DISCAPACIDAD'!$C$3:$C$450,0)),"")</f>
        <v/>
      </c>
      <c r="CG242" s="4" t="str">
        <f>IF(OR(CE242="",CF242=""),"",SUMIF(D233:D242,CF242,CD233:CD242))</f>
        <v/>
      </c>
      <c r="CH242" s="4" t="str">
        <f t="shared" si="209"/>
        <v/>
      </c>
      <c r="CI242" s="4" t="str">
        <f t="shared" si="215"/>
        <v/>
      </c>
      <c r="CJ242" s="4"/>
      <c r="CK242" s="4"/>
      <c r="CL242" s="4" t="str">
        <f t="shared" si="182"/>
        <v/>
      </c>
      <c r="CM242" s="4" t="str">
        <f t="shared" si="183"/>
        <v/>
      </c>
      <c r="CN242" s="4" t="str">
        <f t="shared" si="216"/>
        <v/>
      </c>
      <c r="CO242" s="4"/>
      <c r="CP242" s="4"/>
      <c r="CQ242" s="29" t="str">
        <f t="shared" si="164"/>
        <v/>
      </c>
      <c r="CR242" s="29" t="str">
        <f t="shared" si="218"/>
        <v/>
      </c>
      <c r="CS242" s="4"/>
    </row>
    <row r="243" spans="1:97" ht="45" customHeight="1">
      <c r="A243" s="4" t="str">
        <f>"A"&amp;B243</f>
        <v>AP25</v>
      </c>
      <c r="B243" s="480" t="s">
        <v>286</v>
      </c>
      <c r="C243" s="108" t="s">
        <v>368</v>
      </c>
      <c r="D243" s="119" t="str">
        <f>+IFERROR(INDEX('DESEMPATE Y DISCAPACIDAD'!$D$3:$D$450,MATCH(C243,'DESEMPATE Y DISCAPACIDAD'!$C$3:$C$450,0)),"")</f>
        <v>INTERDISEÑOS ASOCIADOS S.A.S.</v>
      </c>
      <c r="E243" s="120" t="str">
        <f>IFERROR(IF(D243="","",IF(VLOOKUP(D243,'DESEMPATE Y DISCAPACIDAD'!D$3:$E$450,2,FALSE)=1,"N/A",IF(VLOOKUP(D243,'DESEMPATE Y DISCAPACIDAD'!D$3:$F$450,3,FALSE)="X","SI","NO"))),"")</f>
        <v>NO</v>
      </c>
      <c r="F243" s="125" t="s">
        <v>684</v>
      </c>
      <c r="G243" s="125" t="s">
        <v>660</v>
      </c>
      <c r="H243" s="125">
        <v>2586</v>
      </c>
      <c r="I243" s="122" t="s">
        <v>1155</v>
      </c>
      <c r="J243" s="121" t="s">
        <v>74</v>
      </c>
      <c r="K243" s="121" t="s">
        <v>74</v>
      </c>
      <c r="L243" s="121" t="s">
        <v>75</v>
      </c>
      <c r="M243" s="121" t="s">
        <v>74</v>
      </c>
      <c r="N243" s="121" t="str">
        <f>IFERROR(IF(OR(J243="",K243=""),"",IF(J243="NO","NO",K243)),"")</f>
        <v>SI</v>
      </c>
      <c r="O243" s="121" t="str">
        <f>IFERROR(IF(OR(J243="",L243=""),"",IF(J243="NO","NO",L243)),"")</f>
        <v>NO</v>
      </c>
      <c r="P243" s="121" t="str">
        <f>IFERROR(IF(OR(J243="",M243=""),"",IF(J243="NO","NO",M243)),"")</f>
        <v>SI</v>
      </c>
      <c r="Q243" s="121" t="str">
        <f t="shared" si="184"/>
        <v>SI</v>
      </c>
      <c r="R243" s="270">
        <v>1</v>
      </c>
      <c r="S243" s="123">
        <v>41256</v>
      </c>
      <c r="T243" s="123">
        <v>41620</v>
      </c>
      <c r="U243" s="121">
        <f>IFERROR(IF(T243="","",YEAR(T243)),"")</f>
        <v>2013</v>
      </c>
      <c r="V243" s="124">
        <f>IF(U243=2023,1160000,IFERROR(INDEX([1]SMMLV!$B$2:$B$101,MATCH(U243,[1]SMMLV!$A$2:$A$101,0)),""))</f>
        <v>589500</v>
      </c>
      <c r="W243" s="124" t="s">
        <v>670</v>
      </c>
      <c r="X243" s="121" t="s">
        <v>671</v>
      </c>
      <c r="Y243" s="121">
        <v>1</v>
      </c>
      <c r="Z243" s="483" t="s">
        <v>74</v>
      </c>
      <c r="AA243" s="484"/>
      <c r="AB243" s="485"/>
      <c r="AC243" s="121" t="str">
        <f>IFERROR(IF(Y243="","",IF(ISNUMBER(Y243),IF(COUNTIF(Z243,"SI")&gt;0,"SI","NO"),Y243)),"")</f>
        <v>SI</v>
      </c>
      <c r="AD243" s="124" t="str">
        <f t="shared" si="185"/>
        <v>N/A</v>
      </c>
      <c r="AE243" s="117">
        <v>1829.84</v>
      </c>
      <c r="AF243" s="124">
        <f t="shared" si="174"/>
        <v>1829.84</v>
      </c>
      <c r="AG243" s="486" t="str">
        <f>IFERROR(IF(COUNTIF(AF243:AF252,"")=10,"",IF(COUNTIF(E243:E252,"N/A")&gt;0,IF(SUM(CB243:CB252)&gt;=CMEM1,"CUMPLE","NO CUMPLE"),IF(SUM(AF243:AF252)&gt;=CMEM1,"CUMPLE","NO CUMPLE"))),"")</f>
        <v>CUMPLE</v>
      </c>
      <c r="AH243" s="486" t="str">
        <f>IF(COUNTIF(AF243:AF252,"")=10,"",IF(SUMIF(C243:C252,C243,AF243:AF252)&gt;=CMLM1,"CUMPLE",IF(SUMIF(C243:C252,C244,AF243:AF252)&gt;=CMLM1,"CUMPLE",IF(SUMIF(C243:C252,C245,AF243:AF252)&gt;=CMLM1,"CUMPLE",IF(SUMIF(C243:C252,C246,AF243:AF252)&gt;=CMLM1,"CUMPLE",IF(SUMIF(C243:C252,C247,AF243:AF252)&gt;=CMLM1,"CUMPLE",IF(SUMIF(C243:C252,C248,AF243:AF252)&gt;=CMLM1,"CUMPLE",IF(SUMIF(C243:C252,C249,AF243:AF252)&gt;=CMLM1,"CUMPLE",IF(SUMIF(C243:C252,C250,AF243:AF252)&gt;=CMLM1,"CUMPLE",IF(SUMIF(C243:C252,C251,AF243:AF252)&gt;=CMLM1,"CUMPLE",IF(SUMIF(C243:C252,C252,AF243:AF252)&gt;=CMLM1,"CUMPLE","NO CUMPLE")))))))))))</f>
        <v>CUMPLE</v>
      </c>
      <c r="AI243" s="121" t="str">
        <f t="shared" si="175"/>
        <v>NO CUMPLE</v>
      </c>
      <c r="AJ243" s="469" t="str">
        <f>IFERROR(IF(COUNTIF(AF243:AF252,"")=10,"",IF(COUNTIF(E243:E252,"N/A")&gt;0,"N/A",CJ243)),"")</f>
        <v>CUMPLE</v>
      </c>
      <c r="AK243" s="469" t="str">
        <f>IFERROR(IF(AND(COUNTIF(N243:N252,"SI")&gt;=1,COUNTIF(O243:O252,"SI")&gt;=1,COUNTIF(P243:P252,"SI")&gt;=1,COUNTIF(J243:J252,"SI")&lt;=10,CO243="CUMPLE"),"CUMPLE","NO CUMPLE"),"")</f>
        <v>CUMPLE</v>
      </c>
      <c r="AL243" s="472" t="s">
        <v>77</v>
      </c>
      <c r="AM243" s="495">
        <f>IFERROR(IF(B243&lt;&gt;"",IF(VLOOKUP(B243,'DESEMPATE Y DISCAPACIDAD'!$A$3:$Q$450,10,FALSE)="","",VLOOKUP(B243,'DESEMPATE Y DISCAPACIDAD'!$A$3:$Q$450,10,FALSE)+6),""),"")</f>
        <v>8</v>
      </c>
      <c r="AN243" s="121" t="s">
        <v>75</v>
      </c>
      <c r="AO243" s="490" t="s">
        <v>74</v>
      </c>
      <c r="AP243" s="121" t="s">
        <v>74</v>
      </c>
      <c r="AQ243" s="490">
        <f>IFERROR(IF(COUNTIF(AP243:AP252,"")=10,"",IF(AO243="NO",0,COUNTIF(AP243:AP252,"SI"))),"")</f>
        <v>4</v>
      </c>
      <c r="AR243" s="521">
        <f>IFERROR(IF(COUNTIF(AF243:AF252,"")=10,"",IF(AO243="NO",0,IF(COUNTIF(E243:E252,"N/A")&gt;0,SUM(CQ243:CQ252),SUM(CR243:CR252)))),"")</f>
        <v>58706.125200000002</v>
      </c>
      <c r="AS243" s="518">
        <f>IFERROR(IF(OR(COUNTIF(AF243:AF252,"")=10,AQ243="",AR243=""),"",IF(AO243="NO",0,AR243/AQ243)),"")</f>
        <v>14676.531300000001</v>
      </c>
      <c r="AT243" s="207"/>
      <c r="AU243" s="627" t="s">
        <v>1182</v>
      </c>
      <c r="AV243" s="630" t="s">
        <v>1357</v>
      </c>
      <c r="AW243" s="633" t="s">
        <v>1357</v>
      </c>
      <c r="AX243" s="633" t="s">
        <v>1357</v>
      </c>
      <c r="AY243" s="19"/>
      <c r="CB243" s="29" t="str">
        <f>IFERROR(IF(COUNTIF(AF243:AF252,"")=10,"",IF(COUNTIF(E243:E252,"N/A")&gt;0,IF(AF243&gt;=CMEMM1,AF243,0),"N/A")),"")</f>
        <v>N/A</v>
      </c>
      <c r="CC243" s="4"/>
      <c r="CD243" s="4">
        <f>IFERROR(IF(COUNTIF(AF243:AF252,"")=10,"",IF(AF243="","",IF(AF243&gt;=CMEMM1,1,0))),"")</f>
        <v>0</v>
      </c>
      <c r="CE243" s="4" t="str">
        <f>B243&amp;"-0"&amp;1</f>
        <v>P25-01</v>
      </c>
      <c r="CF243" s="4" t="str">
        <f>IFERROR(INDEX('DESEMPATE Y DISCAPACIDAD'!$D$3:$D$450,MATCH(CE243,'DESEMPATE Y DISCAPACIDAD'!$C$3:$C$450,0)),"")</f>
        <v>INTERDISEÑOS ASOCIADOS S.A.S.</v>
      </c>
      <c r="CG243" s="4">
        <f>IF(OR(CE243="",CF243=""),"",SUMIF(D243:D252,CF243,CD243:CD252))</f>
        <v>1</v>
      </c>
      <c r="CH243" s="4" t="str">
        <f t="shared" si="209"/>
        <v>CUMPLE</v>
      </c>
      <c r="CI243" s="4">
        <f>IF(CF243="","",IF(ISTEXT(CF243),1,0))</f>
        <v>1</v>
      </c>
      <c r="CJ243" s="4" t="str">
        <f>IF(OR(CD243="",CE243="",CF243="",CG243="",CH243="",CI243=""),"",IF(COUNTIF(CH243:CH252,"CUMPLE")=COUNTIF(CI243:CI252,1),"CUMPLE","NO CUMPLE"))</f>
        <v>CUMPLE</v>
      </c>
      <c r="CK243" s="4"/>
      <c r="CL243" s="4">
        <f t="shared" si="182"/>
        <v>1</v>
      </c>
      <c r="CM243" s="4">
        <f t="shared" si="183"/>
        <v>0</v>
      </c>
      <c r="CN243" s="4" t="str">
        <f>IF(OR(CL243="",CM243=""),"",IF(AND(CL243=0,CM243=0),"N/A",IF(AND(CL243=1,CM243=0),"COND. A",IF(AND(CL243=0,CM243=1),"COND. B",IF(AND(CL243=1,CM243=1),"COND. A Y B","")))))</f>
        <v>COND. A</v>
      </c>
      <c r="CO243" s="4" t="str">
        <f>IF(COUNTIF(CN243:CN252,"N/A")=10,"NO CUMPLE",IF(COUNTIF(CN243:CN252,"COND. A Y B")&gt;1,"CUMPLE",IF(AND(COUNTIF(CN243:CN252,"COND. A")&gt;0,COUNTIF(CN243:CN252,"COND. B")&gt;0),"CUMPLE",IF(AND(COUNTIF(CN243:CN252,"COND. A Y B")&gt;0,COUNTIF(CN243:CN252,"COND. A")&gt;0),"CUMPLE",IF(AND(COUNTIF(CN243:CN252,"COND. A Y B")&gt;0,COUNTIF(CN243:CN252,"COND. B")&gt;0),"CUMPLE","NO CUMPLE")))))</f>
        <v>CUMPLE</v>
      </c>
      <c r="CP243" s="4"/>
      <c r="CQ243" s="29" t="str">
        <f t="shared" si="164"/>
        <v>N/A</v>
      </c>
      <c r="CR243" s="29">
        <f t="shared" si="218"/>
        <v>1829.84</v>
      </c>
      <c r="CS243" s="4"/>
    </row>
    <row r="244" spans="1:97" ht="45" customHeight="1">
      <c r="B244" s="481"/>
      <c r="C244" s="118" t="s">
        <v>369</v>
      </c>
      <c r="D244" s="119" t="str">
        <f>+IFERROR(INDEX('DESEMPATE Y DISCAPACIDAD'!$D$3:$D$450,MATCH(C244,'DESEMPATE Y DISCAPACIDAD'!$C$3:$C$450,0)),"")</f>
        <v>INTERVENTORIAS Y DISEÑOS S.A. – INTERDISEÑOS</v>
      </c>
      <c r="E244" s="120" t="str">
        <f>IFERROR(IF(D244="","",IF(VLOOKUP(D244,'DESEMPATE Y DISCAPACIDAD'!D$3:$E$450,2,FALSE)=1,"N/A",IF(VLOOKUP(D244,'DESEMPATE Y DISCAPACIDAD'!D$3:$F$450,3,FALSE)="X","SI","NO"))),"")</f>
        <v>NO</v>
      </c>
      <c r="F244" s="125" t="s">
        <v>1156</v>
      </c>
      <c r="G244" s="125" t="s">
        <v>660</v>
      </c>
      <c r="H244" s="125" t="s">
        <v>1157</v>
      </c>
      <c r="I244" s="122" t="s">
        <v>1158</v>
      </c>
      <c r="J244" s="4" t="s">
        <v>74</v>
      </c>
      <c r="K244" s="121" t="s">
        <v>74</v>
      </c>
      <c r="L244" s="121" t="s">
        <v>75</v>
      </c>
      <c r="M244" s="121" t="s">
        <v>74</v>
      </c>
      <c r="N244" s="121" t="str">
        <f t="shared" ref="N244:N252" si="219">IFERROR(IF(OR(J244="",K244=""),"",IF(J244="NO","NO",K244)),"")</f>
        <v>SI</v>
      </c>
      <c r="O244" s="121" t="str">
        <f>IFERROR(IF(OR(J244="",L244=""),"",IF(J244="NO","NO",L244)),"")</f>
        <v>NO</v>
      </c>
      <c r="P244" s="121" t="str">
        <f t="shared" ref="P244:P252" si="220">IFERROR(IF(OR(J244="",M244=""),"",IF(J244="NO","NO",M244)),"")</f>
        <v>SI</v>
      </c>
      <c r="Q244" s="121" t="str">
        <f t="shared" si="184"/>
        <v>SI</v>
      </c>
      <c r="R244" s="270">
        <v>1</v>
      </c>
      <c r="S244" s="123">
        <v>39934</v>
      </c>
      <c r="T244" s="123">
        <v>40724</v>
      </c>
      <c r="U244" s="121">
        <f t="shared" ref="U244:U252" si="221">IFERROR(IF(T244="","",YEAR(T244)),"")</f>
        <v>2011</v>
      </c>
      <c r="V244" s="124">
        <f>IF(U244=2023,1160000,IFERROR(INDEX([1]SMMLV!$B$2:$B$101,MATCH(U244,[1]SMMLV!$A$2:$A$101,0)),""))</f>
        <v>535600</v>
      </c>
      <c r="W244" s="124" t="s">
        <v>670</v>
      </c>
      <c r="X244" s="125" t="s">
        <v>671</v>
      </c>
      <c r="Y244" s="125">
        <v>10</v>
      </c>
      <c r="Z244" s="474" t="s">
        <v>74</v>
      </c>
      <c r="AA244" s="475"/>
      <c r="AB244" s="476"/>
      <c r="AC244" s="125" t="str">
        <f t="shared" ref="AC244:AC252" si="222">IFERROR(IF(Y244="","",IF(ISNUMBER(Y244),IF(COUNTIF(Z244,"SI")&gt;0,"SI","NO"),Y244)),"")</f>
        <v>SI</v>
      </c>
      <c r="AD244" s="117" t="str">
        <f t="shared" si="185"/>
        <v>N/A</v>
      </c>
      <c r="AE244" s="117">
        <v>17529.939999999999</v>
      </c>
      <c r="AF244" s="117">
        <f t="shared" si="174"/>
        <v>17529.939999999999</v>
      </c>
      <c r="AG244" s="470"/>
      <c r="AH244" s="470"/>
      <c r="AI244" s="125" t="str">
        <f t="shared" si="175"/>
        <v>CUMPLE</v>
      </c>
      <c r="AJ244" s="470"/>
      <c r="AK244" s="470"/>
      <c r="AL244" s="472"/>
      <c r="AM244" s="496"/>
      <c r="AN244" s="125" t="s">
        <v>75</v>
      </c>
      <c r="AO244" s="490"/>
      <c r="AP244" s="125" t="s">
        <v>74</v>
      </c>
      <c r="AQ244" s="490"/>
      <c r="AR244" s="522"/>
      <c r="AS244" s="519"/>
      <c r="AT244" s="204"/>
      <c r="AU244" s="628"/>
      <c r="AV244" s="631"/>
      <c r="AW244" s="634"/>
      <c r="AX244" s="634"/>
      <c r="AY244" s="19"/>
      <c r="CB244" s="29" t="str">
        <f>IFERROR(IF(COUNTIF(AF243:AF252,"")=10,"",IF(COUNTIF(E243:E252,"N/A")&gt;0,IF(AF244&gt;=CMEMM1,AF244,0),"N/A")),"")</f>
        <v>N/A</v>
      </c>
      <c r="CC244" s="4"/>
      <c r="CD244" s="4">
        <f>IFERROR(IF(COUNTIF(AF243:AF252,"")=10,"",IF(AF244="","",IF(AF244&gt;=CMEMM1,1,0))),"")</f>
        <v>1</v>
      </c>
      <c r="CE244" s="4" t="str">
        <f>B243&amp;"-0"&amp;2</f>
        <v>P25-02</v>
      </c>
      <c r="CF244" s="4" t="str">
        <f>IFERROR(INDEX('DESEMPATE Y DISCAPACIDAD'!$D$3:$D$450,MATCH(CE244,'DESEMPATE Y DISCAPACIDAD'!$C$3:$C$450,0)),"")</f>
        <v>INTERVENTORIAS Y DISEÑOS S.A. – INTERDISEÑOS</v>
      </c>
      <c r="CG244" s="4">
        <f>IF(OR(CE244="",CF244=""),"",SUMIF(D243:D252,CF244,CD243:CD252))</f>
        <v>2</v>
      </c>
      <c r="CH244" s="4" t="str">
        <f t="shared" si="209"/>
        <v>CUMPLE</v>
      </c>
      <c r="CI244" s="4">
        <f t="shared" ref="CI244:CI252" si="223">IF(CF244="","",IF(ISTEXT(CF244),1,0))</f>
        <v>1</v>
      </c>
      <c r="CJ244" s="4"/>
      <c r="CK244" s="4"/>
      <c r="CL244" s="4">
        <f t="shared" si="182"/>
        <v>1</v>
      </c>
      <c r="CM244" s="4">
        <f t="shared" si="183"/>
        <v>0</v>
      </c>
      <c r="CN244" s="4" t="str">
        <f t="shared" ref="CN244:CN252" si="224">IF(OR(CL244="",CM244=""),"",IF(AND(CL244=0,CM244=0),"N/A",IF(AND(CL244=1,CM244=0),"COND. A",IF(AND(CL244=0,CM244=1),"COND. B",IF(AND(CL244=1,CM244=1),"COND. A Y B","")))))</f>
        <v>COND. A</v>
      </c>
      <c r="CO244" s="4"/>
      <c r="CP244" s="4"/>
      <c r="CQ244" s="29" t="str">
        <f t="shared" ref="CQ244:CQ307" si="225">IF(OR(AN244="",CB244=""),"",IF(AN244="NO",CB244,0))</f>
        <v>N/A</v>
      </c>
      <c r="CR244" s="29">
        <f t="shared" si="218"/>
        <v>17529.939999999999</v>
      </c>
      <c r="CS244" s="4"/>
    </row>
    <row r="245" spans="1:97" ht="45" customHeight="1">
      <c r="B245" s="481"/>
      <c r="C245" s="118" t="s">
        <v>369</v>
      </c>
      <c r="D245" s="126" t="str">
        <f>+IFERROR(INDEX('DESEMPATE Y DISCAPACIDAD'!$D$3:$D$450,MATCH(C245,'DESEMPATE Y DISCAPACIDAD'!$C$3:$C$450,0)),"")</f>
        <v>INTERVENTORIAS Y DISEÑOS S.A. – INTERDISEÑOS</v>
      </c>
      <c r="E245" s="127" t="str">
        <f>IFERROR(IF(D245="","",IF(VLOOKUP(D245,'DESEMPATE Y DISCAPACIDAD'!D$3:$E$450,2,FALSE)=1,"N/A",IF(VLOOKUP(D245,'DESEMPATE Y DISCAPACIDAD'!D$3:$F$450,3,FALSE)="X","SI","NO"))),"")</f>
        <v>NO</v>
      </c>
      <c r="F245" s="121" t="s">
        <v>687</v>
      </c>
      <c r="G245" s="121" t="s">
        <v>660</v>
      </c>
      <c r="H245" s="121" t="s">
        <v>1159</v>
      </c>
      <c r="I245" s="128" t="s">
        <v>1160</v>
      </c>
      <c r="J245" s="125" t="s">
        <v>74</v>
      </c>
      <c r="K245" s="125" t="s">
        <v>74</v>
      </c>
      <c r="L245" s="125" t="s">
        <v>75</v>
      </c>
      <c r="M245" s="125" t="s">
        <v>74</v>
      </c>
      <c r="N245" s="125" t="str">
        <f t="shared" si="219"/>
        <v>SI</v>
      </c>
      <c r="O245" s="125" t="str">
        <f>IFERROR(IF(OR(J245="",L245=""),"",IF(J245="NO","NO",L245)),"")</f>
        <v>NO</v>
      </c>
      <c r="P245" s="125" t="str">
        <f t="shared" si="220"/>
        <v>SI</v>
      </c>
      <c r="Q245" s="125" t="str">
        <f t="shared" si="184"/>
        <v>SI</v>
      </c>
      <c r="R245" s="270">
        <v>0.4</v>
      </c>
      <c r="S245" s="129">
        <v>37910</v>
      </c>
      <c r="T245" s="129">
        <v>40939</v>
      </c>
      <c r="U245" s="125">
        <f t="shared" si="221"/>
        <v>2012</v>
      </c>
      <c r="V245" s="117">
        <f>IF(U245=2023,1160000,IFERROR(INDEX([1]SMMLV!$B$2:$B$101,MATCH(U245,[1]SMMLV!$A$2:$A$101,0)),""))</f>
        <v>566700</v>
      </c>
      <c r="W245" s="117" t="s">
        <v>670</v>
      </c>
      <c r="X245" s="125" t="s">
        <v>671</v>
      </c>
      <c r="Y245" s="125">
        <v>22</v>
      </c>
      <c r="Z245" s="474" t="s">
        <v>74</v>
      </c>
      <c r="AA245" s="475"/>
      <c r="AB245" s="476"/>
      <c r="AC245" s="125" t="str">
        <f t="shared" si="222"/>
        <v>SI</v>
      </c>
      <c r="AD245" s="117" t="str">
        <f t="shared" si="185"/>
        <v>N/A</v>
      </c>
      <c r="AE245" s="117">
        <v>20730.45</v>
      </c>
      <c r="AF245" s="117">
        <f t="shared" si="174"/>
        <v>8292.18</v>
      </c>
      <c r="AG245" s="470"/>
      <c r="AH245" s="470"/>
      <c r="AI245" s="125" t="str">
        <f t="shared" si="175"/>
        <v>CUMPLE</v>
      </c>
      <c r="AJ245" s="470"/>
      <c r="AK245" s="470"/>
      <c r="AL245" s="472"/>
      <c r="AM245" s="496"/>
      <c r="AN245" s="125" t="s">
        <v>75</v>
      </c>
      <c r="AO245" s="490"/>
      <c r="AP245" s="125" t="s">
        <v>74</v>
      </c>
      <c r="AQ245" s="490"/>
      <c r="AR245" s="522"/>
      <c r="AS245" s="519"/>
      <c r="AT245" s="204"/>
      <c r="AU245" s="628"/>
      <c r="AV245" s="631"/>
      <c r="AW245" s="634"/>
      <c r="AX245" s="634"/>
      <c r="AY245" s="19"/>
      <c r="CB245" s="29" t="str">
        <f>IFERROR(IF(COUNTIF(AF243:AF252,"")=10,"",IF(COUNTIF(E243:E252,"N/A")&gt;0,IF(AF245&gt;=CMEMM1,AF245,0),"N/A")),"")</f>
        <v>N/A</v>
      </c>
      <c r="CC245" s="4"/>
      <c r="CD245" s="4">
        <f>IFERROR(IF(COUNTIF(AF243:AF252,"")=10,"",IF(AF245="","",IF(AF245&gt;=CMEMM1,1,0))),"")</f>
        <v>1</v>
      </c>
      <c r="CE245" s="4" t="str">
        <f>B243&amp;"-0"&amp;3</f>
        <v>P25-03</v>
      </c>
      <c r="CF245" s="4">
        <f>IFERROR(INDEX('DESEMPATE Y DISCAPACIDAD'!$D$3:$D$450,MATCH(CE245,'DESEMPATE Y DISCAPACIDAD'!$C$3:$C$450,0)),"")</f>
        <v>0</v>
      </c>
      <c r="CG245" s="4">
        <f>IF(OR(CE245="",CF245=""),"",SUMIF(D243:D252,CF245,CD243:CD252))</f>
        <v>0</v>
      </c>
      <c r="CH245" s="4" t="str">
        <f t="shared" si="209"/>
        <v>NO CUMPLE</v>
      </c>
      <c r="CI245" s="4">
        <f t="shared" si="223"/>
        <v>0</v>
      </c>
      <c r="CJ245" s="4"/>
      <c r="CK245" s="4"/>
      <c r="CL245" s="4">
        <f t="shared" si="182"/>
        <v>1</v>
      </c>
      <c r="CM245" s="4">
        <f t="shared" si="183"/>
        <v>0</v>
      </c>
      <c r="CN245" s="4" t="str">
        <f t="shared" si="224"/>
        <v>COND. A</v>
      </c>
      <c r="CO245" s="4"/>
      <c r="CP245" s="4"/>
      <c r="CQ245" s="29" t="str">
        <f t="shared" si="225"/>
        <v>N/A</v>
      </c>
      <c r="CR245" s="29">
        <f t="shared" si="218"/>
        <v>8292.18</v>
      </c>
      <c r="CS245" s="4"/>
    </row>
    <row r="246" spans="1:97" ht="45" customHeight="1">
      <c r="B246" s="481"/>
      <c r="C246" s="118" t="s">
        <v>368</v>
      </c>
      <c r="D246" s="126" t="str">
        <f>+IFERROR(INDEX('DESEMPATE Y DISCAPACIDAD'!$D$3:$D$450,MATCH(C246,'DESEMPATE Y DISCAPACIDAD'!$C$3:$C$450,0)),"")</f>
        <v>INTERDISEÑOS ASOCIADOS S.A.S.</v>
      </c>
      <c r="E246" s="127" t="str">
        <f>IFERROR(IF(D246="","",IF(VLOOKUP(D246,'DESEMPATE Y DISCAPACIDAD'!D$3:$E$450,2,FALSE)=1,"N/A",IF(VLOOKUP(D246,'DESEMPATE Y DISCAPACIDAD'!D$3:$F$450,3,FALSE)="X","SI","NO"))),"")</f>
        <v>NO</v>
      </c>
      <c r="F246" s="141" t="s">
        <v>940</v>
      </c>
      <c r="G246" s="125" t="s">
        <v>660</v>
      </c>
      <c r="H246" s="125" t="s">
        <v>1161</v>
      </c>
      <c r="I246" s="364" t="s">
        <v>1162</v>
      </c>
      <c r="J246" s="3" t="s">
        <v>74</v>
      </c>
      <c r="K246" s="3" t="s">
        <v>74</v>
      </c>
      <c r="L246" s="3" t="s">
        <v>74</v>
      </c>
      <c r="M246" s="3" t="s">
        <v>74</v>
      </c>
      <c r="N246" s="3" t="str">
        <f t="shared" si="219"/>
        <v>SI</v>
      </c>
      <c r="O246" s="3" t="str">
        <f>IFERROR(IF(OR(J246="",L246=""),"",IF(J246="NO","NO",L246)),"")</f>
        <v>SI</v>
      </c>
      <c r="P246" s="3" t="str">
        <f t="shared" si="220"/>
        <v>SI</v>
      </c>
      <c r="Q246" s="3" t="str">
        <f t="shared" si="184"/>
        <v>SI</v>
      </c>
      <c r="R246" s="360">
        <v>0.34</v>
      </c>
      <c r="S246" s="248">
        <v>41015</v>
      </c>
      <c r="T246" s="248">
        <v>44530</v>
      </c>
      <c r="U246" s="3">
        <f t="shared" si="221"/>
        <v>2021</v>
      </c>
      <c r="V246" s="21">
        <f>IF(U246=2023,1160000,IFERROR(INDEX([1]SMMLV!$B$2:$B$101,MATCH(U246,[1]SMMLV!$A$2:$A$101,0)),""))</f>
        <v>908526</v>
      </c>
      <c r="W246" s="21" t="s">
        <v>670</v>
      </c>
      <c r="X246" s="125" t="s">
        <v>671</v>
      </c>
      <c r="Y246" s="125">
        <v>121</v>
      </c>
      <c r="Z246" s="474" t="s">
        <v>74</v>
      </c>
      <c r="AA246" s="475"/>
      <c r="AB246" s="476"/>
      <c r="AC246" s="125" t="str">
        <f t="shared" si="222"/>
        <v>SI</v>
      </c>
      <c r="AD246" s="117" t="str">
        <f t="shared" si="185"/>
        <v>N/A</v>
      </c>
      <c r="AE246" s="117">
        <v>91335.78</v>
      </c>
      <c r="AF246" s="117">
        <f t="shared" si="174"/>
        <v>31054.165200000003</v>
      </c>
      <c r="AG246" s="470"/>
      <c r="AH246" s="470"/>
      <c r="AI246" s="125" t="str">
        <f t="shared" si="175"/>
        <v>CUMPLE</v>
      </c>
      <c r="AJ246" s="470"/>
      <c r="AK246" s="470"/>
      <c r="AL246" s="472"/>
      <c r="AM246" s="496"/>
      <c r="AN246" s="125" t="s">
        <v>75</v>
      </c>
      <c r="AO246" s="490"/>
      <c r="AP246" s="125" t="s">
        <v>74</v>
      </c>
      <c r="AQ246" s="490"/>
      <c r="AR246" s="522"/>
      <c r="AS246" s="519"/>
      <c r="AT246" s="204"/>
      <c r="AU246" s="628"/>
      <c r="AV246" s="631"/>
      <c r="AW246" s="634"/>
      <c r="AX246" s="634"/>
      <c r="AY246" s="19"/>
      <c r="CB246" s="29" t="str">
        <f>IFERROR(IF(COUNTIF(AF243:AF252,"")=10,"",IF(COUNTIF(E243:E252,"N/A")&gt;0,IF(AF246&gt;=CMEMM1,AF246,0),"N/A")),"")</f>
        <v>N/A</v>
      </c>
      <c r="CC246" s="4"/>
      <c r="CD246" s="4">
        <f>IFERROR(IF(COUNTIF(AF243:AF252,"")=10,"",IF(AF246="","",IF(AF246&gt;=CMEMM1,1,0))),"")</f>
        <v>1</v>
      </c>
      <c r="CE246" s="4" t="str">
        <f>B243&amp;"-0"&amp;4</f>
        <v>P25-04</v>
      </c>
      <c r="CF246" s="4">
        <f>IFERROR(INDEX('DESEMPATE Y DISCAPACIDAD'!$D$3:$D$450,MATCH(CE246,'DESEMPATE Y DISCAPACIDAD'!$C$3:$C$450,0)),"")</f>
        <v>0</v>
      </c>
      <c r="CG246" s="4">
        <f>IF(OR(CE246="",CF246=""),"",SUMIF(D243:D252,CF246,CD243:CD252))</f>
        <v>0</v>
      </c>
      <c r="CH246" s="4" t="str">
        <f t="shared" si="209"/>
        <v>NO CUMPLE</v>
      </c>
      <c r="CI246" s="4">
        <f t="shared" si="223"/>
        <v>0</v>
      </c>
      <c r="CJ246" s="4"/>
      <c r="CK246" s="4"/>
      <c r="CL246" s="4">
        <f t="shared" si="182"/>
        <v>1</v>
      </c>
      <c r="CM246" s="4">
        <f t="shared" si="183"/>
        <v>1</v>
      </c>
      <c r="CN246" s="4" t="str">
        <f t="shared" si="224"/>
        <v>COND. A Y B</v>
      </c>
      <c r="CO246" s="4"/>
      <c r="CP246" s="4"/>
      <c r="CQ246" s="29" t="str">
        <f t="shared" si="225"/>
        <v>N/A</v>
      </c>
      <c r="CR246" s="29">
        <f t="shared" si="218"/>
        <v>31054.165200000003</v>
      </c>
      <c r="CS246" s="4"/>
    </row>
    <row r="247" spans="1:97" ht="2" customHeight="1">
      <c r="B247" s="481"/>
      <c r="C247" s="118"/>
      <c r="D247" s="126" t="str">
        <f>+IFERROR(INDEX('DESEMPATE Y DISCAPACIDAD'!$D$3:$D$450,MATCH(C247,'DESEMPATE Y DISCAPACIDAD'!$C$3:$C$450,0)),"")</f>
        <v/>
      </c>
      <c r="E247" s="127" t="str">
        <f>IFERROR(IF(D247="","",IF(VLOOKUP(D247,'DESEMPATE Y DISCAPACIDAD'!D$3:$E$450,2,FALSE)=1,"N/A",IF(VLOOKUP(D247,'DESEMPATE Y DISCAPACIDAD'!D$3:$F$450,3,FALSE)="X","SI","NO"))),"")</f>
        <v/>
      </c>
      <c r="F247" s="125"/>
      <c r="G247" s="125"/>
      <c r="H247" s="125"/>
      <c r="I247" s="128"/>
      <c r="J247" s="125"/>
      <c r="K247" s="125"/>
      <c r="L247" s="125"/>
      <c r="M247" s="125"/>
      <c r="N247" s="125" t="str">
        <f t="shared" si="219"/>
        <v/>
      </c>
      <c r="O247" s="125" t="str">
        <f t="shared" ref="O247:O252" si="226">IFERROR(IF(OR(J247="",L247=""),"",IF(J247="NO","NO",L247)),"")</f>
        <v/>
      </c>
      <c r="P247" s="125" t="str">
        <f t="shared" si="220"/>
        <v/>
      </c>
      <c r="Q247" s="125" t="str">
        <f t="shared" si="184"/>
        <v/>
      </c>
      <c r="R247" s="68"/>
      <c r="S247" s="129"/>
      <c r="T247" s="129"/>
      <c r="U247" s="125" t="str">
        <f t="shared" si="221"/>
        <v/>
      </c>
      <c r="V247" s="117" t="str">
        <f>IF(U247=2023,1160000,IFERROR(INDEX([1]SMMLV!$B$2:$B$101,MATCH(U247,[1]SMMLV!$A$2:$A$101,0)),""))</f>
        <v/>
      </c>
      <c r="W247" s="117"/>
      <c r="X247" s="125"/>
      <c r="Y247" s="125"/>
      <c r="Z247" s="474"/>
      <c r="AA247" s="475"/>
      <c r="AB247" s="476"/>
      <c r="AC247" s="125" t="str">
        <f t="shared" si="222"/>
        <v/>
      </c>
      <c r="AD247" s="117" t="str">
        <f t="shared" si="185"/>
        <v/>
      </c>
      <c r="AE247" s="117" t="str">
        <f t="shared" si="187"/>
        <v/>
      </c>
      <c r="AF247" s="117" t="str">
        <f t="shared" si="174"/>
        <v/>
      </c>
      <c r="AG247" s="470"/>
      <c r="AH247" s="470"/>
      <c r="AI247" s="125" t="str">
        <f t="shared" si="175"/>
        <v/>
      </c>
      <c r="AJ247" s="470"/>
      <c r="AK247" s="470"/>
      <c r="AL247" s="472"/>
      <c r="AM247" s="496"/>
      <c r="AN247" s="125"/>
      <c r="AO247" s="490"/>
      <c r="AP247" s="125"/>
      <c r="AQ247" s="490"/>
      <c r="AR247" s="522"/>
      <c r="AS247" s="519"/>
      <c r="AT247" s="204"/>
      <c r="AU247" s="628"/>
      <c r="AV247" s="631"/>
      <c r="AW247" s="634"/>
      <c r="AX247" s="634"/>
      <c r="AY247" s="19"/>
      <c r="CB247" s="29" t="str">
        <f>IFERROR(IF(COUNTIF(AF243:AF252,"")=10,"",IF(COUNTIF(E243:E252,"N/A")&gt;0,IF(AF247&gt;=CMEMM1,AF247,0),"N/A")),"")</f>
        <v>N/A</v>
      </c>
      <c r="CC247" s="4"/>
      <c r="CD247" s="4" t="str">
        <f>IFERROR(IF(COUNTIF(AF243:AF252,"")=10,"",IF(AF247="","",IF(AF247&gt;=CMEMM1,1,0))),"")</f>
        <v/>
      </c>
      <c r="CE247" s="4" t="str">
        <f>B243&amp;"-0"&amp;5</f>
        <v>P25-05</v>
      </c>
      <c r="CF247" s="4">
        <f>IFERROR(INDEX('DESEMPATE Y DISCAPACIDAD'!$D$3:$D$450,MATCH(CE247,'DESEMPATE Y DISCAPACIDAD'!$C$3:$C$450,0)),"")</f>
        <v>0</v>
      </c>
      <c r="CG247" s="4">
        <f>IF(OR(CE247="",CF247=""),"",SUMIF(D243:D252,CF247,CD243:CD252))</f>
        <v>0</v>
      </c>
      <c r="CH247" s="4" t="str">
        <f t="shared" si="209"/>
        <v>NO CUMPLE</v>
      </c>
      <c r="CI247" s="4">
        <f t="shared" si="223"/>
        <v>0</v>
      </c>
      <c r="CJ247" s="4"/>
      <c r="CK247" s="4"/>
      <c r="CL247" s="4" t="str">
        <f t="shared" si="182"/>
        <v/>
      </c>
      <c r="CM247" s="4" t="str">
        <f t="shared" si="183"/>
        <v/>
      </c>
      <c r="CN247" s="4" t="str">
        <f t="shared" si="224"/>
        <v/>
      </c>
      <c r="CO247" s="4"/>
      <c r="CP247" s="4"/>
      <c r="CQ247" s="29" t="str">
        <f t="shared" si="225"/>
        <v/>
      </c>
      <c r="CR247" s="29" t="str">
        <f t="shared" si="218"/>
        <v/>
      </c>
      <c r="CS247" s="4"/>
    </row>
    <row r="248" spans="1:97" ht="2" customHeight="1">
      <c r="B248" s="481"/>
      <c r="C248" s="118"/>
      <c r="D248" s="126" t="str">
        <f>+IFERROR(INDEX('DESEMPATE Y DISCAPACIDAD'!$D$3:$D$450,MATCH(C248,'DESEMPATE Y DISCAPACIDAD'!$C$3:$C$450,0)),"")</f>
        <v/>
      </c>
      <c r="E248" s="127" t="str">
        <f>IFERROR(IF(D248="","",IF(VLOOKUP(D248,'DESEMPATE Y DISCAPACIDAD'!D$3:$E$450,2,FALSE)=1,"N/A",IF(VLOOKUP(D248,'DESEMPATE Y DISCAPACIDAD'!D$3:$F$450,3,FALSE)="X","SI","NO"))),"")</f>
        <v/>
      </c>
      <c r="F248" s="125"/>
      <c r="G248" s="125"/>
      <c r="H248" s="125"/>
      <c r="I248" s="128"/>
      <c r="J248" s="125"/>
      <c r="K248" s="125"/>
      <c r="L248" s="125"/>
      <c r="M248" s="125"/>
      <c r="N248" s="125" t="str">
        <f t="shared" si="219"/>
        <v/>
      </c>
      <c r="O248" s="125" t="str">
        <f t="shared" si="226"/>
        <v/>
      </c>
      <c r="P248" s="125" t="str">
        <f t="shared" si="220"/>
        <v/>
      </c>
      <c r="Q248" s="125" t="str">
        <f t="shared" si="184"/>
        <v/>
      </c>
      <c r="R248" s="68"/>
      <c r="S248" s="129"/>
      <c r="T248" s="129"/>
      <c r="U248" s="125" t="str">
        <f t="shared" si="221"/>
        <v/>
      </c>
      <c r="V248" s="117" t="str">
        <f>IF(U248=2023,1160000,IFERROR(INDEX([1]SMMLV!$B$2:$B$101,MATCH(U248,[1]SMMLV!$A$2:$A$101,0)),""))</f>
        <v/>
      </c>
      <c r="W248" s="117"/>
      <c r="X248" s="125"/>
      <c r="Y248" s="125"/>
      <c r="Z248" s="474"/>
      <c r="AA248" s="475"/>
      <c r="AB248" s="476"/>
      <c r="AC248" s="125" t="str">
        <f t="shared" si="222"/>
        <v/>
      </c>
      <c r="AD248" s="117" t="str">
        <f t="shared" si="185"/>
        <v/>
      </c>
      <c r="AE248" s="117" t="str">
        <f t="shared" si="187"/>
        <v/>
      </c>
      <c r="AF248" s="117" t="str">
        <f t="shared" si="174"/>
        <v/>
      </c>
      <c r="AG248" s="470"/>
      <c r="AH248" s="470"/>
      <c r="AI248" s="125" t="str">
        <f t="shared" si="175"/>
        <v/>
      </c>
      <c r="AJ248" s="470"/>
      <c r="AK248" s="470"/>
      <c r="AL248" s="472"/>
      <c r="AM248" s="496"/>
      <c r="AN248" s="125"/>
      <c r="AO248" s="490"/>
      <c r="AP248" s="125"/>
      <c r="AQ248" s="490"/>
      <c r="AR248" s="522"/>
      <c r="AS248" s="519"/>
      <c r="AT248" s="204"/>
      <c r="AU248" s="628"/>
      <c r="AV248" s="631"/>
      <c r="AW248" s="634"/>
      <c r="AX248" s="634"/>
      <c r="AY248" s="19"/>
      <c r="CB248" s="29" t="str">
        <f>IFERROR(IF(COUNTIF(AF243:AF252,"")=10,"",IF(COUNTIF(E243:E252,"N/A")&gt;0,IF(AF248&gt;=CMEMM1,AF248,0),"N/A")),"")</f>
        <v>N/A</v>
      </c>
      <c r="CC248" s="4"/>
      <c r="CD248" s="4" t="str">
        <f>IFERROR(IF(COUNTIF(AF243:AF252,"")=10,"",IF(AF248="","",IF(AF248&gt;=CMEMM1,1,0))),"")</f>
        <v/>
      </c>
      <c r="CE248" s="4" t="str">
        <f>B243&amp;"-0"&amp;6</f>
        <v>P25-06</v>
      </c>
      <c r="CF248" s="4">
        <f>IFERROR(INDEX('DESEMPATE Y DISCAPACIDAD'!$D$3:$D$450,MATCH(CE248,'DESEMPATE Y DISCAPACIDAD'!$C$3:$C$450,0)),"")</f>
        <v>0</v>
      </c>
      <c r="CG248" s="4">
        <f>IF(OR(CE248="",CF248=""),"",SUMIF(D243:D252,CF248,CD243:CD252))</f>
        <v>0</v>
      </c>
      <c r="CH248" s="4" t="str">
        <f t="shared" si="209"/>
        <v>NO CUMPLE</v>
      </c>
      <c r="CI248" s="4">
        <f t="shared" si="223"/>
        <v>0</v>
      </c>
      <c r="CJ248" s="4"/>
      <c r="CK248" s="4"/>
      <c r="CL248" s="4" t="str">
        <f t="shared" si="182"/>
        <v/>
      </c>
      <c r="CM248" s="4" t="str">
        <f t="shared" si="183"/>
        <v/>
      </c>
      <c r="CN248" s="4" t="str">
        <f t="shared" si="224"/>
        <v/>
      </c>
      <c r="CO248" s="4"/>
      <c r="CP248" s="4"/>
      <c r="CQ248" s="29" t="str">
        <f t="shared" si="225"/>
        <v/>
      </c>
      <c r="CR248" s="29" t="str">
        <f t="shared" si="218"/>
        <v/>
      </c>
      <c r="CS248" s="4"/>
    </row>
    <row r="249" spans="1:97" ht="2" customHeight="1">
      <c r="B249" s="481"/>
      <c r="C249" s="118"/>
      <c r="D249" s="126" t="str">
        <f>+IFERROR(INDEX('DESEMPATE Y DISCAPACIDAD'!$D$3:$D$450,MATCH(C249,'DESEMPATE Y DISCAPACIDAD'!$C$3:$C$450,0)),"")</f>
        <v/>
      </c>
      <c r="E249" s="127" t="str">
        <f>IFERROR(IF(D249="","",IF(VLOOKUP(D249,'DESEMPATE Y DISCAPACIDAD'!D$3:$E$450,2,FALSE)=1,"N/A",IF(VLOOKUP(D249,'DESEMPATE Y DISCAPACIDAD'!D$3:$F$450,3,FALSE)="X","SI","NO"))),"")</f>
        <v/>
      </c>
      <c r="F249" s="125"/>
      <c r="G249" s="125"/>
      <c r="H249" s="125"/>
      <c r="I249" s="128"/>
      <c r="J249" s="125"/>
      <c r="K249" s="125"/>
      <c r="L249" s="125"/>
      <c r="M249" s="125"/>
      <c r="N249" s="125" t="str">
        <f t="shared" si="219"/>
        <v/>
      </c>
      <c r="O249" s="125" t="str">
        <f t="shared" si="226"/>
        <v/>
      </c>
      <c r="P249" s="125" t="str">
        <f t="shared" si="220"/>
        <v/>
      </c>
      <c r="Q249" s="125" t="str">
        <f t="shared" si="184"/>
        <v/>
      </c>
      <c r="R249" s="68"/>
      <c r="S249" s="129"/>
      <c r="T249" s="129"/>
      <c r="U249" s="125" t="str">
        <f t="shared" si="221"/>
        <v/>
      </c>
      <c r="V249" s="117" t="str">
        <f>IF(U249=2023,1160000,IFERROR(INDEX([1]SMMLV!$B$2:$B$101,MATCH(U249,[1]SMMLV!$A$2:$A$101,0)),""))</f>
        <v/>
      </c>
      <c r="W249" s="117"/>
      <c r="X249" s="125"/>
      <c r="Y249" s="125"/>
      <c r="Z249" s="474"/>
      <c r="AA249" s="475"/>
      <c r="AB249" s="476"/>
      <c r="AC249" s="125" t="str">
        <f t="shared" si="222"/>
        <v/>
      </c>
      <c r="AD249" s="117" t="str">
        <f t="shared" si="185"/>
        <v/>
      </c>
      <c r="AE249" s="117" t="str">
        <f t="shared" si="187"/>
        <v/>
      </c>
      <c r="AF249" s="117" t="str">
        <f t="shared" si="174"/>
        <v/>
      </c>
      <c r="AG249" s="470"/>
      <c r="AH249" s="470"/>
      <c r="AI249" s="125" t="str">
        <f t="shared" si="175"/>
        <v/>
      </c>
      <c r="AJ249" s="470"/>
      <c r="AK249" s="470"/>
      <c r="AL249" s="472"/>
      <c r="AM249" s="496"/>
      <c r="AN249" s="125"/>
      <c r="AO249" s="490"/>
      <c r="AP249" s="125"/>
      <c r="AQ249" s="490"/>
      <c r="AR249" s="522"/>
      <c r="AS249" s="519"/>
      <c r="AT249" s="204"/>
      <c r="AU249" s="628"/>
      <c r="AV249" s="631"/>
      <c r="AW249" s="634"/>
      <c r="AX249" s="634"/>
      <c r="AY249" s="19"/>
      <c r="CB249" s="29" t="str">
        <f>IFERROR(IF(COUNTIF(AF243:AF252,"")=10,"",IF(COUNTIF(E243:E252,"N/A")&gt;0,IF(AF249&gt;=CMEMM1,AF249,0),"N/A")),"")</f>
        <v>N/A</v>
      </c>
      <c r="CC249" s="4"/>
      <c r="CD249" s="4" t="str">
        <f>IFERROR(IF(COUNTIF(AF243:AF252,"")=10,"",IF(AF249="","",IF(AF249&gt;=CMEMM1,1,0))),"")</f>
        <v/>
      </c>
      <c r="CE249" s="4" t="str">
        <f>B243&amp;"-0"&amp;7</f>
        <v>P25-07</v>
      </c>
      <c r="CF249" s="4" t="str">
        <f>IFERROR(INDEX('DESEMPATE Y DISCAPACIDAD'!$D$3:$D$450,MATCH(CE249,'DESEMPATE Y DISCAPACIDAD'!$C$3:$C$450,0)),"")</f>
        <v/>
      </c>
      <c r="CG249" s="4" t="str">
        <f>IF(OR(CE249="",CF249=""),"",SUMIF(D243:D252,CF249,CD243:CD252))</f>
        <v/>
      </c>
      <c r="CH249" s="4" t="str">
        <f t="shared" si="209"/>
        <v/>
      </c>
      <c r="CI249" s="4" t="str">
        <f t="shared" si="223"/>
        <v/>
      </c>
      <c r="CJ249" s="4"/>
      <c r="CK249" s="4"/>
      <c r="CL249" s="4" t="str">
        <f t="shared" si="182"/>
        <v/>
      </c>
      <c r="CM249" s="4" t="str">
        <f t="shared" si="183"/>
        <v/>
      </c>
      <c r="CN249" s="4" t="str">
        <f t="shared" si="224"/>
        <v/>
      </c>
      <c r="CO249" s="4"/>
      <c r="CP249" s="4"/>
      <c r="CQ249" s="29" t="str">
        <f t="shared" si="225"/>
        <v/>
      </c>
      <c r="CR249" s="29" t="str">
        <f t="shared" si="218"/>
        <v/>
      </c>
      <c r="CS249" s="4"/>
    </row>
    <row r="250" spans="1:97" ht="2" customHeight="1">
      <c r="B250" s="481"/>
      <c r="C250" s="118"/>
      <c r="D250" s="126" t="str">
        <f>+IFERROR(INDEX('DESEMPATE Y DISCAPACIDAD'!$D$3:$D$450,MATCH(C250,'DESEMPATE Y DISCAPACIDAD'!$C$3:$C$450,0)),"")</f>
        <v/>
      </c>
      <c r="E250" s="127" t="str">
        <f>IFERROR(IF(D250="","",IF(VLOOKUP(D250,'DESEMPATE Y DISCAPACIDAD'!D$3:$E$450,2,FALSE)=1,"N/A",IF(VLOOKUP(D250,'DESEMPATE Y DISCAPACIDAD'!D$3:$F$450,3,FALSE)="X","SI","NO"))),"")</f>
        <v/>
      </c>
      <c r="F250" s="125"/>
      <c r="G250" s="125"/>
      <c r="H250" s="125"/>
      <c r="I250" s="128"/>
      <c r="J250" s="125"/>
      <c r="K250" s="125"/>
      <c r="L250" s="125"/>
      <c r="M250" s="125"/>
      <c r="N250" s="125" t="str">
        <f t="shared" si="219"/>
        <v/>
      </c>
      <c r="O250" s="125" t="str">
        <f t="shared" si="226"/>
        <v/>
      </c>
      <c r="P250" s="125" t="str">
        <f t="shared" si="220"/>
        <v/>
      </c>
      <c r="Q250" s="125" t="str">
        <f t="shared" si="184"/>
        <v/>
      </c>
      <c r="R250" s="68"/>
      <c r="S250" s="129"/>
      <c r="T250" s="129"/>
      <c r="U250" s="125" t="str">
        <f t="shared" si="221"/>
        <v/>
      </c>
      <c r="V250" s="117" t="str">
        <f>IF(U250=2023,1160000,IFERROR(INDEX([1]SMMLV!$B$2:$B$101,MATCH(U250,[1]SMMLV!$A$2:$A$101,0)),""))</f>
        <v/>
      </c>
      <c r="W250" s="117"/>
      <c r="X250" s="125"/>
      <c r="Y250" s="125"/>
      <c r="Z250" s="474"/>
      <c r="AA250" s="475"/>
      <c r="AB250" s="476"/>
      <c r="AC250" s="125" t="str">
        <f t="shared" si="222"/>
        <v/>
      </c>
      <c r="AD250" s="117" t="str">
        <f t="shared" si="185"/>
        <v/>
      </c>
      <c r="AE250" s="117" t="str">
        <f t="shared" si="187"/>
        <v/>
      </c>
      <c r="AF250" s="117" t="str">
        <f t="shared" si="174"/>
        <v/>
      </c>
      <c r="AG250" s="470"/>
      <c r="AH250" s="470"/>
      <c r="AI250" s="125" t="str">
        <f t="shared" si="175"/>
        <v/>
      </c>
      <c r="AJ250" s="470"/>
      <c r="AK250" s="470"/>
      <c r="AL250" s="472"/>
      <c r="AM250" s="496"/>
      <c r="AN250" s="125"/>
      <c r="AO250" s="490"/>
      <c r="AP250" s="125"/>
      <c r="AQ250" s="490"/>
      <c r="AR250" s="522"/>
      <c r="AS250" s="519"/>
      <c r="AT250" s="204"/>
      <c r="AU250" s="628"/>
      <c r="AV250" s="631"/>
      <c r="AW250" s="634"/>
      <c r="AX250" s="634"/>
      <c r="AY250" s="19"/>
      <c r="CB250" s="29" t="str">
        <f>IFERROR(IF(COUNTIF(AF243:AF252,"")=10,"",IF(COUNTIF(E243:E252,"N/A")&gt;0,IF(AF250&gt;=CMEMM1,AF250,0),"N/A")),"")</f>
        <v>N/A</v>
      </c>
      <c r="CC250" s="4"/>
      <c r="CD250" s="4" t="str">
        <f>IFERROR(IF(COUNTIF(AF243:AF252,"")=10,"",IF(AF250="","",IF(AF250&gt;=CMEMM1,1,0))),"")</f>
        <v/>
      </c>
      <c r="CE250" s="4" t="str">
        <f>B243&amp;"-0"&amp;8</f>
        <v>P25-08</v>
      </c>
      <c r="CF250" s="4" t="str">
        <f>IFERROR(INDEX('DESEMPATE Y DISCAPACIDAD'!$D$3:$D$450,MATCH(CE250,'DESEMPATE Y DISCAPACIDAD'!$C$3:$C$450,0)),"")</f>
        <v/>
      </c>
      <c r="CG250" s="4" t="str">
        <f>IF(OR(CE250="",CF250=""),"",SUMIF(D243:D252,CF250,CD243:CD252))</f>
        <v/>
      </c>
      <c r="CH250" s="4" t="str">
        <f t="shared" si="209"/>
        <v/>
      </c>
      <c r="CI250" s="4" t="str">
        <f t="shared" si="223"/>
        <v/>
      </c>
      <c r="CJ250" s="4"/>
      <c r="CK250" s="4"/>
      <c r="CL250" s="4" t="str">
        <f t="shared" si="182"/>
        <v/>
      </c>
      <c r="CM250" s="4" t="str">
        <f t="shared" si="183"/>
        <v/>
      </c>
      <c r="CN250" s="4" t="str">
        <f t="shared" si="224"/>
        <v/>
      </c>
      <c r="CO250" s="4"/>
      <c r="CP250" s="4"/>
      <c r="CQ250" s="29" t="str">
        <f t="shared" si="225"/>
        <v/>
      </c>
      <c r="CR250" s="29" t="str">
        <f t="shared" si="218"/>
        <v/>
      </c>
      <c r="CS250" s="4"/>
    </row>
    <row r="251" spans="1:97" ht="2" customHeight="1">
      <c r="B251" s="481"/>
      <c r="C251" s="118"/>
      <c r="D251" s="126" t="str">
        <f>+IFERROR(INDEX('DESEMPATE Y DISCAPACIDAD'!$D$3:$D$450,MATCH(C251,'DESEMPATE Y DISCAPACIDAD'!$C$3:$C$450,0)),"")</f>
        <v/>
      </c>
      <c r="E251" s="127" t="str">
        <f>IFERROR(IF(D251="","",IF(VLOOKUP(D251,'DESEMPATE Y DISCAPACIDAD'!D$3:$E$450,2,FALSE)=1,"N/A",IF(VLOOKUP(D251,'DESEMPATE Y DISCAPACIDAD'!D$3:$F$450,3,FALSE)="X","SI","NO"))),"")</f>
        <v/>
      </c>
      <c r="F251" s="125"/>
      <c r="G251" s="125"/>
      <c r="H251" s="125"/>
      <c r="I251" s="128"/>
      <c r="J251" s="125"/>
      <c r="K251" s="125"/>
      <c r="L251" s="125"/>
      <c r="M251" s="125"/>
      <c r="N251" s="125" t="str">
        <f t="shared" si="219"/>
        <v/>
      </c>
      <c r="O251" s="125" t="str">
        <f t="shared" si="226"/>
        <v/>
      </c>
      <c r="P251" s="125" t="str">
        <f t="shared" si="220"/>
        <v/>
      </c>
      <c r="Q251" s="125" t="str">
        <f t="shared" si="184"/>
        <v/>
      </c>
      <c r="R251" s="68"/>
      <c r="S251" s="129"/>
      <c r="T251" s="129"/>
      <c r="U251" s="125" t="str">
        <f t="shared" si="221"/>
        <v/>
      </c>
      <c r="V251" s="117" t="str">
        <f>IF(U251=2023,1160000,IFERROR(INDEX([1]SMMLV!$B$2:$B$101,MATCH(U251,[1]SMMLV!$A$2:$A$101,0)),""))</f>
        <v/>
      </c>
      <c r="W251" s="117"/>
      <c r="X251" s="125"/>
      <c r="Y251" s="125"/>
      <c r="Z251" s="474"/>
      <c r="AA251" s="475"/>
      <c r="AB251" s="476"/>
      <c r="AC251" s="125" t="str">
        <f t="shared" si="222"/>
        <v/>
      </c>
      <c r="AD251" s="117" t="str">
        <f t="shared" si="185"/>
        <v/>
      </c>
      <c r="AE251" s="117" t="str">
        <f t="shared" si="187"/>
        <v/>
      </c>
      <c r="AF251" s="117" t="str">
        <f t="shared" si="174"/>
        <v/>
      </c>
      <c r="AG251" s="470"/>
      <c r="AH251" s="470"/>
      <c r="AI251" s="125" t="str">
        <f t="shared" si="175"/>
        <v/>
      </c>
      <c r="AJ251" s="470"/>
      <c r="AK251" s="470"/>
      <c r="AL251" s="472"/>
      <c r="AM251" s="496"/>
      <c r="AN251" s="125"/>
      <c r="AO251" s="490"/>
      <c r="AP251" s="125"/>
      <c r="AQ251" s="490"/>
      <c r="AR251" s="522"/>
      <c r="AS251" s="519"/>
      <c r="AT251" s="204"/>
      <c r="AU251" s="628"/>
      <c r="AV251" s="631"/>
      <c r="AW251" s="634"/>
      <c r="AX251" s="634"/>
      <c r="AY251" s="19"/>
      <c r="CB251" s="29" t="str">
        <f>IFERROR(IF(COUNTIF(AF243:AF252,"")=10,"",IF(COUNTIF(E243:E252,"N/A")&gt;0,IF(AF251&gt;=CMEMM1,AF251,0),"N/A")),"")</f>
        <v>N/A</v>
      </c>
      <c r="CC251" s="4"/>
      <c r="CD251" s="4" t="str">
        <f>IFERROR(IF(COUNTIF(AF243:AF252,"")=10,"",IF(AF251="","",IF(AF251&gt;=CMEMM1,1,0))),"")</f>
        <v/>
      </c>
      <c r="CE251" s="4" t="str">
        <f>B243&amp;"-0"&amp;9</f>
        <v>P25-09</v>
      </c>
      <c r="CF251" s="4" t="str">
        <f>IFERROR(INDEX('DESEMPATE Y DISCAPACIDAD'!$D$3:$D$450,MATCH(CE251,'DESEMPATE Y DISCAPACIDAD'!$C$3:$C$450,0)),"")</f>
        <v/>
      </c>
      <c r="CG251" s="4" t="str">
        <f>IF(OR(CE251="",CF251=""),"",SUMIF(D243:D252,CF251,CD243:CD252))</f>
        <v/>
      </c>
      <c r="CH251" s="4" t="str">
        <f t="shared" si="209"/>
        <v/>
      </c>
      <c r="CI251" s="4" t="str">
        <f t="shared" si="223"/>
        <v/>
      </c>
      <c r="CJ251" s="4"/>
      <c r="CK251" s="4"/>
      <c r="CL251" s="4" t="str">
        <f t="shared" si="182"/>
        <v/>
      </c>
      <c r="CM251" s="4" t="str">
        <f t="shared" si="183"/>
        <v/>
      </c>
      <c r="CN251" s="4" t="str">
        <f t="shared" si="224"/>
        <v/>
      </c>
      <c r="CO251" s="4"/>
      <c r="CP251" s="4"/>
      <c r="CQ251" s="29" t="str">
        <f t="shared" si="225"/>
        <v/>
      </c>
      <c r="CR251" s="29" t="str">
        <f t="shared" si="218"/>
        <v/>
      </c>
      <c r="CS251" s="4"/>
    </row>
    <row r="252" spans="1:97" ht="2" customHeight="1" thickBot="1">
      <c r="B252" s="482"/>
      <c r="C252" s="130"/>
      <c r="D252" s="131" t="str">
        <f>+IFERROR(INDEX('DESEMPATE Y DISCAPACIDAD'!$D$3:$D$450,MATCH(C252,'DESEMPATE Y DISCAPACIDAD'!$C$3:$C$450,0)),"")</f>
        <v/>
      </c>
      <c r="E252" s="132" t="str">
        <f>IFERROR(IF(D252="","",IF(VLOOKUP(D252,'DESEMPATE Y DISCAPACIDAD'!D$3:$E$450,2,FALSE)=1,"N/A",IF(VLOOKUP(D252,'DESEMPATE Y DISCAPACIDAD'!D$3:$F$450,3,FALSE)="X","SI","NO"))),"")</f>
        <v/>
      </c>
      <c r="F252" s="133"/>
      <c r="G252" s="133"/>
      <c r="H252" s="133"/>
      <c r="I252" s="134"/>
      <c r="J252" s="133"/>
      <c r="K252" s="133"/>
      <c r="L252" s="133"/>
      <c r="M252" s="133"/>
      <c r="N252" s="133" t="str">
        <f t="shared" si="219"/>
        <v/>
      </c>
      <c r="O252" s="133" t="str">
        <f t="shared" si="226"/>
        <v/>
      </c>
      <c r="P252" s="133" t="str">
        <f t="shared" si="220"/>
        <v/>
      </c>
      <c r="Q252" s="133" t="str">
        <f t="shared" si="184"/>
        <v/>
      </c>
      <c r="R252" s="104"/>
      <c r="S252" s="135"/>
      <c r="T252" s="135"/>
      <c r="U252" s="133" t="str">
        <f t="shared" si="221"/>
        <v/>
      </c>
      <c r="V252" s="136" t="str">
        <f>IF(U252=2023,1160000,IFERROR(INDEX([1]SMMLV!$B$2:$B$101,MATCH(U252,[1]SMMLV!$A$2:$A$101,0)),""))</f>
        <v/>
      </c>
      <c r="W252" s="136"/>
      <c r="X252" s="133"/>
      <c r="Y252" s="133"/>
      <c r="Z252" s="487"/>
      <c r="AA252" s="488"/>
      <c r="AB252" s="489"/>
      <c r="AC252" s="133" t="str">
        <f t="shared" si="222"/>
        <v/>
      </c>
      <c r="AD252" s="136" t="str">
        <f t="shared" si="185"/>
        <v/>
      </c>
      <c r="AE252" s="117" t="str">
        <f t="shared" si="187"/>
        <v/>
      </c>
      <c r="AF252" s="136" t="str">
        <f t="shared" si="174"/>
        <v/>
      </c>
      <c r="AG252" s="471"/>
      <c r="AH252" s="471"/>
      <c r="AI252" s="133" t="str">
        <f t="shared" si="175"/>
        <v/>
      </c>
      <c r="AJ252" s="471"/>
      <c r="AK252" s="471"/>
      <c r="AL252" s="473"/>
      <c r="AM252" s="497"/>
      <c r="AN252" s="133"/>
      <c r="AO252" s="491"/>
      <c r="AP252" s="133"/>
      <c r="AQ252" s="491"/>
      <c r="AR252" s="523"/>
      <c r="AS252" s="520"/>
      <c r="AT252" s="206"/>
      <c r="AU252" s="629"/>
      <c r="AV252" s="632"/>
      <c r="AW252" s="635"/>
      <c r="AX252" s="635"/>
      <c r="AY252" s="19"/>
      <c r="CB252" s="29" t="str">
        <f>IFERROR(IF(COUNTIF(AF243:AF252,"")=10,"",IF(COUNTIF(E243:E252,"N/A")&gt;0,IF(AF252&gt;=CMEMM1,AF252,0),"N/A")),"")</f>
        <v>N/A</v>
      </c>
      <c r="CC252" s="4"/>
      <c r="CD252" s="4" t="str">
        <f>IFERROR(IF(COUNTIF(AF243:AF252,"")=10,"",IF(AF252="","",IF(AF252&gt;=CMEMM1,1,0))),"")</f>
        <v/>
      </c>
      <c r="CE252" s="4" t="str">
        <f>B243&amp;"-"&amp;10</f>
        <v>P25-10</v>
      </c>
      <c r="CF252" s="4" t="str">
        <f>IFERROR(INDEX('DESEMPATE Y DISCAPACIDAD'!$D$3:$D$450,MATCH(CE252,'DESEMPATE Y DISCAPACIDAD'!$C$3:$C$450,0)),"")</f>
        <v/>
      </c>
      <c r="CG252" s="4" t="str">
        <f>IF(OR(CE252="",CF252=""),"",SUMIF(D243:D252,CF252,CD243:CD252))</f>
        <v/>
      </c>
      <c r="CH252" s="4" t="str">
        <f t="shared" si="209"/>
        <v/>
      </c>
      <c r="CI252" s="4" t="str">
        <f t="shared" si="223"/>
        <v/>
      </c>
      <c r="CJ252" s="4"/>
      <c r="CK252" s="4"/>
      <c r="CL252" s="4" t="str">
        <f t="shared" si="182"/>
        <v/>
      </c>
      <c r="CM252" s="4" t="str">
        <f t="shared" si="183"/>
        <v/>
      </c>
      <c r="CN252" s="4" t="str">
        <f t="shared" si="224"/>
        <v/>
      </c>
      <c r="CO252" s="4"/>
      <c r="CP252" s="4"/>
      <c r="CQ252" s="29" t="str">
        <f t="shared" si="225"/>
        <v/>
      </c>
      <c r="CR252" s="29" t="str">
        <f t="shared" si="218"/>
        <v/>
      </c>
      <c r="CS252" s="4"/>
    </row>
    <row r="253" spans="1:97" ht="45" customHeight="1">
      <c r="A253" s="4" t="str">
        <f>"A"&amp;B253</f>
        <v>AP26</v>
      </c>
      <c r="B253" s="480" t="s">
        <v>287</v>
      </c>
      <c r="C253" s="108" t="s">
        <v>374</v>
      </c>
      <c r="D253" s="119" t="str">
        <f>+IFERROR(INDEX('DESEMPATE Y DISCAPACIDAD'!$D$3:$D$450,MATCH(C253,'DESEMPATE Y DISCAPACIDAD'!$C$3:$C$450,0)),"")</f>
        <v>TRIADA MEXICO COLOMBIA</v>
      </c>
      <c r="E253" s="120" t="str">
        <f>IFERROR(IF(D253="","",IF(VLOOKUP(D253,'DESEMPATE Y DISCAPACIDAD'!D$3:$E$450,2,FALSE)=1,"N/A",IF(VLOOKUP(D253,'DESEMPATE Y DISCAPACIDAD'!D$3:$F$450,3,FALSE)="X","SI","NO"))),"")</f>
        <v>NO</v>
      </c>
      <c r="F253" s="254" t="s">
        <v>1163</v>
      </c>
      <c r="G253" s="254" t="s">
        <v>1164</v>
      </c>
      <c r="H253" s="254" t="s">
        <v>1165</v>
      </c>
      <c r="I253" s="253" t="s">
        <v>1166</v>
      </c>
      <c r="J253" s="121" t="s">
        <v>74</v>
      </c>
      <c r="K253" s="121" t="s">
        <v>74</v>
      </c>
      <c r="L253" s="121" t="s">
        <v>75</v>
      </c>
      <c r="M253" s="121" t="s">
        <v>74</v>
      </c>
      <c r="N253" s="121" t="str">
        <f>IFERROR(IF(OR(J253="",K253=""),"",IF(J253="NO","NO",K253)),"")</f>
        <v>SI</v>
      </c>
      <c r="O253" s="121" t="str">
        <f>IFERROR(IF(OR(J253="",L253=""),"",IF(J253="NO","NO",L253)),"")</f>
        <v>NO</v>
      </c>
      <c r="P253" s="121" t="str">
        <f>IFERROR(IF(OR(J253="",M253=""),"",IF(J253="NO","NO",M253)),"")</f>
        <v>SI</v>
      </c>
      <c r="Q253" s="121" t="str">
        <f t="shared" si="184"/>
        <v>SI</v>
      </c>
      <c r="R253" s="271">
        <v>0.4</v>
      </c>
      <c r="S253" s="272">
        <v>43298</v>
      </c>
      <c r="T253" s="272">
        <v>41759</v>
      </c>
      <c r="U253" s="121">
        <f>IFERROR(IF(T253="","",YEAR(T253)),"")</f>
        <v>2014</v>
      </c>
      <c r="V253" s="124">
        <f>IF(U253=2023,1160000,IFERROR(INDEX([1]SMMLV!$B$2:$B$101,MATCH(U253,[1]SMMLV!$A$2:$A$101,0)),""))</f>
        <v>616000</v>
      </c>
      <c r="W253" s="124" t="s">
        <v>670</v>
      </c>
      <c r="X253" s="121" t="s">
        <v>671</v>
      </c>
      <c r="Y253" s="121">
        <v>9</v>
      </c>
      <c r="Z253" s="483" t="s">
        <v>74</v>
      </c>
      <c r="AA253" s="484"/>
      <c r="AB253" s="485"/>
      <c r="AC253" s="121" t="str">
        <f>IFERROR(IF(Y253="","",IF(ISNUMBER(Y253),IF(COUNTIF(Z253,"SI")&gt;0,"SI","NO"),Y253)),"")</f>
        <v>SI</v>
      </c>
      <c r="AD253" s="124" t="str">
        <f t="shared" si="185"/>
        <v>N/A</v>
      </c>
      <c r="AE253" s="117">
        <v>17746.349999999999</v>
      </c>
      <c r="AF253" s="124">
        <f t="shared" si="174"/>
        <v>7098.54</v>
      </c>
      <c r="AG253" s="486" t="str">
        <f>IFERROR(IF(COUNTIF(AF253:AF262,"")=10,"",IF(COUNTIF(E253:E262,"N/A")&gt;0,IF(SUM(CB253:CB262)&gt;=CMEM1,"CUMPLE","NO CUMPLE"),IF(SUM(AF253:AF262)&gt;=CMEM1,"CUMPLE","NO CUMPLE"))),"")</f>
        <v>CUMPLE</v>
      </c>
      <c r="AH253" s="486" t="str">
        <f>IF(COUNTIF(AF253:AF262,"")=10,"",IF(SUMIF(C253:C262,C253,AF253:AF262)&gt;=CMLM1,"CUMPLE",IF(SUMIF(C253:C262,C254,AF253:AF262)&gt;=CMLM1,"CUMPLE",IF(SUMIF(C253:C262,C255,AF253:AF262)&gt;=CMLM1,"CUMPLE",IF(SUMIF(C253:C262,C256,AF253:AF262)&gt;=CMLM1,"CUMPLE",IF(SUMIF(C253:C262,C257,AF253:AF262)&gt;=CMLM1,"CUMPLE",IF(SUMIF(C253:C262,C258,AF253:AF262)&gt;=CMLM1,"CUMPLE",IF(SUMIF(C253:C262,C259,AF253:AF262)&gt;=CMLM1,"CUMPLE",IF(SUMIF(C253:C262,C260,AF253:AF262)&gt;=CMLM1,"CUMPLE",IF(SUMIF(C253:C262,C261,AF253:AF262)&gt;=CMLM1,"CUMPLE",IF(SUMIF(C253:C262,C262,AF253:AF262)&gt;=CMLM1,"CUMPLE","NO CUMPLE")))))))))))</f>
        <v>CUMPLE</v>
      </c>
      <c r="AI253" s="121" t="str">
        <f t="shared" si="175"/>
        <v>CUMPLE</v>
      </c>
      <c r="AJ253" s="469" t="str">
        <f>IFERROR(IF(COUNTIF(AF253:AF262,"")=10,"",IF(COUNTIF(E253:E262,"N/A")&gt;0,"N/A",CJ253)),"")</f>
        <v>CUMPLE</v>
      </c>
      <c r="AK253" s="469" t="str">
        <f>IFERROR(IF(AND(COUNTIF(N253:N262,"SI")&gt;=1,COUNTIF(O253:O262,"SI")&gt;=1,COUNTIF(P253:P262,"SI")&gt;=1,COUNTIF(J253:J262,"SI")&lt;=10,CO253="CUMPLE"),"CUMPLE","NO CUMPLE"),"")</f>
        <v>CUMPLE</v>
      </c>
      <c r="AL253" s="527" t="s">
        <v>77</v>
      </c>
      <c r="AM253" s="495">
        <f>IFERROR(IF(B253&lt;&gt;"",IF(VLOOKUP(B253,'DESEMPATE Y DISCAPACIDAD'!$A$3:$Q$450,10,FALSE)="","",VLOOKUP(B253,'DESEMPATE Y DISCAPACIDAD'!$A$3:$Q$450,10,FALSE)+6),""),"")</f>
        <v>8</v>
      </c>
      <c r="AN253" s="121" t="s">
        <v>75</v>
      </c>
      <c r="AO253" s="490" t="s">
        <v>74</v>
      </c>
      <c r="AP253" s="121" t="s">
        <v>74</v>
      </c>
      <c r="AQ253" s="490">
        <f>IFERROR(IF(COUNTIF(AP253:AP262,"")=10,"",IF(AO253="NO",0,COUNTIF(AP253:AP262,"SI"))),"")</f>
        <v>2</v>
      </c>
      <c r="AR253" s="521">
        <f>IFERROR(IF(COUNTIF(AF253:AF262,"")=10,"",IF(AO253="NO",0,IF(COUNTIF(E253:E262,"N/A")&gt;0,SUM(CQ253:CQ262),SUM(CR253:CR262)))),"")</f>
        <v>31270.254700000001</v>
      </c>
      <c r="AS253" s="518">
        <f>IFERROR(IF(OR(COUNTIF(AF253:AF262,"")=10,AQ253="",AR253=""),"",IF(AO253="NO",0,AR253/AQ253)),"")</f>
        <v>15635.127350000001</v>
      </c>
      <c r="AT253" s="207"/>
      <c r="AU253" s="627" t="s">
        <v>1183</v>
      </c>
      <c r="AV253" s="630" t="s">
        <v>1357</v>
      </c>
      <c r="AW253" s="655" t="s">
        <v>1365</v>
      </c>
      <c r="AX253" s="655" t="s">
        <v>1366</v>
      </c>
      <c r="AY253" s="19"/>
      <c r="CB253" s="29" t="str">
        <f>IFERROR(IF(COUNTIF(AF253:AF262,"")=10,"",IF(COUNTIF(E253:E262,"N/A")&gt;0,IF(AF253&gt;=CMEMM1,AF253,0),"N/A")),"")</f>
        <v>N/A</v>
      </c>
      <c r="CC253" s="4"/>
      <c r="CD253" s="4">
        <f>IFERROR(IF(COUNTIF(AF253:AF262,"")=10,"",IF(AF253="","",IF(AF253&gt;=CMEMM1,1,0))),"")</f>
        <v>1</v>
      </c>
      <c r="CE253" s="4" t="str">
        <f>B253&amp;"-0"&amp;1</f>
        <v>P26-01</v>
      </c>
      <c r="CF253" s="4" t="str">
        <f>IFERROR(INDEX('DESEMPATE Y DISCAPACIDAD'!$D$3:$D$450,MATCH(CE253,'DESEMPATE Y DISCAPACIDAD'!$C$3:$C$450,0)),"")</f>
        <v>TRIADA MEXICO COLOMBIA</v>
      </c>
      <c r="CG253" s="4">
        <f>IF(OR(CE253="",CF253=""),"",SUMIF(D253:D262,CF253,CD253:CD262))</f>
        <v>2</v>
      </c>
      <c r="CH253" s="4" t="str">
        <f t="shared" si="209"/>
        <v>CUMPLE</v>
      </c>
      <c r="CI253" s="4">
        <f>IF(CF253="","",IF(ISTEXT(CF253),1,0))</f>
        <v>1</v>
      </c>
      <c r="CJ253" s="4" t="str">
        <f>IF(OR(CD253="",CE253="",CF253="",CG253="",CH253="",CI253=""),"",IF(COUNTIF(CH253:CH262,"CUMPLE")=COUNTIF(CI253:CI262,1),"CUMPLE","NO CUMPLE"))</f>
        <v>CUMPLE</v>
      </c>
      <c r="CK253" s="4"/>
      <c r="CL253" s="4">
        <f t="shared" si="182"/>
        <v>1</v>
      </c>
      <c r="CM253" s="4">
        <f t="shared" si="183"/>
        <v>0</v>
      </c>
      <c r="CN253" s="4" t="str">
        <f>IF(OR(CL253="",CM253=""),"",IF(AND(CL253=0,CM253=0),"N/A",IF(AND(CL253=1,CM253=0),"COND. A",IF(AND(CL253=0,CM253=1),"COND. B",IF(AND(CL253=1,CM253=1),"COND. A Y B","")))))</f>
        <v>COND. A</v>
      </c>
      <c r="CO253" s="4" t="str">
        <f>IF(COUNTIF(CN253:CN262,"N/A")=10,"NO CUMPLE",IF(COUNTIF(CN253:CN262,"COND. A Y B")&gt;1,"CUMPLE",IF(AND(COUNTIF(CN253:CN262,"COND. A")&gt;0,COUNTIF(CN253:CN262,"COND. B")&gt;0),"CUMPLE",IF(AND(COUNTIF(CN253:CN262,"COND. A Y B")&gt;0,COUNTIF(CN253:CN262,"COND. A")&gt;0),"CUMPLE",IF(AND(COUNTIF(CN253:CN262,"COND. A Y B")&gt;0,COUNTIF(CN253:CN262,"COND. B")&gt;0),"CUMPLE","NO CUMPLE")))))</f>
        <v>CUMPLE</v>
      </c>
      <c r="CP253" s="4"/>
      <c r="CQ253" s="29" t="str">
        <f t="shared" si="225"/>
        <v>N/A</v>
      </c>
      <c r="CR253" s="29">
        <f t="shared" si="218"/>
        <v>7098.54</v>
      </c>
      <c r="CS253" s="4"/>
    </row>
    <row r="254" spans="1:97" ht="45" customHeight="1">
      <c r="B254" s="481"/>
      <c r="C254" s="118" t="s">
        <v>375</v>
      </c>
      <c r="D254" s="119" t="str">
        <f>+IFERROR(INDEX('DESEMPATE Y DISCAPACIDAD'!$D$3:$D$450,MATCH(C254,'DESEMPATE Y DISCAPACIDAD'!$C$3:$C$450,0)),"")</f>
        <v>GRUPO METRO COLOMBIA SAS</v>
      </c>
      <c r="E254" s="120" t="str">
        <f>IFERROR(IF(D254="","",IF(VLOOKUP(D254,'DESEMPATE Y DISCAPACIDAD'!D$3:$E$450,2,FALSE)=1,"N/A",IF(VLOOKUP(D254,'DESEMPATE Y DISCAPACIDAD'!D$3:$F$450,3,FALSE)="X","SI","NO"))),"")</f>
        <v>NO</v>
      </c>
      <c r="F254" s="257" t="s">
        <v>940</v>
      </c>
      <c r="G254" s="254" t="s">
        <v>660</v>
      </c>
      <c r="H254" s="257" t="s">
        <v>1167</v>
      </c>
      <c r="I254" s="258" t="s">
        <v>1168</v>
      </c>
      <c r="J254" s="121" t="s">
        <v>74</v>
      </c>
      <c r="K254" s="121" t="s">
        <v>74</v>
      </c>
      <c r="L254" s="121" t="s">
        <v>74</v>
      </c>
      <c r="M254" s="121" t="s">
        <v>74</v>
      </c>
      <c r="N254" s="121" t="str">
        <f t="shared" ref="N254:N262" si="227">IFERROR(IF(OR(J254="",K254=""),"",IF(J254="NO","NO",K254)),"")</f>
        <v>SI</v>
      </c>
      <c r="O254" s="121" t="str">
        <f>IFERROR(IF(OR(J254="",L254=""),"",IF(J254="NO","NO",L254)),"")</f>
        <v>SI</v>
      </c>
      <c r="P254" s="121" t="str">
        <f t="shared" ref="P254:P262" si="228">IFERROR(IF(OR(J254="",M254=""),"",IF(J254="NO","NO",M254)),"")</f>
        <v>SI</v>
      </c>
      <c r="Q254" s="121" t="str">
        <f t="shared" si="184"/>
        <v>SI</v>
      </c>
      <c r="R254" s="271">
        <v>0.49</v>
      </c>
      <c r="S254" s="273">
        <v>42208</v>
      </c>
      <c r="T254" s="273">
        <v>45648</v>
      </c>
      <c r="U254" s="179">
        <f t="shared" ref="U254:U262" si="229">IFERROR(IF(T254="","",YEAR(T254)),"")</f>
        <v>2024</v>
      </c>
      <c r="V254" s="358">
        <v>1300000</v>
      </c>
      <c r="W254" s="358">
        <v>64129033958.669998</v>
      </c>
      <c r="X254" s="3" t="s">
        <v>671</v>
      </c>
      <c r="Y254" s="3">
        <v>104</v>
      </c>
      <c r="Z254" s="477" t="s">
        <v>74</v>
      </c>
      <c r="AA254" s="478"/>
      <c r="AB254" s="479"/>
      <c r="AC254" s="3" t="str">
        <f t="shared" ref="AC254:AC262" si="230">IFERROR(IF(Y254="","",IF(ISNUMBER(Y254),IF(COUNTIF(Z254,"SI")&gt;0,"SI","NO"),Y254)),"")</f>
        <v>SI</v>
      </c>
      <c r="AD254" s="21">
        <f t="shared" si="185"/>
        <v>64129033958.669998</v>
      </c>
      <c r="AE254" s="21">
        <f t="shared" si="187"/>
        <v>49330.03</v>
      </c>
      <c r="AF254" s="117">
        <f t="shared" si="174"/>
        <v>24171.7147</v>
      </c>
      <c r="AG254" s="470"/>
      <c r="AH254" s="470"/>
      <c r="AI254" s="125" t="str">
        <f t="shared" si="175"/>
        <v>CUMPLE</v>
      </c>
      <c r="AJ254" s="470"/>
      <c r="AK254" s="470"/>
      <c r="AL254" s="527"/>
      <c r="AM254" s="496"/>
      <c r="AN254" s="125" t="s">
        <v>75</v>
      </c>
      <c r="AO254" s="490"/>
      <c r="AP254" s="125" t="s">
        <v>74</v>
      </c>
      <c r="AQ254" s="490"/>
      <c r="AR254" s="522"/>
      <c r="AS254" s="519"/>
      <c r="AT254" s="204"/>
      <c r="AU254" s="628"/>
      <c r="AV254" s="631"/>
      <c r="AW254" s="656"/>
      <c r="AX254" s="656"/>
      <c r="AY254" s="19"/>
      <c r="CB254" s="29" t="str">
        <f>IFERROR(IF(COUNTIF(AF253:AF262,"")=10,"",IF(COUNTIF(E253:E262,"N/A")&gt;0,IF(AF254&gt;=CMEMM1,AF254,0),"N/A")),"")</f>
        <v>N/A</v>
      </c>
      <c r="CC254" s="4"/>
      <c r="CD254" s="4">
        <f>IFERROR(IF(COUNTIF(AF253:AF262,"")=10,"",IF(AF254="","",IF(AF254&gt;=CMEMM1,1,0))),"")</f>
        <v>1</v>
      </c>
      <c r="CE254" s="4" t="str">
        <f>B253&amp;"-0"&amp;2</f>
        <v>P26-02</v>
      </c>
      <c r="CF254" s="4" t="str">
        <f>IFERROR(INDEX('DESEMPATE Y DISCAPACIDAD'!$D$3:$D$450,MATCH(CE254,'DESEMPATE Y DISCAPACIDAD'!$C$3:$C$450,0)),"")</f>
        <v>GRUPO METRO COLOMBIA SAS</v>
      </c>
      <c r="CG254" s="4">
        <f>IF(OR(CE254="",CF254=""),"",SUMIF(D253:D262,CF254,CD253:CD262))</f>
        <v>2</v>
      </c>
      <c r="CH254" s="4" t="str">
        <f t="shared" si="209"/>
        <v>CUMPLE</v>
      </c>
      <c r="CI254" s="4">
        <f t="shared" ref="CI254:CI262" si="231">IF(CF254="","",IF(ISTEXT(CF254),1,0))</f>
        <v>1</v>
      </c>
      <c r="CJ254" s="4"/>
      <c r="CK254" s="4"/>
      <c r="CL254" s="4">
        <f t="shared" si="182"/>
        <v>1</v>
      </c>
      <c r="CM254" s="4">
        <f t="shared" si="183"/>
        <v>1</v>
      </c>
      <c r="CN254" s="4" t="str">
        <f t="shared" ref="CN254:CN262" si="232">IF(OR(CL254="",CM254=""),"",IF(AND(CL254=0,CM254=0),"N/A",IF(AND(CL254=1,CM254=0),"COND. A",IF(AND(CL254=0,CM254=1),"COND. B",IF(AND(CL254=1,CM254=1),"COND. A Y B","")))))</f>
        <v>COND. A Y B</v>
      </c>
      <c r="CO254" s="4"/>
      <c r="CP254" s="4"/>
      <c r="CQ254" s="29" t="str">
        <f t="shared" si="225"/>
        <v>N/A</v>
      </c>
      <c r="CR254" s="29">
        <f t="shared" si="218"/>
        <v>24171.7147</v>
      </c>
      <c r="CS254" s="4"/>
    </row>
    <row r="255" spans="1:97" ht="45" customHeight="1">
      <c r="B255" s="481"/>
      <c r="C255" s="118" t="s">
        <v>375</v>
      </c>
      <c r="D255" s="126" t="str">
        <f>+IFERROR(INDEX('DESEMPATE Y DISCAPACIDAD'!$D$3:$D$450,MATCH(C255,'DESEMPATE Y DISCAPACIDAD'!$C$3:$C$450,0)),"")</f>
        <v>GRUPO METRO COLOMBIA SAS</v>
      </c>
      <c r="E255" s="127" t="str">
        <f>IFERROR(IF(D255="","",IF(VLOOKUP(D255,'DESEMPATE Y DISCAPACIDAD'!D$3:$E$450,2,FALSE)=1,"N/A",IF(VLOOKUP(D255,'DESEMPATE Y DISCAPACIDAD'!D$3:$F$450,3,FALSE)="X","SI","NO"))),"")</f>
        <v>NO</v>
      </c>
      <c r="F255" s="121" t="s">
        <v>1369</v>
      </c>
      <c r="G255" s="121" t="s">
        <v>1370</v>
      </c>
      <c r="H255" s="125" t="s">
        <v>1371</v>
      </c>
      <c r="I255" s="128" t="s">
        <v>1372</v>
      </c>
      <c r="J255" s="125" t="s">
        <v>74</v>
      </c>
      <c r="K255" s="125" t="s">
        <v>74</v>
      </c>
      <c r="L255" s="125" t="s">
        <v>75</v>
      </c>
      <c r="M255" s="125" t="s">
        <v>74</v>
      </c>
      <c r="N255" s="125" t="str">
        <f t="shared" si="227"/>
        <v>SI</v>
      </c>
      <c r="O255" s="125" t="str">
        <f>IFERROR(IF(OR(J255="",L255=""),"",IF(J255="NO","NO",L255)),"")</f>
        <v>NO</v>
      </c>
      <c r="P255" s="125" t="str">
        <f t="shared" si="228"/>
        <v>SI</v>
      </c>
      <c r="Q255" s="125" t="str">
        <f t="shared" si="184"/>
        <v>SI</v>
      </c>
      <c r="R255" s="68">
        <v>0.9</v>
      </c>
      <c r="S255" s="129">
        <v>41523</v>
      </c>
      <c r="T255" s="248">
        <v>42094</v>
      </c>
      <c r="U255" s="3">
        <f t="shared" si="229"/>
        <v>2015</v>
      </c>
      <c r="V255" s="21">
        <f>IF(U255=2023,1160000,IFERROR(INDEX([1]SMMLV!$B$2:$B$101,MATCH(U255,[1]SMMLV!$A$2:$A$101,0)),""))</f>
        <v>644350</v>
      </c>
      <c r="W255" s="21" t="s">
        <v>670</v>
      </c>
      <c r="X255" s="3" t="s">
        <v>671</v>
      </c>
      <c r="Y255" s="3">
        <v>61</v>
      </c>
      <c r="Z255" s="477" t="s">
        <v>74</v>
      </c>
      <c r="AA255" s="478"/>
      <c r="AB255" s="479"/>
      <c r="AC255" s="3" t="str">
        <f t="shared" si="230"/>
        <v>SI</v>
      </c>
      <c r="AD255" s="21" t="str">
        <f t="shared" si="185"/>
        <v>N/A</v>
      </c>
      <c r="AE255" s="21">
        <v>7351.85</v>
      </c>
      <c r="AF255" s="117">
        <f t="shared" si="174"/>
        <v>6616.6650000000009</v>
      </c>
      <c r="AG255" s="470"/>
      <c r="AH255" s="470"/>
      <c r="AI255" s="125" t="str">
        <f t="shared" si="175"/>
        <v>CUMPLE</v>
      </c>
      <c r="AJ255" s="470"/>
      <c r="AK255" s="470"/>
      <c r="AL255" s="527"/>
      <c r="AM255" s="496"/>
      <c r="AN255" s="125" t="s">
        <v>74</v>
      </c>
      <c r="AO255" s="490"/>
      <c r="AP255" s="125" t="s">
        <v>75</v>
      </c>
      <c r="AQ255" s="490"/>
      <c r="AR255" s="522"/>
      <c r="AS255" s="519"/>
      <c r="AT255" s="204"/>
      <c r="AU255" s="628"/>
      <c r="AV255" s="631"/>
      <c r="AW255" s="656"/>
      <c r="AX255" s="656"/>
      <c r="AY255" s="19"/>
      <c r="CB255" s="29" t="str">
        <f>IFERROR(IF(COUNTIF(AF253:AF262,"")=10,"",IF(COUNTIF(E253:E262,"N/A")&gt;0,IF(AF255&gt;=CMEMM1,AF255,0),"N/A")),"")</f>
        <v>N/A</v>
      </c>
      <c r="CC255" s="4"/>
      <c r="CD255" s="4">
        <f>IFERROR(IF(COUNTIF(AF253:AF262,"")=10,"",IF(AF255="","",IF(AF255&gt;=CMEMM1,1,0))),"")</f>
        <v>1</v>
      </c>
      <c r="CE255" s="4" t="str">
        <f>B253&amp;"-0"&amp;3</f>
        <v>P26-03</v>
      </c>
      <c r="CF255" s="4">
        <f>IFERROR(INDEX('DESEMPATE Y DISCAPACIDAD'!$D$3:$D$450,MATCH(CE255,'DESEMPATE Y DISCAPACIDAD'!$C$3:$C$450,0)),"")</f>
        <v>0</v>
      </c>
      <c r="CG255" s="4">
        <f>IF(OR(CE255="",CF255=""),"",SUMIF(D253:D262,CF255,CD253:CD262))</f>
        <v>0</v>
      </c>
      <c r="CH255" s="4" t="str">
        <f t="shared" si="209"/>
        <v>NO CUMPLE</v>
      </c>
      <c r="CI255" s="4">
        <f t="shared" si="231"/>
        <v>0</v>
      </c>
      <c r="CJ255" s="4"/>
      <c r="CK255" s="4"/>
      <c r="CL255" s="4">
        <f t="shared" si="182"/>
        <v>1</v>
      </c>
      <c r="CM255" s="4">
        <f t="shared" si="183"/>
        <v>0</v>
      </c>
      <c r="CN255" s="4" t="str">
        <f t="shared" si="232"/>
        <v>COND. A</v>
      </c>
      <c r="CO255" s="4"/>
      <c r="CP255" s="4"/>
      <c r="CQ255" s="29">
        <f t="shared" si="225"/>
        <v>0</v>
      </c>
      <c r="CR255" s="29">
        <f t="shared" si="218"/>
        <v>0</v>
      </c>
      <c r="CS255" s="4"/>
    </row>
    <row r="256" spans="1:97" ht="45" customHeight="1">
      <c r="B256" s="481"/>
      <c r="C256" s="118" t="s">
        <v>374</v>
      </c>
      <c r="D256" s="126" t="str">
        <f>+IFERROR(INDEX('DESEMPATE Y DISCAPACIDAD'!$D$3:$D$450,MATCH(C256,'DESEMPATE Y DISCAPACIDAD'!$C$3:$C$450,0)),"")</f>
        <v>TRIADA MEXICO COLOMBIA</v>
      </c>
      <c r="E256" s="127" t="str">
        <f>IFERROR(IF(D256="","",IF(VLOOKUP(D256,'DESEMPATE Y DISCAPACIDAD'!D$3:$E$450,2,FALSE)=1,"N/A",IF(VLOOKUP(D256,'DESEMPATE Y DISCAPACIDAD'!D$3:$F$450,3,FALSE)="X","SI","NO"))),"")</f>
        <v>NO</v>
      </c>
      <c r="F256" s="141" t="s">
        <v>741</v>
      </c>
      <c r="G256" s="125" t="s">
        <v>660</v>
      </c>
      <c r="H256" s="125" t="s">
        <v>1373</v>
      </c>
      <c r="I256" s="128" t="s">
        <v>1374</v>
      </c>
      <c r="J256" s="125" t="s">
        <v>74</v>
      </c>
      <c r="K256" s="125" t="s">
        <v>74</v>
      </c>
      <c r="L256" s="125" t="s">
        <v>75</v>
      </c>
      <c r="M256" s="125" t="s">
        <v>74</v>
      </c>
      <c r="N256" s="125" t="str">
        <f t="shared" si="227"/>
        <v>SI</v>
      </c>
      <c r="O256" s="125" t="str">
        <f>IFERROR(IF(OR(J256="",L256=""),"",IF(J256="NO","NO",L256)),"")</f>
        <v>NO</v>
      </c>
      <c r="P256" s="125" t="str">
        <f t="shared" si="228"/>
        <v>SI</v>
      </c>
      <c r="Q256" s="125" t="str">
        <f t="shared" si="184"/>
        <v>SI</v>
      </c>
      <c r="R256" s="68">
        <v>0.6</v>
      </c>
      <c r="S256" s="129">
        <v>42412</v>
      </c>
      <c r="T256" s="248">
        <v>43784</v>
      </c>
      <c r="U256" s="3">
        <f t="shared" si="229"/>
        <v>2019</v>
      </c>
      <c r="V256" s="21">
        <f>IF(U256=2023,1160000,IFERROR(INDEX([1]SMMLV!$B$2:$B$101,MATCH(U256,[1]SMMLV!$A$2:$A$101,0)),""))</f>
        <v>828116</v>
      </c>
      <c r="W256" s="21" t="s">
        <v>670</v>
      </c>
      <c r="X256" s="3" t="s">
        <v>671</v>
      </c>
      <c r="Y256" s="3">
        <v>14</v>
      </c>
      <c r="Z256" s="477" t="s">
        <v>74</v>
      </c>
      <c r="AA256" s="478"/>
      <c r="AB256" s="479"/>
      <c r="AC256" s="3" t="str">
        <f t="shared" si="230"/>
        <v>SI</v>
      </c>
      <c r="AD256" s="21" t="str">
        <f t="shared" si="185"/>
        <v>N/A</v>
      </c>
      <c r="AE256" s="21">
        <v>7439.48</v>
      </c>
      <c r="AF256" s="117">
        <f t="shared" si="174"/>
        <v>4463.6879999999992</v>
      </c>
      <c r="AG256" s="470"/>
      <c r="AH256" s="470"/>
      <c r="AI256" s="125" t="str">
        <f t="shared" si="175"/>
        <v>CUMPLE</v>
      </c>
      <c r="AJ256" s="470"/>
      <c r="AK256" s="470"/>
      <c r="AL256" s="527"/>
      <c r="AM256" s="496"/>
      <c r="AN256" s="125" t="s">
        <v>74</v>
      </c>
      <c r="AO256" s="490"/>
      <c r="AP256" s="125" t="s">
        <v>75</v>
      </c>
      <c r="AQ256" s="490"/>
      <c r="AR256" s="522"/>
      <c r="AS256" s="519"/>
      <c r="AT256" s="204"/>
      <c r="AU256" s="628"/>
      <c r="AV256" s="631"/>
      <c r="AW256" s="656"/>
      <c r="AX256" s="656"/>
      <c r="AY256" s="19"/>
      <c r="CB256" s="29" t="str">
        <f>IFERROR(IF(COUNTIF(AF253:AF262,"")=10,"",IF(COUNTIF(E253:E262,"N/A")&gt;0,IF(AF256&gt;=CMEMM1,AF256,0),"N/A")),"")</f>
        <v>N/A</v>
      </c>
      <c r="CC256" s="4"/>
      <c r="CD256" s="4">
        <f>IFERROR(IF(COUNTIF(AF253:AF262,"")=10,"",IF(AF256="","",IF(AF256&gt;=CMEMM1,1,0))),"")</f>
        <v>1</v>
      </c>
      <c r="CE256" s="4" t="str">
        <f>B253&amp;"-0"&amp;4</f>
        <v>P26-04</v>
      </c>
      <c r="CF256" s="4">
        <f>IFERROR(INDEX('DESEMPATE Y DISCAPACIDAD'!$D$3:$D$450,MATCH(CE256,'DESEMPATE Y DISCAPACIDAD'!$C$3:$C$450,0)),"")</f>
        <v>0</v>
      </c>
      <c r="CG256" s="4">
        <f>IF(OR(CE256="",CF256=""),"",SUMIF(D253:D262,CF256,CD253:CD262))</f>
        <v>0</v>
      </c>
      <c r="CH256" s="4" t="str">
        <f t="shared" si="209"/>
        <v>NO CUMPLE</v>
      </c>
      <c r="CI256" s="4">
        <f t="shared" si="231"/>
        <v>0</v>
      </c>
      <c r="CJ256" s="4"/>
      <c r="CK256" s="4"/>
      <c r="CL256" s="4">
        <f t="shared" si="182"/>
        <v>1</v>
      </c>
      <c r="CM256" s="4">
        <f t="shared" si="183"/>
        <v>0</v>
      </c>
      <c r="CN256" s="4" t="str">
        <f t="shared" si="232"/>
        <v>COND. A</v>
      </c>
      <c r="CO256" s="4"/>
      <c r="CP256" s="4"/>
      <c r="CQ256" s="29">
        <f t="shared" si="225"/>
        <v>0</v>
      </c>
      <c r="CR256" s="29">
        <f t="shared" si="218"/>
        <v>0</v>
      </c>
      <c r="CS256" s="4"/>
    </row>
    <row r="257" spans="1:97" ht="2" customHeight="1">
      <c r="B257" s="481"/>
      <c r="C257" s="118"/>
      <c r="D257" s="126" t="str">
        <f>+IFERROR(INDEX('DESEMPATE Y DISCAPACIDAD'!$D$3:$D$450,MATCH(C257,'DESEMPATE Y DISCAPACIDAD'!$C$3:$C$450,0)),"")</f>
        <v/>
      </c>
      <c r="E257" s="127" t="str">
        <f>IFERROR(IF(D257="","",IF(VLOOKUP(D257,'DESEMPATE Y DISCAPACIDAD'!D$3:$E$450,2,FALSE)=1,"N/A",IF(VLOOKUP(D257,'DESEMPATE Y DISCAPACIDAD'!D$3:$F$450,3,FALSE)="X","SI","NO"))),"")</f>
        <v/>
      </c>
      <c r="F257" s="125"/>
      <c r="G257" s="125"/>
      <c r="H257" s="125"/>
      <c r="I257" s="128"/>
      <c r="J257" s="125"/>
      <c r="K257" s="125"/>
      <c r="L257" s="125"/>
      <c r="M257" s="125"/>
      <c r="N257" s="125" t="str">
        <f t="shared" si="227"/>
        <v/>
      </c>
      <c r="O257" s="125" t="str">
        <f t="shared" ref="O257:O262" si="233">IFERROR(IF(OR(J257="",L257=""),"",IF(J257="NO","NO",L257)),"")</f>
        <v/>
      </c>
      <c r="P257" s="125" t="str">
        <f t="shared" si="228"/>
        <v/>
      </c>
      <c r="Q257" s="125" t="str">
        <f t="shared" si="184"/>
        <v/>
      </c>
      <c r="R257" s="68"/>
      <c r="S257" s="129"/>
      <c r="T257" s="248"/>
      <c r="U257" s="3" t="str">
        <f t="shared" si="229"/>
        <v/>
      </c>
      <c r="V257" s="21" t="str">
        <f>IF(U257=2023,1160000,IFERROR(INDEX([1]SMMLV!$B$2:$B$101,MATCH(U257,[1]SMMLV!$A$2:$A$101,0)),""))</f>
        <v/>
      </c>
      <c r="W257" s="21"/>
      <c r="X257" s="3"/>
      <c r="Y257" s="3"/>
      <c r="Z257" s="477"/>
      <c r="AA257" s="478"/>
      <c r="AB257" s="479"/>
      <c r="AC257" s="3" t="str">
        <f t="shared" si="230"/>
        <v/>
      </c>
      <c r="AD257" s="21" t="str">
        <f t="shared" si="185"/>
        <v/>
      </c>
      <c r="AE257" s="21" t="str">
        <f t="shared" si="187"/>
        <v/>
      </c>
      <c r="AF257" s="117" t="str">
        <f t="shared" ref="AF257:AF320" si="234">IFERROR(IF(OR(J257="",J257="NO"),"",IF(AND(J257="SI",Q257="SI"),IFERROR(AE257*R257,""),"")),"")</f>
        <v/>
      </c>
      <c r="AG257" s="470"/>
      <c r="AH257" s="470"/>
      <c r="AI257" s="125" t="str">
        <f t="shared" ref="AI257:AI320" si="235">IFERROR(IF(AF257="","",IF(AF257&gt;=CMEMM1,"CUMPLE","NO CUMPLE")),"")</f>
        <v/>
      </c>
      <c r="AJ257" s="470"/>
      <c r="AK257" s="470"/>
      <c r="AL257" s="527"/>
      <c r="AM257" s="496"/>
      <c r="AN257" s="125"/>
      <c r="AO257" s="490"/>
      <c r="AP257" s="125"/>
      <c r="AQ257" s="490"/>
      <c r="AR257" s="522"/>
      <c r="AS257" s="519"/>
      <c r="AT257" s="204"/>
      <c r="AU257" s="628"/>
      <c r="AV257" s="631"/>
      <c r="AW257" s="656"/>
      <c r="AX257" s="656"/>
      <c r="AY257" s="19"/>
      <c r="CB257" s="29" t="str">
        <f>IFERROR(IF(COUNTIF(AF253:AF262,"")=10,"",IF(COUNTIF(E253:E262,"N/A")&gt;0,IF(AF257&gt;=CMEMM1,AF257,0),"N/A")),"")</f>
        <v>N/A</v>
      </c>
      <c r="CC257" s="4"/>
      <c r="CD257" s="4" t="str">
        <f>IFERROR(IF(COUNTIF(AF253:AF262,"")=10,"",IF(AF257="","",IF(AF257&gt;=CMEMM1,1,0))),"")</f>
        <v/>
      </c>
      <c r="CE257" s="4" t="str">
        <f>B253&amp;"-0"&amp;5</f>
        <v>P26-05</v>
      </c>
      <c r="CF257" s="4">
        <f>IFERROR(INDEX('DESEMPATE Y DISCAPACIDAD'!$D$3:$D$450,MATCH(CE257,'DESEMPATE Y DISCAPACIDAD'!$C$3:$C$450,0)),"")</f>
        <v>0</v>
      </c>
      <c r="CG257" s="4">
        <f>IF(OR(CE257="",CF257=""),"",SUMIF(D253:D262,CF257,CD253:CD262))</f>
        <v>0</v>
      </c>
      <c r="CH257" s="4" t="str">
        <f t="shared" si="209"/>
        <v>NO CUMPLE</v>
      </c>
      <c r="CI257" s="4">
        <f t="shared" si="231"/>
        <v>0</v>
      </c>
      <c r="CJ257" s="4"/>
      <c r="CK257" s="4"/>
      <c r="CL257" s="4" t="str">
        <f t="shared" si="182"/>
        <v/>
      </c>
      <c r="CM257" s="4" t="str">
        <f t="shared" si="183"/>
        <v/>
      </c>
      <c r="CN257" s="4" t="str">
        <f t="shared" si="232"/>
        <v/>
      </c>
      <c r="CO257" s="4"/>
      <c r="CP257" s="4"/>
      <c r="CQ257" s="29" t="str">
        <f t="shared" si="225"/>
        <v/>
      </c>
      <c r="CR257" s="29" t="str">
        <f t="shared" si="218"/>
        <v/>
      </c>
      <c r="CS257" s="4"/>
    </row>
    <row r="258" spans="1:97" ht="2" customHeight="1">
      <c r="B258" s="481"/>
      <c r="C258" s="118"/>
      <c r="D258" s="126" t="str">
        <f>+IFERROR(INDEX('DESEMPATE Y DISCAPACIDAD'!$D$3:$D$450,MATCH(C258,'DESEMPATE Y DISCAPACIDAD'!$C$3:$C$450,0)),"")</f>
        <v/>
      </c>
      <c r="E258" s="127" t="str">
        <f>IFERROR(IF(D258="","",IF(VLOOKUP(D258,'DESEMPATE Y DISCAPACIDAD'!D$3:$E$450,2,FALSE)=1,"N/A",IF(VLOOKUP(D258,'DESEMPATE Y DISCAPACIDAD'!D$3:$F$450,3,FALSE)="X","SI","NO"))),"")</f>
        <v/>
      </c>
      <c r="F258" s="125"/>
      <c r="G258" s="125"/>
      <c r="H258" s="125"/>
      <c r="I258" s="128"/>
      <c r="J258" s="125"/>
      <c r="K258" s="125"/>
      <c r="L258" s="125"/>
      <c r="M258" s="125"/>
      <c r="N258" s="125" t="str">
        <f t="shared" si="227"/>
        <v/>
      </c>
      <c r="O258" s="125" t="str">
        <f t="shared" si="233"/>
        <v/>
      </c>
      <c r="P258" s="125" t="str">
        <f t="shared" si="228"/>
        <v/>
      </c>
      <c r="Q258" s="125" t="str">
        <f t="shared" si="184"/>
        <v/>
      </c>
      <c r="R258" s="68"/>
      <c r="S258" s="129"/>
      <c r="T258" s="248"/>
      <c r="U258" s="3" t="str">
        <f t="shared" si="229"/>
        <v/>
      </c>
      <c r="V258" s="21" t="str">
        <f>IF(U258=2023,1160000,IFERROR(INDEX([1]SMMLV!$B$2:$B$101,MATCH(U258,[1]SMMLV!$A$2:$A$101,0)),""))</f>
        <v/>
      </c>
      <c r="W258" s="21"/>
      <c r="X258" s="3"/>
      <c r="Y258" s="3"/>
      <c r="Z258" s="477"/>
      <c r="AA258" s="478"/>
      <c r="AB258" s="479"/>
      <c r="AC258" s="3" t="str">
        <f t="shared" si="230"/>
        <v/>
      </c>
      <c r="AD258" s="21" t="str">
        <f t="shared" si="185"/>
        <v/>
      </c>
      <c r="AE258" s="21" t="str">
        <f t="shared" si="187"/>
        <v/>
      </c>
      <c r="AF258" s="117" t="str">
        <f t="shared" si="234"/>
        <v/>
      </c>
      <c r="AG258" s="470"/>
      <c r="AH258" s="470"/>
      <c r="AI258" s="125" t="str">
        <f t="shared" si="235"/>
        <v/>
      </c>
      <c r="AJ258" s="470"/>
      <c r="AK258" s="470"/>
      <c r="AL258" s="527"/>
      <c r="AM258" s="496"/>
      <c r="AN258" s="125"/>
      <c r="AO258" s="490"/>
      <c r="AP258" s="125"/>
      <c r="AQ258" s="490"/>
      <c r="AR258" s="522"/>
      <c r="AS258" s="519"/>
      <c r="AT258" s="204"/>
      <c r="AU258" s="628"/>
      <c r="AV258" s="631"/>
      <c r="AW258" s="656"/>
      <c r="AX258" s="656"/>
      <c r="AY258" s="19"/>
      <c r="CB258" s="29" t="str">
        <f>IFERROR(IF(COUNTIF(AF253:AF262,"")=10,"",IF(COUNTIF(E253:E262,"N/A")&gt;0,IF(AF258&gt;=CMEMM1,AF258,0),"N/A")),"")</f>
        <v>N/A</v>
      </c>
      <c r="CC258" s="4"/>
      <c r="CD258" s="4" t="str">
        <f>IFERROR(IF(COUNTIF(AF253:AF262,"")=10,"",IF(AF258="","",IF(AF258&gt;=CMEMM1,1,0))),"")</f>
        <v/>
      </c>
      <c r="CE258" s="4" t="str">
        <f>B253&amp;"-0"&amp;6</f>
        <v>P26-06</v>
      </c>
      <c r="CF258" s="4">
        <f>IFERROR(INDEX('DESEMPATE Y DISCAPACIDAD'!$D$3:$D$450,MATCH(CE258,'DESEMPATE Y DISCAPACIDAD'!$C$3:$C$450,0)),"")</f>
        <v>0</v>
      </c>
      <c r="CG258" s="4">
        <f>IF(OR(CE258="",CF258=""),"",SUMIF(D253:D262,CF258,CD253:CD262))</f>
        <v>0</v>
      </c>
      <c r="CH258" s="4" t="str">
        <f t="shared" si="209"/>
        <v>NO CUMPLE</v>
      </c>
      <c r="CI258" s="4">
        <f t="shared" si="231"/>
        <v>0</v>
      </c>
      <c r="CJ258" s="4"/>
      <c r="CK258" s="4"/>
      <c r="CL258" s="4" t="str">
        <f t="shared" si="182"/>
        <v/>
      </c>
      <c r="CM258" s="4" t="str">
        <f t="shared" si="183"/>
        <v/>
      </c>
      <c r="CN258" s="4" t="str">
        <f t="shared" si="232"/>
        <v/>
      </c>
      <c r="CO258" s="4"/>
      <c r="CP258" s="4"/>
      <c r="CQ258" s="29" t="str">
        <f t="shared" si="225"/>
        <v/>
      </c>
      <c r="CR258" s="29" t="str">
        <f t="shared" si="218"/>
        <v/>
      </c>
      <c r="CS258" s="4"/>
    </row>
    <row r="259" spans="1:97" ht="2" customHeight="1">
      <c r="B259" s="481"/>
      <c r="C259" s="118"/>
      <c r="D259" s="126" t="str">
        <f>+IFERROR(INDEX('DESEMPATE Y DISCAPACIDAD'!$D$3:$D$450,MATCH(C259,'DESEMPATE Y DISCAPACIDAD'!$C$3:$C$450,0)),"")</f>
        <v/>
      </c>
      <c r="E259" s="127" t="str">
        <f>IFERROR(IF(D259="","",IF(VLOOKUP(D259,'DESEMPATE Y DISCAPACIDAD'!D$3:$E$450,2,FALSE)=1,"N/A",IF(VLOOKUP(D259,'DESEMPATE Y DISCAPACIDAD'!D$3:$F$450,3,FALSE)="X","SI","NO"))),"")</f>
        <v/>
      </c>
      <c r="F259" s="125"/>
      <c r="G259" s="125"/>
      <c r="H259" s="125"/>
      <c r="I259" s="128"/>
      <c r="J259" s="125"/>
      <c r="K259" s="125"/>
      <c r="L259" s="125"/>
      <c r="M259" s="125"/>
      <c r="N259" s="125" t="str">
        <f t="shared" si="227"/>
        <v/>
      </c>
      <c r="O259" s="125" t="str">
        <f t="shared" si="233"/>
        <v/>
      </c>
      <c r="P259" s="125" t="str">
        <f t="shared" si="228"/>
        <v/>
      </c>
      <c r="Q259" s="125" t="str">
        <f t="shared" si="184"/>
        <v/>
      </c>
      <c r="R259" s="68"/>
      <c r="S259" s="129"/>
      <c r="T259" s="248"/>
      <c r="U259" s="3" t="str">
        <f t="shared" si="229"/>
        <v/>
      </c>
      <c r="V259" s="21" t="str">
        <f>IF(U259=2023,1160000,IFERROR(INDEX([1]SMMLV!$B$2:$B$101,MATCH(U259,[1]SMMLV!$A$2:$A$101,0)),""))</f>
        <v/>
      </c>
      <c r="W259" s="21"/>
      <c r="X259" s="3"/>
      <c r="Y259" s="3"/>
      <c r="Z259" s="477"/>
      <c r="AA259" s="478"/>
      <c r="AB259" s="479"/>
      <c r="AC259" s="3" t="str">
        <f t="shared" si="230"/>
        <v/>
      </c>
      <c r="AD259" s="21" t="str">
        <f t="shared" si="185"/>
        <v/>
      </c>
      <c r="AE259" s="21" t="str">
        <f t="shared" si="187"/>
        <v/>
      </c>
      <c r="AF259" s="117" t="str">
        <f t="shared" si="234"/>
        <v/>
      </c>
      <c r="AG259" s="470"/>
      <c r="AH259" s="470"/>
      <c r="AI259" s="125" t="str">
        <f t="shared" si="235"/>
        <v/>
      </c>
      <c r="AJ259" s="470"/>
      <c r="AK259" s="470"/>
      <c r="AL259" s="527"/>
      <c r="AM259" s="496"/>
      <c r="AN259" s="125"/>
      <c r="AO259" s="490"/>
      <c r="AP259" s="125"/>
      <c r="AQ259" s="490"/>
      <c r="AR259" s="522"/>
      <c r="AS259" s="519"/>
      <c r="AT259" s="204"/>
      <c r="AU259" s="628"/>
      <c r="AV259" s="631"/>
      <c r="AW259" s="656"/>
      <c r="AX259" s="656"/>
      <c r="AY259" s="19"/>
      <c r="CB259" s="29" t="str">
        <f>IFERROR(IF(COUNTIF(AF253:AF262,"")=10,"",IF(COUNTIF(E253:E262,"N/A")&gt;0,IF(AF259&gt;=CMEMM1,AF259,0),"N/A")),"")</f>
        <v>N/A</v>
      </c>
      <c r="CC259" s="4"/>
      <c r="CD259" s="4" t="str">
        <f>IFERROR(IF(COUNTIF(AF253:AF262,"")=10,"",IF(AF259="","",IF(AF259&gt;=CMEMM1,1,0))),"")</f>
        <v/>
      </c>
      <c r="CE259" s="4" t="str">
        <f>B253&amp;"-0"&amp;7</f>
        <v>P26-07</v>
      </c>
      <c r="CF259" s="4" t="str">
        <f>IFERROR(INDEX('DESEMPATE Y DISCAPACIDAD'!$D$3:$D$450,MATCH(CE259,'DESEMPATE Y DISCAPACIDAD'!$C$3:$C$450,0)),"")</f>
        <v/>
      </c>
      <c r="CG259" s="4" t="str">
        <f>IF(OR(CE259="",CF259=""),"",SUMIF(D253:D262,CF259,CD253:CD262))</f>
        <v/>
      </c>
      <c r="CH259" s="4" t="str">
        <f t="shared" si="209"/>
        <v/>
      </c>
      <c r="CI259" s="4" t="str">
        <f t="shared" si="231"/>
        <v/>
      </c>
      <c r="CJ259" s="4"/>
      <c r="CK259" s="4"/>
      <c r="CL259" s="4" t="str">
        <f t="shared" ref="CL259:CL322" si="236">IF(N259="","",IF(N259="SI",1,0))</f>
        <v/>
      </c>
      <c r="CM259" s="4" t="str">
        <f t="shared" ref="CM259:CM322" si="237">IF(O259="","",IF(O259="SI",1,0))</f>
        <v/>
      </c>
      <c r="CN259" s="4" t="str">
        <f t="shared" si="232"/>
        <v/>
      </c>
      <c r="CO259" s="4"/>
      <c r="CP259" s="4"/>
      <c r="CQ259" s="29" t="str">
        <f t="shared" si="225"/>
        <v/>
      </c>
      <c r="CR259" s="29" t="str">
        <f t="shared" si="218"/>
        <v/>
      </c>
      <c r="CS259" s="4"/>
    </row>
    <row r="260" spans="1:97" ht="2" customHeight="1">
      <c r="B260" s="481"/>
      <c r="C260" s="118"/>
      <c r="D260" s="126" t="str">
        <f>+IFERROR(INDEX('DESEMPATE Y DISCAPACIDAD'!$D$3:$D$450,MATCH(C260,'DESEMPATE Y DISCAPACIDAD'!$C$3:$C$450,0)),"")</f>
        <v/>
      </c>
      <c r="E260" s="127" t="str">
        <f>IFERROR(IF(D260="","",IF(VLOOKUP(D260,'DESEMPATE Y DISCAPACIDAD'!D$3:$E$450,2,FALSE)=1,"N/A",IF(VLOOKUP(D260,'DESEMPATE Y DISCAPACIDAD'!D$3:$F$450,3,FALSE)="X","SI","NO"))),"")</f>
        <v/>
      </c>
      <c r="F260" s="125"/>
      <c r="G260" s="125"/>
      <c r="H260" s="125"/>
      <c r="I260" s="128"/>
      <c r="J260" s="125"/>
      <c r="K260" s="125"/>
      <c r="L260" s="125"/>
      <c r="M260" s="125"/>
      <c r="N260" s="125" t="str">
        <f t="shared" si="227"/>
        <v/>
      </c>
      <c r="O260" s="125" t="str">
        <f t="shared" si="233"/>
        <v/>
      </c>
      <c r="P260" s="125" t="str">
        <f t="shared" si="228"/>
        <v/>
      </c>
      <c r="Q260" s="125" t="str">
        <f t="shared" ref="Q260:Q323" si="238">IFERROR(IF(S260="","",IF(S260&gt;=DATE(1900,1,1),"SI","NO")),"")</f>
        <v/>
      </c>
      <c r="R260" s="68"/>
      <c r="S260" s="129"/>
      <c r="T260" s="248"/>
      <c r="U260" s="3" t="str">
        <f t="shared" si="229"/>
        <v/>
      </c>
      <c r="V260" s="21" t="str">
        <f>IF(U260=2023,1160000,IFERROR(INDEX([1]SMMLV!$B$2:$B$101,MATCH(U260,[1]SMMLV!$A$2:$A$101,0)),""))</f>
        <v/>
      </c>
      <c r="W260" s="21"/>
      <c r="X260" s="3"/>
      <c r="Y260" s="3"/>
      <c r="Z260" s="477"/>
      <c r="AA260" s="478"/>
      <c r="AB260" s="479"/>
      <c r="AC260" s="3" t="str">
        <f t="shared" si="230"/>
        <v/>
      </c>
      <c r="AD260" s="21" t="str">
        <f t="shared" ref="AD260:AE323" si="239">IF(W260="","",IF(W260="N/A","N/A",W260))</f>
        <v/>
      </c>
      <c r="AE260" s="21" t="str">
        <f t="shared" si="187"/>
        <v/>
      </c>
      <c r="AF260" s="117" t="str">
        <f t="shared" si="234"/>
        <v/>
      </c>
      <c r="AG260" s="470"/>
      <c r="AH260" s="470"/>
      <c r="AI260" s="125" t="str">
        <f t="shared" si="235"/>
        <v/>
      </c>
      <c r="AJ260" s="470"/>
      <c r="AK260" s="470"/>
      <c r="AL260" s="527"/>
      <c r="AM260" s="496"/>
      <c r="AN260" s="125"/>
      <c r="AO260" s="490"/>
      <c r="AP260" s="125"/>
      <c r="AQ260" s="490"/>
      <c r="AR260" s="522"/>
      <c r="AS260" s="519"/>
      <c r="AT260" s="204"/>
      <c r="AU260" s="628"/>
      <c r="AV260" s="631"/>
      <c r="AW260" s="656"/>
      <c r="AX260" s="656"/>
      <c r="AY260" s="19"/>
      <c r="CB260" s="29" t="str">
        <f>IFERROR(IF(COUNTIF(AF253:AF262,"")=10,"",IF(COUNTIF(E253:E262,"N/A")&gt;0,IF(AF260&gt;=CMEMM1,AF260,0),"N/A")),"")</f>
        <v>N/A</v>
      </c>
      <c r="CC260" s="4"/>
      <c r="CD260" s="4" t="str">
        <f>IFERROR(IF(COUNTIF(AF253:AF262,"")=10,"",IF(AF260="","",IF(AF260&gt;=CMEMM1,1,0))),"")</f>
        <v/>
      </c>
      <c r="CE260" s="4" t="str">
        <f>B253&amp;"-0"&amp;8</f>
        <v>P26-08</v>
      </c>
      <c r="CF260" s="4" t="str">
        <f>IFERROR(INDEX('DESEMPATE Y DISCAPACIDAD'!$D$3:$D$450,MATCH(CE260,'DESEMPATE Y DISCAPACIDAD'!$C$3:$C$450,0)),"")</f>
        <v/>
      </c>
      <c r="CG260" s="4" t="str">
        <f>IF(OR(CE260="",CF260=""),"",SUMIF(D253:D262,CF260,CD253:CD262))</f>
        <v/>
      </c>
      <c r="CH260" s="4" t="str">
        <f t="shared" si="209"/>
        <v/>
      </c>
      <c r="CI260" s="4" t="str">
        <f t="shared" si="231"/>
        <v/>
      </c>
      <c r="CJ260" s="4"/>
      <c r="CK260" s="4"/>
      <c r="CL260" s="4" t="str">
        <f t="shared" si="236"/>
        <v/>
      </c>
      <c r="CM260" s="4" t="str">
        <f t="shared" si="237"/>
        <v/>
      </c>
      <c r="CN260" s="4" t="str">
        <f t="shared" si="232"/>
        <v/>
      </c>
      <c r="CO260" s="4"/>
      <c r="CP260" s="4"/>
      <c r="CQ260" s="29" t="str">
        <f t="shared" si="225"/>
        <v/>
      </c>
      <c r="CR260" s="29" t="str">
        <f t="shared" si="218"/>
        <v/>
      </c>
      <c r="CS260" s="4"/>
    </row>
    <row r="261" spans="1:97" ht="2" customHeight="1">
      <c r="B261" s="481"/>
      <c r="C261" s="118"/>
      <c r="D261" s="126" t="str">
        <f>+IFERROR(INDEX('DESEMPATE Y DISCAPACIDAD'!$D$3:$D$450,MATCH(C261,'DESEMPATE Y DISCAPACIDAD'!$C$3:$C$450,0)),"")</f>
        <v/>
      </c>
      <c r="E261" s="127" t="str">
        <f>IFERROR(IF(D261="","",IF(VLOOKUP(D261,'DESEMPATE Y DISCAPACIDAD'!D$3:$E$450,2,FALSE)=1,"N/A",IF(VLOOKUP(D261,'DESEMPATE Y DISCAPACIDAD'!D$3:$F$450,3,FALSE)="X","SI","NO"))),"")</f>
        <v/>
      </c>
      <c r="F261" s="125"/>
      <c r="G261" s="125"/>
      <c r="H261" s="125"/>
      <c r="I261" s="128"/>
      <c r="J261" s="125"/>
      <c r="K261" s="125"/>
      <c r="L261" s="125"/>
      <c r="M261" s="125"/>
      <c r="N261" s="125" t="str">
        <f t="shared" si="227"/>
        <v/>
      </c>
      <c r="O261" s="125" t="str">
        <f t="shared" si="233"/>
        <v/>
      </c>
      <c r="P261" s="125" t="str">
        <f t="shared" si="228"/>
        <v/>
      </c>
      <c r="Q261" s="125" t="str">
        <f t="shared" si="238"/>
        <v/>
      </c>
      <c r="R261" s="68"/>
      <c r="S261" s="129"/>
      <c r="T261" s="248"/>
      <c r="U261" s="3" t="str">
        <f t="shared" si="229"/>
        <v/>
      </c>
      <c r="V261" s="21" t="str">
        <f>IF(U261=2023,1160000,IFERROR(INDEX([1]SMMLV!$B$2:$B$101,MATCH(U261,[1]SMMLV!$A$2:$A$101,0)),""))</f>
        <v/>
      </c>
      <c r="W261" s="21"/>
      <c r="X261" s="3"/>
      <c r="Y261" s="3"/>
      <c r="Z261" s="477"/>
      <c r="AA261" s="478"/>
      <c r="AB261" s="479"/>
      <c r="AC261" s="3" t="str">
        <f t="shared" si="230"/>
        <v/>
      </c>
      <c r="AD261" s="21" t="str">
        <f t="shared" si="239"/>
        <v/>
      </c>
      <c r="AE261" s="21" t="str">
        <f t="shared" si="187"/>
        <v/>
      </c>
      <c r="AF261" s="117" t="str">
        <f t="shared" si="234"/>
        <v/>
      </c>
      <c r="AG261" s="470"/>
      <c r="AH261" s="470"/>
      <c r="AI261" s="125" t="str">
        <f t="shared" si="235"/>
        <v/>
      </c>
      <c r="AJ261" s="470"/>
      <c r="AK261" s="470"/>
      <c r="AL261" s="527"/>
      <c r="AM261" s="496"/>
      <c r="AN261" s="125"/>
      <c r="AO261" s="490"/>
      <c r="AP261" s="125"/>
      <c r="AQ261" s="490"/>
      <c r="AR261" s="522"/>
      <c r="AS261" s="519"/>
      <c r="AT261" s="204"/>
      <c r="AU261" s="628"/>
      <c r="AV261" s="631"/>
      <c r="AW261" s="656"/>
      <c r="AX261" s="656"/>
      <c r="AY261" s="19"/>
      <c r="CB261" s="29" t="str">
        <f>IFERROR(IF(COUNTIF(AF253:AF262,"")=10,"",IF(COUNTIF(E253:E262,"N/A")&gt;0,IF(AF261&gt;=CMEMM1,AF261,0),"N/A")),"")</f>
        <v>N/A</v>
      </c>
      <c r="CC261" s="4"/>
      <c r="CD261" s="4" t="str">
        <f>IFERROR(IF(COUNTIF(AF253:AF262,"")=10,"",IF(AF261="","",IF(AF261&gt;=CMEMM1,1,0))),"")</f>
        <v/>
      </c>
      <c r="CE261" s="4" t="str">
        <f>B253&amp;"-0"&amp;9</f>
        <v>P26-09</v>
      </c>
      <c r="CF261" s="4" t="str">
        <f>IFERROR(INDEX('DESEMPATE Y DISCAPACIDAD'!$D$3:$D$450,MATCH(CE261,'DESEMPATE Y DISCAPACIDAD'!$C$3:$C$450,0)),"")</f>
        <v/>
      </c>
      <c r="CG261" s="4" t="str">
        <f>IF(OR(CE261="",CF261=""),"",SUMIF(D253:D262,CF261,CD253:CD262))</f>
        <v/>
      </c>
      <c r="CH261" s="4" t="str">
        <f t="shared" si="209"/>
        <v/>
      </c>
      <c r="CI261" s="4" t="str">
        <f t="shared" si="231"/>
        <v/>
      </c>
      <c r="CJ261" s="4"/>
      <c r="CK261" s="4"/>
      <c r="CL261" s="4" t="str">
        <f t="shared" si="236"/>
        <v/>
      </c>
      <c r="CM261" s="4" t="str">
        <f t="shared" si="237"/>
        <v/>
      </c>
      <c r="CN261" s="4" t="str">
        <f t="shared" si="232"/>
        <v/>
      </c>
      <c r="CO261" s="4"/>
      <c r="CP261" s="4"/>
      <c r="CQ261" s="29" t="str">
        <f t="shared" si="225"/>
        <v/>
      </c>
      <c r="CR261" s="29" t="str">
        <f t="shared" si="218"/>
        <v/>
      </c>
      <c r="CS261" s="4"/>
    </row>
    <row r="262" spans="1:97" ht="2" customHeight="1" thickBot="1">
      <c r="B262" s="482"/>
      <c r="C262" s="413"/>
      <c r="D262" s="376" t="str">
        <f>+IFERROR(INDEX('DESEMPATE Y DISCAPACIDAD'!$D$3:$D$450,MATCH(C262,'DESEMPATE Y DISCAPACIDAD'!$C$3:$C$450,0)),"")</f>
        <v/>
      </c>
      <c r="E262" s="169" t="str">
        <f>IFERROR(IF(D262="","",IF(VLOOKUP(D262,'DESEMPATE Y DISCAPACIDAD'!D$3:$E$450,2,FALSE)=1,"N/A",IF(VLOOKUP(D262,'DESEMPATE Y DISCAPACIDAD'!D$3:$F$450,3,FALSE)="X","SI","NO"))),"")</f>
        <v/>
      </c>
      <c r="F262" s="5"/>
      <c r="G262" s="133"/>
      <c r="H262" s="133"/>
      <c r="I262" s="134"/>
      <c r="J262" s="133"/>
      <c r="K262" s="133"/>
      <c r="L262" s="133"/>
      <c r="M262" s="133"/>
      <c r="N262" s="133" t="str">
        <f t="shared" si="227"/>
        <v/>
      </c>
      <c r="O262" s="133" t="str">
        <f t="shared" si="233"/>
        <v/>
      </c>
      <c r="P262" s="133" t="str">
        <f t="shared" si="228"/>
        <v/>
      </c>
      <c r="Q262" s="133" t="str">
        <f t="shared" si="238"/>
        <v/>
      </c>
      <c r="R262" s="104"/>
      <c r="S262" s="135"/>
      <c r="T262" s="9"/>
      <c r="U262" s="5" t="str">
        <f t="shared" si="229"/>
        <v/>
      </c>
      <c r="V262" s="22" t="str">
        <f>IF(U262=2023,1160000,IFERROR(INDEX([1]SMMLV!$B$2:$B$101,MATCH(U262,[1]SMMLV!$A$2:$A$101,0)),""))</f>
        <v/>
      </c>
      <c r="W262" s="22"/>
      <c r="X262" s="5"/>
      <c r="Y262" s="5"/>
      <c r="Z262" s="524"/>
      <c r="AA262" s="525"/>
      <c r="AB262" s="526"/>
      <c r="AC262" s="5" t="str">
        <f t="shared" si="230"/>
        <v/>
      </c>
      <c r="AD262" s="22" t="str">
        <f t="shared" si="239"/>
        <v/>
      </c>
      <c r="AE262" s="21" t="str">
        <f t="shared" ref="AE262:AE272" si="240">IFERROR(IF(OR(V262="",AD262=""),"",ROUND(AD262/V262,2)),"")</f>
        <v/>
      </c>
      <c r="AF262" s="136" t="str">
        <f t="shared" si="234"/>
        <v/>
      </c>
      <c r="AG262" s="471"/>
      <c r="AH262" s="471"/>
      <c r="AI262" s="133" t="str">
        <f t="shared" si="235"/>
        <v/>
      </c>
      <c r="AJ262" s="471"/>
      <c r="AK262" s="471"/>
      <c r="AL262" s="528"/>
      <c r="AM262" s="497"/>
      <c r="AN262" s="133"/>
      <c r="AO262" s="491"/>
      <c r="AP262" s="133"/>
      <c r="AQ262" s="491"/>
      <c r="AR262" s="523"/>
      <c r="AS262" s="520"/>
      <c r="AT262" s="206"/>
      <c r="AU262" s="629"/>
      <c r="AV262" s="632"/>
      <c r="AW262" s="657"/>
      <c r="AX262" s="657"/>
      <c r="AY262" s="19"/>
      <c r="CB262" s="29" t="str">
        <f>IFERROR(IF(COUNTIF(AF253:AF262,"")=10,"",IF(COUNTIF(E253:E262,"N/A")&gt;0,IF(AF262&gt;=CMEMM1,AF262,0),"N/A")),"")</f>
        <v>N/A</v>
      </c>
      <c r="CC262" s="4"/>
      <c r="CD262" s="4" t="str">
        <f>IFERROR(IF(COUNTIF(AF253:AF262,"")=10,"",IF(AF262="","",IF(AF262&gt;=CMEMM1,1,0))),"")</f>
        <v/>
      </c>
      <c r="CE262" s="4" t="str">
        <f>B253&amp;"-"&amp;10</f>
        <v>P26-10</v>
      </c>
      <c r="CF262" s="4" t="str">
        <f>IFERROR(INDEX('DESEMPATE Y DISCAPACIDAD'!$D$3:$D$450,MATCH(CE262,'DESEMPATE Y DISCAPACIDAD'!$C$3:$C$450,0)),"")</f>
        <v/>
      </c>
      <c r="CG262" s="4" t="str">
        <f>IF(OR(CE262="",CF262=""),"",SUMIF(D253:D262,CF262,CD253:CD262))</f>
        <v/>
      </c>
      <c r="CH262" s="4" t="str">
        <f t="shared" si="209"/>
        <v/>
      </c>
      <c r="CI262" s="4" t="str">
        <f t="shared" si="231"/>
        <v/>
      </c>
      <c r="CJ262" s="4"/>
      <c r="CK262" s="4"/>
      <c r="CL262" s="4" t="str">
        <f t="shared" si="236"/>
        <v/>
      </c>
      <c r="CM262" s="4" t="str">
        <f t="shared" si="237"/>
        <v/>
      </c>
      <c r="CN262" s="4" t="str">
        <f t="shared" si="232"/>
        <v/>
      </c>
      <c r="CO262" s="4"/>
      <c r="CP262" s="4"/>
      <c r="CQ262" s="29" t="str">
        <f t="shared" si="225"/>
        <v/>
      </c>
      <c r="CR262" s="29" t="str">
        <f t="shared" si="218"/>
        <v/>
      </c>
      <c r="CS262" s="4"/>
    </row>
    <row r="263" spans="1:97" ht="45" customHeight="1">
      <c r="A263" s="4" t="str">
        <f>"A"&amp;B263</f>
        <v>AP27</v>
      </c>
      <c r="B263" s="480" t="s">
        <v>288</v>
      </c>
      <c r="C263" s="385" t="s">
        <v>380</v>
      </c>
      <c r="D263" s="386" t="str">
        <f>+IFERROR(INDEX('DESEMPATE Y DISCAPACIDAD'!$D$3:$D$450,MATCH(C263,'DESEMPATE Y DISCAPACIDAD'!$C$3:$C$450,0)),"")</f>
        <v>AFA CONSULTORES Y CONSTRUCTORES S. A</v>
      </c>
      <c r="E263" s="387" t="str">
        <f>IFERROR(IF(D263="","",IF(VLOOKUP(D263,'DESEMPATE Y DISCAPACIDAD'!D$3:$E$450,2,FALSE)=1,"N/A",IF(VLOOKUP(D263,'DESEMPATE Y DISCAPACIDAD'!D$3:$F$450,3,FALSE)="X","SI","NO"))),"")</f>
        <v>NO</v>
      </c>
      <c r="F263" s="365" t="s">
        <v>940</v>
      </c>
      <c r="G263" s="377" t="s">
        <v>660</v>
      </c>
      <c r="H263" s="377" t="s">
        <v>1169</v>
      </c>
      <c r="I263" s="378" t="s">
        <v>1170</v>
      </c>
      <c r="J263" s="179" t="s">
        <v>74</v>
      </c>
      <c r="K263" s="121" t="s">
        <v>75</v>
      </c>
      <c r="L263" s="121" t="s">
        <v>74</v>
      </c>
      <c r="M263" s="121" t="s">
        <v>74</v>
      </c>
      <c r="N263" s="121" t="str">
        <f>IFERROR(IF(OR(J263="",K263=""),"",IF(J263="NO","NO",K263)),"")</f>
        <v>NO</v>
      </c>
      <c r="O263" s="121" t="str">
        <f>IFERROR(IF(OR(J263="",L263=""),"",IF(J263="NO","NO",L263)),"")</f>
        <v>SI</v>
      </c>
      <c r="P263" s="121" t="str">
        <f>IFERROR(IF(OR(J263="",M263=""),"",IF(J263="NO","NO",M263)),"")</f>
        <v>SI</v>
      </c>
      <c r="Q263" s="121" t="str">
        <f t="shared" si="238"/>
        <v>SI</v>
      </c>
      <c r="R263" s="274">
        <v>0.6</v>
      </c>
      <c r="S263" s="275">
        <v>41660</v>
      </c>
      <c r="T263" s="366">
        <v>45535</v>
      </c>
      <c r="U263" s="179">
        <v>2025</v>
      </c>
      <c r="V263" s="358">
        <v>1423500</v>
      </c>
      <c r="W263" s="358">
        <v>20541046113.330002</v>
      </c>
      <c r="X263" s="179" t="s">
        <v>671</v>
      </c>
      <c r="Y263" s="179">
        <v>90</v>
      </c>
      <c r="Z263" s="492" t="s">
        <v>74</v>
      </c>
      <c r="AA263" s="493"/>
      <c r="AB263" s="494"/>
      <c r="AC263" s="179" t="str">
        <f>IFERROR(IF(Y263="","",IF(ISNUMBER(Y263),IF(COUNTIF(Z263,"SI")&gt;0,"SI","NO"),Y263)),"")</f>
        <v>SI</v>
      </c>
      <c r="AD263" s="358">
        <f t="shared" si="239"/>
        <v>20541046113.330002</v>
      </c>
      <c r="AE263" s="21">
        <v>14429.96</v>
      </c>
      <c r="AF263" s="124">
        <f t="shared" si="234"/>
        <v>8657.9759999999987</v>
      </c>
      <c r="AG263" s="486" t="str">
        <f>IFERROR(IF(COUNTIF(AF263:AF272,"")=10,"",IF(COUNTIF(E263:E272,"N/A")&gt;0,IF(SUM(CB263:CB272)&gt;=CMEM1,"CUMPLE","NO CUMPLE"),IF(SUM(AF263:AF272)&gt;=CMEM1,"CUMPLE","NO CUMPLE"))),"")</f>
        <v>CUMPLE</v>
      </c>
      <c r="AH263" s="486" t="str">
        <f>IF(COUNTIF(AF263:AF272,"")=10,"",IF(SUMIF(C263:C272,C263,AF263:AF272)&gt;=CMLM1,"CUMPLE",IF(SUMIF(C263:C272,C264,AF263:AF272)&gt;=CMLM1,"CUMPLE",IF(SUMIF(C263:C272,C265,AF263:AF272)&gt;=CMLM1,"CUMPLE",IF(SUMIF(C263:C272,C266,AF263:AF272)&gt;=CMLM1,"CUMPLE",IF(SUMIF(C263:C272,C267,AF263:AF272)&gt;=CMLM1,"CUMPLE",IF(SUMIF(C263:C272,C268,AF263:AF272)&gt;=CMLM1,"CUMPLE",IF(SUMIF(C263:C272,C269,AF263:AF272)&gt;=CMLM1,"CUMPLE",IF(SUMIF(C263:C272,C270,AF263:AF272)&gt;=CMLM1,"CUMPLE",IF(SUMIF(C263:C272,C271,AF263:AF272)&gt;=CMLM1,"CUMPLE",IF(SUMIF(C263:C272,C272,AF263:AF272)&gt;=CMLM1,"CUMPLE","NO CUMPLE")))))))))))</f>
        <v>CUMPLE</v>
      </c>
      <c r="AI263" s="121" t="str">
        <f t="shared" si="235"/>
        <v>CUMPLE</v>
      </c>
      <c r="AJ263" s="469" t="str">
        <f>IFERROR(IF(COUNTIF(AF263:AF272,"")=10,"",IF(COUNTIF(E263:E272,"N/A")&gt;0,"N/A",CJ263)),"")</f>
        <v>CUMPLE</v>
      </c>
      <c r="AK263" s="469" t="str">
        <f>IFERROR(IF(AND(COUNTIF(N263:N272,"SI")&gt;=1,COUNTIF(O263:O272,"SI")&gt;=1,COUNTIF(P263:P272,"SI")&gt;=1,COUNTIF(J263:J272,"SI")&lt;=10,CO263="CUMPLE"),"CUMPLE","NO CUMPLE"),"")</f>
        <v>CUMPLE</v>
      </c>
      <c r="AL263" s="472" t="s">
        <v>77</v>
      </c>
      <c r="AM263" s="495">
        <f>IFERROR(IF(B263&lt;&gt;"",IF(VLOOKUP(B263,'DESEMPATE Y DISCAPACIDAD'!$A$3:$Q$450,10,FALSE)="","",VLOOKUP(B263,'DESEMPATE Y DISCAPACIDAD'!$A$3:$Q$450,10,FALSE)+6),""),"")</f>
        <v>8</v>
      </c>
      <c r="AN263" s="179" t="s">
        <v>75</v>
      </c>
      <c r="AO263" s="490" t="s">
        <v>74</v>
      </c>
      <c r="AP263" s="179" t="s">
        <v>74</v>
      </c>
      <c r="AQ263" s="490">
        <f>IFERROR(IF(COUNTIF(AP263:AP272,"")=10,"",IF(AO263="NO",0,COUNTIF(AP263:AP272,"SI"))),"")</f>
        <v>4</v>
      </c>
      <c r="AR263" s="599">
        <f>IFERROR(IF(COUNTIF(AF263:AF272,"")=10,"",IF(AO263="NO",0,IF(COUNTIF(E263:E272,"N/A")&gt;0,SUM(CQ263:CQ272),SUM(CR263:CR272)))),"")</f>
        <v>54114.205999999991</v>
      </c>
      <c r="AS263" s="586">
        <f>IFERROR(IF(OR(COUNTIF(AF263:AF272,"")=10,AQ263="",AR263=""),"",IF(AO263="NO",0,AR263/AQ263)),"")</f>
        <v>13528.551499999998</v>
      </c>
      <c r="AT263" s="207"/>
      <c r="AU263" s="627" t="s">
        <v>1340</v>
      </c>
      <c r="AV263" s="630" t="s">
        <v>1357</v>
      </c>
      <c r="AW263" s="633" t="s">
        <v>1357</v>
      </c>
      <c r="AX263" s="633" t="s">
        <v>1357</v>
      </c>
      <c r="AY263" s="19"/>
      <c r="CB263" s="29" t="str">
        <f>IFERROR(IF(COUNTIF(AF263:AF272,"")=10,"",IF(COUNTIF(E263:E272,"N/A")&gt;0,IF(AF263&gt;=CMEMM1,AF263,0),"N/A")),"")</f>
        <v>N/A</v>
      </c>
      <c r="CC263" s="4"/>
      <c r="CD263" s="4">
        <f>IFERROR(IF(COUNTIF(AF263:AF272,"")=10,"",IF(AF263="","",IF(AF263&gt;=CMEMM1,1,0))),"")</f>
        <v>1</v>
      </c>
      <c r="CE263" s="4" t="str">
        <f>B263&amp;"-0"&amp;1</f>
        <v>P27-01</v>
      </c>
      <c r="CF263" s="4" t="str">
        <f>IFERROR(INDEX('DESEMPATE Y DISCAPACIDAD'!$D$3:$D$450,MATCH(CE263,'DESEMPATE Y DISCAPACIDAD'!$C$3:$C$450,0)),"")</f>
        <v>AFA CONSULTORES Y CONSTRUCTORES S. A</v>
      </c>
      <c r="CG263" s="4">
        <f>IF(OR(CE263="",CF263=""),"",SUMIF(D263:D272,CF263,CD263:CD272))</f>
        <v>3</v>
      </c>
      <c r="CH263" s="4" t="str">
        <f t="shared" si="209"/>
        <v>CUMPLE</v>
      </c>
      <c r="CI263" s="4">
        <f>IF(CF263="","",IF(ISTEXT(CF263),1,0))</f>
        <v>1</v>
      </c>
      <c r="CJ263" s="4" t="str">
        <f>IF(OR(CD263="",CE263="",CF263="",CG263="",CH263="",CI263=""),"",IF(COUNTIF(CH263:CH272,"CUMPLE")=COUNTIF(CI263:CI272,1),"CUMPLE","NO CUMPLE"))</f>
        <v>CUMPLE</v>
      </c>
      <c r="CK263" s="4"/>
      <c r="CL263" s="4">
        <f t="shared" si="236"/>
        <v>0</v>
      </c>
      <c r="CM263" s="4">
        <f t="shared" si="237"/>
        <v>1</v>
      </c>
      <c r="CN263" s="4" t="str">
        <f>IF(OR(CL263="",CM263=""),"",IF(AND(CL263=0,CM263=0),"N/A",IF(AND(CL263=1,CM263=0),"COND. A",IF(AND(CL263=0,CM263=1),"COND. B",IF(AND(CL263=1,CM263=1),"COND. A Y B","")))))</f>
        <v>COND. B</v>
      </c>
      <c r="CO263" s="4" t="str">
        <f>IF(COUNTIF(CN263:CN272,"N/A")=10,"NO CUMPLE",IF(COUNTIF(CN263:CN272,"COND. A Y B")&gt;1,"CUMPLE",IF(AND(COUNTIF(CN263:CN272,"COND. A")&gt;0,COUNTIF(CN263:CN272,"COND. B")&gt;0),"CUMPLE",IF(AND(COUNTIF(CN263:CN272,"COND. A Y B")&gt;0,COUNTIF(CN263:CN272,"COND. A")&gt;0),"CUMPLE",IF(AND(COUNTIF(CN263:CN272,"COND. A Y B")&gt;0,COUNTIF(CN263:CN272,"COND. B")&gt;0),"CUMPLE","NO CUMPLE")))))</f>
        <v>CUMPLE</v>
      </c>
      <c r="CP263" s="4"/>
      <c r="CQ263" s="29" t="str">
        <f t="shared" si="225"/>
        <v>N/A</v>
      </c>
      <c r="CR263" s="29">
        <f t="shared" si="218"/>
        <v>8657.9759999999987</v>
      </c>
      <c r="CS263" s="4"/>
    </row>
    <row r="264" spans="1:97" ht="45" customHeight="1">
      <c r="B264" s="481"/>
      <c r="C264" s="118" t="s">
        <v>380</v>
      </c>
      <c r="D264" s="119" t="str">
        <f>+IFERROR(INDEX('DESEMPATE Y DISCAPACIDAD'!$D$3:$D$450,MATCH(C264,'DESEMPATE Y DISCAPACIDAD'!$C$3:$C$450,0)),"")</f>
        <v>AFA CONSULTORES Y CONSTRUCTORES S. A</v>
      </c>
      <c r="E264" s="120" t="str">
        <f>IFERROR(IF(D264="","",IF(VLOOKUP(D264,'DESEMPATE Y DISCAPACIDAD'!D$3:$E$450,2,FALSE)=1,"N/A",IF(VLOOKUP(D264,'DESEMPATE Y DISCAPACIDAD'!D$3:$F$450,3,FALSE)="X","SI","NO"))),"")</f>
        <v>NO</v>
      </c>
      <c r="F264" s="365" t="s">
        <v>940</v>
      </c>
      <c r="G264" s="377" t="s">
        <v>660</v>
      </c>
      <c r="H264" s="377" t="s">
        <v>1171</v>
      </c>
      <c r="I264" s="378" t="s">
        <v>1172</v>
      </c>
      <c r="J264" s="179" t="s">
        <v>74</v>
      </c>
      <c r="K264" s="121" t="s">
        <v>74</v>
      </c>
      <c r="L264" s="121" t="s">
        <v>74</v>
      </c>
      <c r="M264" s="121" t="s">
        <v>74</v>
      </c>
      <c r="N264" s="121" t="str">
        <f t="shared" ref="N264:N272" si="241">IFERROR(IF(OR(J264="",K264=""),"",IF(J264="NO","NO",K264)),"")</f>
        <v>SI</v>
      </c>
      <c r="O264" s="121" t="str">
        <f>IFERROR(IF(OR(J264="",L264=""),"",IF(J264="NO","NO",L264)),"")</f>
        <v>SI</v>
      </c>
      <c r="P264" s="121" t="str">
        <f t="shared" ref="P264:P272" si="242">IFERROR(IF(OR(J264="",M264=""),"",IF(J264="NO","NO",M264)),"")</f>
        <v>SI</v>
      </c>
      <c r="Q264" s="121" t="str">
        <f t="shared" si="238"/>
        <v>SI</v>
      </c>
      <c r="R264" s="274">
        <v>0.6</v>
      </c>
      <c r="S264" s="275">
        <v>42270</v>
      </c>
      <c r="T264" s="366">
        <v>46021</v>
      </c>
      <c r="U264" s="179">
        <f t="shared" ref="U264:U272" si="243">IFERROR(IF(T264="","",YEAR(T264)),"")</f>
        <v>2025</v>
      </c>
      <c r="V264" s="358">
        <v>1750905</v>
      </c>
      <c r="W264" s="358">
        <v>53615186499.440002</v>
      </c>
      <c r="X264" s="3" t="s">
        <v>671</v>
      </c>
      <c r="Y264" s="3">
        <v>93</v>
      </c>
      <c r="Z264" s="477" t="s">
        <v>74</v>
      </c>
      <c r="AA264" s="478"/>
      <c r="AB264" s="479"/>
      <c r="AC264" s="3" t="str">
        <f t="shared" ref="AC264:AC272" si="244">IFERROR(IF(Y264="","",IF(ISNUMBER(Y264),IF(COUNTIF(Z264,"SI")&gt;0,"SI","NO"),Y264)),"")</f>
        <v>SI</v>
      </c>
      <c r="AD264" s="21">
        <f t="shared" si="239"/>
        <v>53615186499.440002</v>
      </c>
      <c r="AE264" s="21">
        <f t="shared" si="240"/>
        <v>30621.41</v>
      </c>
      <c r="AF264" s="117">
        <f t="shared" si="234"/>
        <v>18372.845999999998</v>
      </c>
      <c r="AG264" s="470"/>
      <c r="AH264" s="470"/>
      <c r="AI264" s="125" t="str">
        <f t="shared" si="235"/>
        <v>CUMPLE</v>
      </c>
      <c r="AJ264" s="470"/>
      <c r="AK264" s="470"/>
      <c r="AL264" s="472"/>
      <c r="AM264" s="496"/>
      <c r="AN264" s="3" t="s">
        <v>75</v>
      </c>
      <c r="AO264" s="490"/>
      <c r="AP264" s="3" t="s">
        <v>74</v>
      </c>
      <c r="AQ264" s="490"/>
      <c r="AR264" s="600"/>
      <c r="AS264" s="587"/>
      <c r="AT264" s="204"/>
      <c r="AU264" s="628"/>
      <c r="AV264" s="631"/>
      <c r="AW264" s="634"/>
      <c r="AX264" s="634"/>
      <c r="AY264" s="19"/>
      <c r="CB264" s="29" t="str">
        <f>IFERROR(IF(COUNTIF(AF263:AF272,"")=10,"",IF(COUNTIF(E263:E272,"N/A")&gt;0,IF(AF264&gt;=CMEMM1,AF264,0),"N/A")),"")</f>
        <v>N/A</v>
      </c>
      <c r="CC264" s="4"/>
      <c r="CD264" s="4">
        <f>IFERROR(IF(COUNTIF(AF263:AF272,"")=10,"",IF(AF264="","",IF(AF264&gt;=CMEMM1,1,0))),"")</f>
        <v>1</v>
      </c>
      <c r="CE264" s="4" t="str">
        <f>B263&amp;"-0"&amp;2</f>
        <v>P27-02</v>
      </c>
      <c r="CF264" s="4" t="str">
        <f>IFERROR(INDEX('DESEMPATE Y DISCAPACIDAD'!$D$3:$D$450,MATCH(CE264,'DESEMPATE Y DISCAPACIDAD'!$C$3:$C$450,0)),"")</f>
        <v>INTECON CONSULTORES S.A.S</v>
      </c>
      <c r="CG264" s="4">
        <f>IF(OR(CE264="",CF264=""),"",SUMIF(D263:D272,CF264,CD263:CD272))</f>
        <v>1</v>
      </c>
      <c r="CH264" s="4" t="str">
        <f t="shared" si="209"/>
        <v>CUMPLE</v>
      </c>
      <c r="CI264" s="4">
        <f t="shared" ref="CI264:CI272" si="245">IF(CF264="","",IF(ISTEXT(CF264),1,0))</f>
        <v>1</v>
      </c>
      <c r="CJ264" s="4"/>
      <c r="CK264" s="4"/>
      <c r="CL264" s="4">
        <f t="shared" si="236"/>
        <v>1</v>
      </c>
      <c r="CM264" s="4">
        <f t="shared" si="237"/>
        <v>1</v>
      </c>
      <c r="CN264" s="4" t="str">
        <f t="shared" ref="CN264:CN272" si="246">IF(OR(CL264="",CM264=""),"",IF(AND(CL264=0,CM264=0),"N/A",IF(AND(CL264=1,CM264=0),"COND. A",IF(AND(CL264=0,CM264=1),"COND. B",IF(AND(CL264=1,CM264=1),"COND. A Y B","")))))</f>
        <v>COND. A Y B</v>
      </c>
      <c r="CO264" s="4"/>
      <c r="CP264" s="4"/>
      <c r="CQ264" s="29" t="str">
        <f t="shared" si="225"/>
        <v>N/A</v>
      </c>
      <c r="CR264" s="29">
        <f t="shared" si="218"/>
        <v>18372.845999999998</v>
      </c>
      <c r="CS264" s="4"/>
    </row>
    <row r="265" spans="1:97" ht="45" customHeight="1">
      <c r="B265" s="481"/>
      <c r="C265" s="118" t="s">
        <v>380</v>
      </c>
      <c r="D265" s="126" t="str">
        <f>+IFERROR(INDEX('DESEMPATE Y DISCAPACIDAD'!$D$3:$D$450,MATCH(C265,'DESEMPATE Y DISCAPACIDAD'!$C$3:$C$450,0)),"")</f>
        <v>AFA CONSULTORES Y CONSTRUCTORES S. A</v>
      </c>
      <c r="E265" s="127" t="str">
        <f>IFERROR(IF(D265="","",IF(VLOOKUP(D265,'DESEMPATE Y DISCAPACIDAD'!D$3:$E$450,2,FALSE)=1,"N/A",IF(VLOOKUP(D265,'DESEMPATE Y DISCAPACIDAD'!D$3:$F$450,3,FALSE)="X","SI","NO"))),"")</f>
        <v>NO</v>
      </c>
      <c r="F265" s="365" t="s">
        <v>1173</v>
      </c>
      <c r="G265" s="259" t="s">
        <v>660</v>
      </c>
      <c r="H265" s="259" t="s">
        <v>1174</v>
      </c>
      <c r="I265" s="260" t="s">
        <v>1175</v>
      </c>
      <c r="J265" s="125" t="s">
        <v>74</v>
      </c>
      <c r="K265" s="125" t="s">
        <v>74</v>
      </c>
      <c r="L265" s="125" t="s">
        <v>74</v>
      </c>
      <c r="M265" s="125" t="s">
        <v>74</v>
      </c>
      <c r="N265" s="125" t="str">
        <f t="shared" si="241"/>
        <v>SI</v>
      </c>
      <c r="O265" s="125" t="str">
        <f>IFERROR(IF(OR(J265="",L265=""),"",IF(J265="NO","NO",L265)),"")</f>
        <v>SI</v>
      </c>
      <c r="P265" s="125" t="str">
        <f t="shared" si="242"/>
        <v>SI</v>
      </c>
      <c r="Q265" s="125" t="str">
        <f t="shared" si="238"/>
        <v>SI</v>
      </c>
      <c r="R265" s="274">
        <v>0.55000000000000004</v>
      </c>
      <c r="S265" s="275">
        <v>39119</v>
      </c>
      <c r="T265" s="366">
        <v>45656</v>
      </c>
      <c r="U265" s="3">
        <f t="shared" si="243"/>
        <v>2024</v>
      </c>
      <c r="V265" s="21">
        <v>1300000</v>
      </c>
      <c r="W265" s="21" t="s">
        <v>670</v>
      </c>
      <c r="X265" s="3" t="s">
        <v>671</v>
      </c>
      <c r="Y265" s="3">
        <v>92</v>
      </c>
      <c r="Z265" s="477" t="s">
        <v>74</v>
      </c>
      <c r="AA265" s="478"/>
      <c r="AB265" s="479"/>
      <c r="AC265" s="3" t="str">
        <f t="shared" si="244"/>
        <v>SI</v>
      </c>
      <c r="AD265" s="21" t="str">
        <f t="shared" si="239"/>
        <v>N/A</v>
      </c>
      <c r="AE265" s="21">
        <v>33701.120000000003</v>
      </c>
      <c r="AF265" s="117">
        <f t="shared" si="234"/>
        <v>18535.616000000002</v>
      </c>
      <c r="AG265" s="470"/>
      <c r="AH265" s="470"/>
      <c r="AI265" s="125" t="str">
        <f t="shared" si="235"/>
        <v>CUMPLE</v>
      </c>
      <c r="AJ265" s="470"/>
      <c r="AK265" s="470"/>
      <c r="AL265" s="472"/>
      <c r="AM265" s="496"/>
      <c r="AN265" s="125" t="s">
        <v>75</v>
      </c>
      <c r="AO265" s="490"/>
      <c r="AP265" s="3" t="s">
        <v>74</v>
      </c>
      <c r="AQ265" s="490"/>
      <c r="AR265" s="600"/>
      <c r="AS265" s="587"/>
      <c r="AT265" s="204"/>
      <c r="AU265" s="628"/>
      <c r="AV265" s="631"/>
      <c r="AW265" s="634"/>
      <c r="AX265" s="634"/>
      <c r="AY265" s="19"/>
      <c r="CB265" s="29" t="str">
        <f>IFERROR(IF(COUNTIF(AF263:AF272,"")=10,"",IF(COUNTIF(E263:E272,"N/A")&gt;0,IF(AF265&gt;=CMEMM1,AF265,0),"N/A")),"")</f>
        <v>N/A</v>
      </c>
      <c r="CC265" s="4"/>
      <c r="CD265" s="4">
        <f>IFERROR(IF(COUNTIF(AF263:AF272,"")=10,"",IF(AF265="","",IF(AF265&gt;=CMEMM1,1,0))),"")</f>
        <v>1</v>
      </c>
      <c r="CE265" s="4" t="str">
        <f>B263&amp;"-0"&amp;3</f>
        <v>P27-03</v>
      </c>
      <c r="CF265" s="4">
        <f>IFERROR(INDEX('DESEMPATE Y DISCAPACIDAD'!$D$3:$D$450,MATCH(CE265,'DESEMPATE Y DISCAPACIDAD'!$C$3:$C$450,0)),"")</f>
        <v>0</v>
      </c>
      <c r="CG265" s="4">
        <f>IF(OR(CE265="",CF265=""),"",SUMIF(D263:D272,CF265,CD263:CD272))</f>
        <v>0</v>
      </c>
      <c r="CH265" s="4" t="str">
        <f t="shared" si="209"/>
        <v>NO CUMPLE</v>
      </c>
      <c r="CI265" s="4">
        <f t="shared" si="245"/>
        <v>0</v>
      </c>
      <c r="CJ265" s="4"/>
      <c r="CK265" s="4"/>
      <c r="CL265" s="4">
        <f t="shared" si="236"/>
        <v>1</v>
      </c>
      <c r="CM265" s="4">
        <f t="shared" si="237"/>
        <v>1</v>
      </c>
      <c r="CN265" s="4" t="str">
        <f t="shared" si="246"/>
        <v>COND. A Y B</v>
      </c>
      <c r="CO265" s="4"/>
      <c r="CP265" s="4"/>
      <c r="CQ265" s="29" t="str">
        <f t="shared" si="225"/>
        <v>N/A</v>
      </c>
      <c r="CR265" s="29">
        <f t="shared" si="218"/>
        <v>18535.616000000002</v>
      </c>
      <c r="CS265" s="4"/>
    </row>
    <row r="266" spans="1:97" ht="45" customHeight="1">
      <c r="B266" s="481"/>
      <c r="C266" s="118" t="s">
        <v>381</v>
      </c>
      <c r="D266" s="126" t="str">
        <f>+IFERROR(INDEX('DESEMPATE Y DISCAPACIDAD'!$D$3:$D$450,MATCH(C266,'DESEMPATE Y DISCAPACIDAD'!$C$3:$C$450,0)),"")</f>
        <v>INTECON CONSULTORES S.A.S</v>
      </c>
      <c r="E266" s="127" t="str">
        <f>IFERROR(IF(D266="","",IF(VLOOKUP(D266,'DESEMPATE Y DISCAPACIDAD'!D$3:$E$450,2,FALSE)=1,"N/A",IF(VLOOKUP(D266,'DESEMPATE Y DISCAPACIDAD'!D$3:$F$450,3,FALSE)="X","SI","NO"))),"")</f>
        <v>NO</v>
      </c>
      <c r="F266" s="261" t="s">
        <v>1176</v>
      </c>
      <c r="G266" s="259" t="s">
        <v>660</v>
      </c>
      <c r="H266" s="259" t="s">
        <v>1177</v>
      </c>
      <c r="I266" s="260" t="s">
        <v>1178</v>
      </c>
      <c r="J266" s="125" t="s">
        <v>74</v>
      </c>
      <c r="K266" s="125" t="s">
        <v>74</v>
      </c>
      <c r="L266" s="125" t="s">
        <v>75</v>
      </c>
      <c r="M266" s="125" t="s">
        <v>74</v>
      </c>
      <c r="N266" s="125" t="str">
        <f t="shared" si="241"/>
        <v>SI</v>
      </c>
      <c r="O266" s="125" t="str">
        <f>IFERROR(IF(OR(J266="",L266=""),"",IF(J266="NO","NO",L266)),"")</f>
        <v>NO</v>
      </c>
      <c r="P266" s="125" t="str">
        <f t="shared" si="242"/>
        <v>SI</v>
      </c>
      <c r="Q266" s="125" t="str">
        <f t="shared" si="238"/>
        <v>SI</v>
      </c>
      <c r="R266" s="274">
        <v>0.45</v>
      </c>
      <c r="S266" s="275">
        <v>34337</v>
      </c>
      <c r="T266" s="366">
        <v>36305</v>
      </c>
      <c r="U266" s="3">
        <f t="shared" si="243"/>
        <v>1999</v>
      </c>
      <c r="V266" s="21">
        <f>IF(U266=2023,1160000,IFERROR(INDEX([1]SMMLV!$B$2:$B$101,MATCH(U266,[1]SMMLV!$A$2:$A$101,0)),""))</f>
        <v>236460</v>
      </c>
      <c r="W266" s="21" t="s">
        <v>670</v>
      </c>
      <c r="X266" s="3" t="s">
        <v>671</v>
      </c>
      <c r="Y266" s="3">
        <v>13</v>
      </c>
      <c r="Z266" s="477" t="s">
        <v>74</v>
      </c>
      <c r="AA266" s="478"/>
      <c r="AB266" s="479"/>
      <c r="AC266" s="3" t="str">
        <f t="shared" si="244"/>
        <v>SI</v>
      </c>
      <c r="AD266" s="21" t="str">
        <f t="shared" si="239"/>
        <v>N/A</v>
      </c>
      <c r="AE266" s="21">
        <v>18995.04</v>
      </c>
      <c r="AF266" s="117">
        <f t="shared" si="234"/>
        <v>8547.768</v>
      </c>
      <c r="AG266" s="470"/>
      <c r="AH266" s="470"/>
      <c r="AI266" s="125" t="str">
        <f t="shared" si="235"/>
        <v>CUMPLE</v>
      </c>
      <c r="AJ266" s="470"/>
      <c r="AK266" s="470"/>
      <c r="AL266" s="472"/>
      <c r="AM266" s="496"/>
      <c r="AN266" s="125" t="s">
        <v>75</v>
      </c>
      <c r="AO266" s="490"/>
      <c r="AP266" s="125" t="s">
        <v>74</v>
      </c>
      <c r="AQ266" s="490"/>
      <c r="AR266" s="600"/>
      <c r="AS266" s="587"/>
      <c r="AT266" s="204"/>
      <c r="AU266" s="628"/>
      <c r="AV266" s="631"/>
      <c r="AW266" s="634"/>
      <c r="AX266" s="634"/>
      <c r="AY266" s="19"/>
      <c r="CB266" s="29" t="str">
        <f>IFERROR(IF(COUNTIF(AF263:AF272,"")=10,"",IF(COUNTIF(E263:E272,"N/A")&gt;0,IF(AF266&gt;=CMEMM1,AF266,0),"N/A")),"")</f>
        <v>N/A</v>
      </c>
      <c r="CC266" s="4"/>
      <c r="CD266" s="4">
        <f>IFERROR(IF(COUNTIF(AF263:AF272,"")=10,"",IF(AF266="","",IF(AF266&gt;=CMEMM1,1,0))),"")</f>
        <v>1</v>
      </c>
      <c r="CE266" s="4" t="str">
        <f>B263&amp;"-0"&amp;4</f>
        <v>P27-04</v>
      </c>
      <c r="CF266" s="4">
        <f>IFERROR(INDEX('DESEMPATE Y DISCAPACIDAD'!$D$3:$D$450,MATCH(CE266,'DESEMPATE Y DISCAPACIDAD'!$C$3:$C$450,0)),"")</f>
        <v>0</v>
      </c>
      <c r="CG266" s="4">
        <f>IF(OR(CE266="",CF266=""),"",SUMIF(D263:D272,CF266,CD263:CD272))</f>
        <v>0</v>
      </c>
      <c r="CH266" s="4" t="str">
        <f t="shared" si="209"/>
        <v>NO CUMPLE</v>
      </c>
      <c r="CI266" s="4">
        <f t="shared" si="245"/>
        <v>0</v>
      </c>
      <c r="CJ266" s="4"/>
      <c r="CK266" s="4"/>
      <c r="CL266" s="4">
        <f t="shared" si="236"/>
        <v>1</v>
      </c>
      <c r="CM266" s="4">
        <f t="shared" si="237"/>
        <v>0</v>
      </c>
      <c r="CN266" s="4" t="str">
        <f t="shared" si="246"/>
        <v>COND. A</v>
      </c>
      <c r="CO266" s="4"/>
      <c r="CP266" s="4"/>
      <c r="CQ266" s="29" t="str">
        <f t="shared" si="225"/>
        <v>N/A</v>
      </c>
      <c r="CR266" s="29">
        <f t="shared" si="218"/>
        <v>8547.768</v>
      </c>
      <c r="CS266" s="4"/>
    </row>
    <row r="267" spans="1:97" ht="2" customHeight="1">
      <c r="B267" s="481"/>
      <c r="C267" s="118"/>
      <c r="D267" s="126" t="str">
        <f>+IFERROR(INDEX('DESEMPATE Y DISCAPACIDAD'!$D$3:$D$450,MATCH(C267,'DESEMPATE Y DISCAPACIDAD'!$C$3:$C$450,0)),"")</f>
        <v/>
      </c>
      <c r="E267" s="127" t="str">
        <f>IFERROR(IF(D267="","",IF(VLOOKUP(D267,'DESEMPATE Y DISCAPACIDAD'!D$3:$E$450,2,FALSE)=1,"N/A",IF(VLOOKUP(D267,'DESEMPATE Y DISCAPACIDAD'!D$3:$F$450,3,FALSE)="X","SI","NO"))),"")</f>
        <v/>
      </c>
      <c r="F267" s="125"/>
      <c r="G267" s="125"/>
      <c r="H267" s="125"/>
      <c r="I267" s="128"/>
      <c r="J267" s="125"/>
      <c r="K267" s="125"/>
      <c r="L267" s="125"/>
      <c r="M267" s="125"/>
      <c r="N267" s="125" t="str">
        <f t="shared" si="241"/>
        <v/>
      </c>
      <c r="O267" s="125" t="str">
        <f t="shared" ref="O267:O272" si="247">IFERROR(IF(OR(J267="",L267=""),"",IF(J267="NO","NO",L267)),"")</f>
        <v/>
      </c>
      <c r="P267" s="125" t="str">
        <f t="shared" si="242"/>
        <v/>
      </c>
      <c r="Q267" s="125" t="str">
        <f t="shared" si="238"/>
        <v/>
      </c>
      <c r="R267" s="68"/>
      <c r="S267" s="129"/>
      <c r="T267" s="248"/>
      <c r="U267" s="3" t="str">
        <f t="shared" si="243"/>
        <v/>
      </c>
      <c r="V267" s="21" t="str">
        <f>IF(U267=2023,1160000,IFERROR(INDEX([1]SMMLV!$B$2:$B$101,MATCH(U267,[1]SMMLV!$A$2:$A$101,0)),""))</f>
        <v/>
      </c>
      <c r="W267" s="21"/>
      <c r="X267" s="3"/>
      <c r="Y267" s="3"/>
      <c r="Z267" s="477"/>
      <c r="AA267" s="478"/>
      <c r="AB267" s="479"/>
      <c r="AC267" s="3" t="str">
        <f t="shared" si="244"/>
        <v/>
      </c>
      <c r="AD267" s="21" t="str">
        <f t="shared" si="239"/>
        <v/>
      </c>
      <c r="AE267" s="21" t="str">
        <f t="shared" si="240"/>
        <v/>
      </c>
      <c r="AF267" s="117" t="str">
        <f t="shared" si="234"/>
        <v/>
      </c>
      <c r="AG267" s="470"/>
      <c r="AH267" s="470"/>
      <c r="AI267" s="125" t="str">
        <f t="shared" si="235"/>
        <v/>
      </c>
      <c r="AJ267" s="470"/>
      <c r="AK267" s="470"/>
      <c r="AL267" s="472"/>
      <c r="AM267" s="496"/>
      <c r="AN267" s="125"/>
      <c r="AO267" s="490"/>
      <c r="AP267" s="125"/>
      <c r="AQ267" s="490"/>
      <c r="AR267" s="600"/>
      <c r="AS267" s="587"/>
      <c r="AT267" s="204"/>
      <c r="AU267" s="628"/>
      <c r="AV267" s="631"/>
      <c r="AW267" s="634"/>
      <c r="AX267" s="634"/>
      <c r="AY267" s="19"/>
      <c r="CB267" s="29" t="str">
        <f>IFERROR(IF(COUNTIF(AF263:AF272,"")=10,"",IF(COUNTIF(E263:E272,"N/A")&gt;0,IF(AF267&gt;=CMEMM1,AF267,0),"N/A")),"")</f>
        <v>N/A</v>
      </c>
      <c r="CC267" s="4"/>
      <c r="CD267" s="4" t="str">
        <f>IFERROR(IF(COUNTIF(AF263:AF272,"")=10,"",IF(AF267="","",IF(AF267&gt;=CMEMM1,1,0))),"")</f>
        <v/>
      </c>
      <c r="CE267" s="4" t="str">
        <f>B263&amp;"-0"&amp;5</f>
        <v>P27-05</v>
      </c>
      <c r="CF267" s="4">
        <f>IFERROR(INDEX('DESEMPATE Y DISCAPACIDAD'!$D$3:$D$450,MATCH(CE267,'DESEMPATE Y DISCAPACIDAD'!$C$3:$C$450,0)),"")</f>
        <v>0</v>
      </c>
      <c r="CG267" s="4">
        <f>IF(OR(CE267="",CF267=""),"",SUMIF(D263:D272,CF267,CD263:CD272))</f>
        <v>0</v>
      </c>
      <c r="CH267" s="4" t="str">
        <f t="shared" si="209"/>
        <v>NO CUMPLE</v>
      </c>
      <c r="CI267" s="4">
        <f t="shared" si="245"/>
        <v>0</v>
      </c>
      <c r="CJ267" s="4"/>
      <c r="CK267" s="4"/>
      <c r="CL267" s="4" t="str">
        <f t="shared" si="236"/>
        <v/>
      </c>
      <c r="CM267" s="4" t="str">
        <f t="shared" si="237"/>
        <v/>
      </c>
      <c r="CN267" s="4" t="str">
        <f t="shared" si="246"/>
        <v/>
      </c>
      <c r="CO267" s="4"/>
      <c r="CP267" s="4"/>
      <c r="CQ267" s="29" t="str">
        <f t="shared" si="225"/>
        <v/>
      </c>
      <c r="CR267" s="29" t="str">
        <f t="shared" ref="CR267:CR298" si="248">IF(OR(AN267="",AF267=""),"",IF(AN267="NO",AF267,0))</f>
        <v/>
      </c>
      <c r="CS267" s="4"/>
    </row>
    <row r="268" spans="1:97" ht="2" customHeight="1">
      <c r="B268" s="481"/>
      <c r="C268" s="118"/>
      <c r="D268" s="126" t="str">
        <f>+IFERROR(INDEX('DESEMPATE Y DISCAPACIDAD'!$D$3:$D$450,MATCH(C268,'DESEMPATE Y DISCAPACIDAD'!$C$3:$C$450,0)),"")</f>
        <v/>
      </c>
      <c r="E268" s="127" t="str">
        <f>IFERROR(IF(D268="","",IF(VLOOKUP(D268,'DESEMPATE Y DISCAPACIDAD'!D$3:$E$450,2,FALSE)=1,"N/A",IF(VLOOKUP(D268,'DESEMPATE Y DISCAPACIDAD'!D$3:$F$450,3,FALSE)="X","SI","NO"))),"")</f>
        <v/>
      </c>
      <c r="F268" s="125"/>
      <c r="G268" s="125"/>
      <c r="H268" s="125"/>
      <c r="I268" s="128"/>
      <c r="J268" s="125"/>
      <c r="K268" s="125"/>
      <c r="L268" s="125"/>
      <c r="M268" s="125"/>
      <c r="N268" s="125" t="str">
        <f t="shared" si="241"/>
        <v/>
      </c>
      <c r="O268" s="125" t="str">
        <f t="shared" si="247"/>
        <v/>
      </c>
      <c r="P268" s="125" t="str">
        <f t="shared" si="242"/>
        <v/>
      </c>
      <c r="Q268" s="125" t="str">
        <f t="shared" si="238"/>
        <v/>
      </c>
      <c r="R268" s="68"/>
      <c r="S268" s="129"/>
      <c r="T268" s="248"/>
      <c r="U268" s="3" t="str">
        <f t="shared" si="243"/>
        <v/>
      </c>
      <c r="V268" s="21" t="str">
        <f>IF(U268=2023,1160000,IFERROR(INDEX([1]SMMLV!$B$2:$B$101,MATCH(U268,[1]SMMLV!$A$2:$A$101,0)),""))</f>
        <v/>
      </c>
      <c r="W268" s="21"/>
      <c r="X268" s="3"/>
      <c r="Y268" s="3"/>
      <c r="Z268" s="477"/>
      <c r="AA268" s="478"/>
      <c r="AB268" s="479"/>
      <c r="AC268" s="3" t="str">
        <f t="shared" si="244"/>
        <v/>
      </c>
      <c r="AD268" s="21" t="str">
        <f t="shared" si="239"/>
        <v/>
      </c>
      <c r="AE268" s="21" t="str">
        <f t="shared" si="240"/>
        <v/>
      </c>
      <c r="AF268" s="117" t="str">
        <f t="shared" si="234"/>
        <v/>
      </c>
      <c r="AG268" s="470"/>
      <c r="AH268" s="470"/>
      <c r="AI268" s="125" t="str">
        <f t="shared" si="235"/>
        <v/>
      </c>
      <c r="AJ268" s="470"/>
      <c r="AK268" s="470"/>
      <c r="AL268" s="472"/>
      <c r="AM268" s="496"/>
      <c r="AN268" s="125"/>
      <c r="AO268" s="490"/>
      <c r="AP268" s="125"/>
      <c r="AQ268" s="490"/>
      <c r="AR268" s="600"/>
      <c r="AS268" s="587"/>
      <c r="AT268" s="204"/>
      <c r="AU268" s="628"/>
      <c r="AV268" s="631"/>
      <c r="AW268" s="634"/>
      <c r="AX268" s="634"/>
      <c r="AY268" s="19"/>
      <c r="CB268" s="29" t="str">
        <f>IFERROR(IF(COUNTIF(AF263:AF272,"")=10,"",IF(COUNTIF(E263:E272,"N/A")&gt;0,IF(AF268&gt;=CMEMM1,AF268,0),"N/A")),"")</f>
        <v>N/A</v>
      </c>
      <c r="CC268" s="4"/>
      <c r="CD268" s="4" t="str">
        <f>IFERROR(IF(COUNTIF(AF263:AF272,"")=10,"",IF(AF268="","",IF(AF268&gt;=CMEMM1,1,0))),"")</f>
        <v/>
      </c>
      <c r="CE268" s="4" t="str">
        <f>B263&amp;"-0"&amp;6</f>
        <v>P27-06</v>
      </c>
      <c r="CF268" s="4">
        <f>IFERROR(INDEX('DESEMPATE Y DISCAPACIDAD'!$D$3:$D$450,MATCH(CE268,'DESEMPATE Y DISCAPACIDAD'!$C$3:$C$450,0)),"")</f>
        <v>0</v>
      </c>
      <c r="CG268" s="4">
        <f>IF(OR(CE268="",CF268=""),"",SUMIF(D263:D272,CF268,CD263:CD272))</f>
        <v>0</v>
      </c>
      <c r="CH268" s="4" t="str">
        <f t="shared" si="209"/>
        <v>NO CUMPLE</v>
      </c>
      <c r="CI268" s="4">
        <f t="shared" si="245"/>
        <v>0</v>
      </c>
      <c r="CJ268" s="4"/>
      <c r="CK268" s="4"/>
      <c r="CL268" s="4" t="str">
        <f t="shared" si="236"/>
        <v/>
      </c>
      <c r="CM268" s="4" t="str">
        <f t="shared" si="237"/>
        <v/>
      </c>
      <c r="CN268" s="4" t="str">
        <f t="shared" si="246"/>
        <v/>
      </c>
      <c r="CO268" s="4"/>
      <c r="CP268" s="4"/>
      <c r="CQ268" s="29" t="str">
        <f t="shared" si="225"/>
        <v/>
      </c>
      <c r="CR268" s="29" t="str">
        <f t="shared" si="248"/>
        <v/>
      </c>
      <c r="CS268" s="4"/>
    </row>
    <row r="269" spans="1:97" ht="2" customHeight="1">
      <c r="B269" s="481"/>
      <c r="C269" s="118"/>
      <c r="D269" s="126" t="str">
        <f>+IFERROR(INDEX('DESEMPATE Y DISCAPACIDAD'!$D$3:$D$450,MATCH(C269,'DESEMPATE Y DISCAPACIDAD'!$C$3:$C$450,0)),"")</f>
        <v/>
      </c>
      <c r="E269" s="127" t="str">
        <f>IFERROR(IF(D269="","",IF(VLOOKUP(D269,'DESEMPATE Y DISCAPACIDAD'!D$3:$E$450,2,FALSE)=1,"N/A",IF(VLOOKUP(D269,'DESEMPATE Y DISCAPACIDAD'!D$3:$F$450,3,FALSE)="X","SI","NO"))),"")</f>
        <v/>
      </c>
      <c r="F269" s="125"/>
      <c r="G269" s="125"/>
      <c r="H269" s="125"/>
      <c r="I269" s="128"/>
      <c r="J269" s="125"/>
      <c r="K269" s="125"/>
      <c r="L269" s="125"/>
      <c r="M269" s="125"/>
      <c r="N269" s="125" t="str">
        <f t="shared" si="241"/>
        <v/>
      </c>
      <c r="O269" s="125" t="str">
        <f t="shared" si="247"/>
        <v/>
      </c>
      <c r="P269" s="125" t="str">
        <f t="shared" si="242"/>
        <v/>
      </c>
      <c r="Q269" s="125" t="str">
        <f t="shared" si="238"/>
        <v/>
      </c>
      <c r="R269" s="68"/>
      <c r="S269" s="129"/>
      <c r="T269" s="129"/>
      <c r="U269" s="125" t="str">
        <f t="shared" si="243"/>
        <v/>
      </c>
      <c r="V269" s="117" t="str">
        <f>IF(U269=2023,1160000,IFERROR(INDEX([1]SMMLV!$B$2:$B$101,MATCH(U269,[1]SMMLV!$A$2:$A$101,0)),""))</f>
        <v/>
      </c>
      <c r="W269" s="117"/>
      <c r="X269" s="125"/>
      <c r="Y269" s="125"/>
      <c r="Z269" s="474"/>
      <c r="AA269" s="475"/>
      <c r="AB269" s="476"/>
      <c r="AC269" s="125" t="str">
        <f t="shared" si="244"/>
        <v/>
      </c>
      <c r="AD269" s="117" t="str">
        <f t="shared" si="239"/>
        <v/>
      </c>
      <c r="AE269" s="117" t="str">
        <f t="shared" si="240"/>
        <v/>
      </c>
      <c r="AF269" s="117" t="str">
        <f t="shared" si="234"/>
        <v/>
      </c>
      <c r="AG269" s="470"/>
      <c r="AH269" s="470"/>
      <c r="AI269" s="125" t="str">
        <f t="shared" si="235"/>
        <v/>
      </c>
      <c r="AJ269" s="470"/>
      <c r="AK269" s="470"/>
      <c r="AL269" s="472"/>
      <c r="AM269" s="496"/>
      <c r="AN269" s="125"/>
      <c r="AO269" s="490"/>
      <c r="AP269" s="125"/>
      <c r="AQ269" s="490"/>
      <c r="AR269" s="600"/>
      <c r="AS269" s="587"/>
      <c r="AT269" s="204"/>
      <c r="AU269" s="628"/>
      <c r="AV269" s="631"/>
      <c r="AW269" s="634"/>
      <c r="AX269" s="634"/>
      <c r="AY269" s="19"/>
      <c r="CB269" s="29" t="str">
        <f>IFERROR(IF(COUNTIF(AF263:AF272,"")=10,"",IF(COUNTIF(E263:E272,"N/A")&gt;0,IF(AF269&gt;=CMEMM1,AF269,0),"N/A")),"")</f>
        <v>N/A</v>
      </c>
      <c r="CC269" s="4"/>
      <c r="CD269" s="4" t="str">
        <f>IFERROR(IF(COUNTIF(AF263:AF272,"")=10,"",IF(AF269="","",IF(AF269&gt;=CMEMM1,1,0))),"")</f>
        <v/>
      </c>
      <c r="CE269" s="4" t="str">
        <f>B263&amp;"-0"&amp;7</f>
        <v>P27-07</v>
      </c>
      <c r="CF269" s="4" t="str">
        <f>IFERROR(INDEX('DESEMPATE Y DISCAPACIDAD'!$D$3:$D$450,MATCH(CE269,'DESEMPATE Y DISCAPACIDAD'!$C$3:$C$450,0)),"")</f>
        <v/>
      </c>
      <c r="CG269" s="4" t="str">
        <f>IF(OR(CE269="",CF269=""),"",SUMIF(D263:D272,CF269,CD263:CD272))</f>
        <v/>
      </c>
      <c r="CH269" s="4" t="str">
        <f t="shared" si="209"/>
        <v/>
      </c>
      <c r="CI269" s="4" t="str">
        <f t="shared" si="245"/>
        <v/>
      </c>
      <c r="CJ269" s="4"/>
      <c r="CK269" s="4"/>
      <c r="CL269" s="4" t="str">
        <f t="shared" si="236"/>
        <v/>
      </c>
      <c r="CM269" s="4" t="str">
        <f t="shared" si="237"/>
        <v/>
      </c>
      <c r="CN269" s="4" t="str">
        <f t="shared" si="246"/>
        <v/>
      </c>
      <c r="CO269" s="4"/>
      <c r="CP269" s="4"/>
      <c r="CQ269" s="29" t="str">
        <f t="shared" si="225"/>
        <v/>
      </c>
      <c r="CR269" s="29" t="str">
        <f t="shared" si="248"/>
        <v/>
      </c>
      <c r="CS269" s="4"/>
    </row>
    <row r="270" spans="1:97" ht="2" customHeight="1">
      <c r="B270" s="481"/>
      <c r="C270" s="118"/>
      <c r="D270" s="126" t="str">
        <f>+IFERROR(INDEX('DESEMPATE Y DISCAPACIDAD'!$D$3:$D$450,MATCH(C270,'DESEMPATE Y DISCAPACIDAD'!$C$3:$C$450,0)),"")</f>
        <v/>
      </c>
      <c r="E270" s="127" t="str">
        <f>IFERROR(IF(D270="","",IF(VLOOKUP(D270,'DESEMPATE Y DISCAPACIDAD'!D$3:$E$450,2,FALSE)=1,"N/A",IF(VLOOKUP(D270,'DESEMPATE Y DISCAPACIDAD'!D$3:$F$450,3,FALSE)="X","SI","NO"))),"")</f>
        <v/>
      </c>
      <c r="F270" s="125"/>
      <c r="G270" s="125"/>
      <c r="H270" s="125"/>
      <c r="I270" s="128"/>
      <c r="J270" s="125"/>
      <c r="K270" s="125"/>
      <c r="L270" s="125"/>
      <c r="M270" s="125"/>
      <c r="N270" s="125" t="str">
        <f t="shared" si="241"/>
        <v/>
      </c>
      <c r="O270" s="125" t="str">
        <f t="shared" si="247"/>
        <v/>
      </c>
      <c r="P270" s="125" t="str">
        <f t="shared" si="242"/>
        <v/>
      </c>
      <c r="Q270" s="125" t="str">
        <f t="shared" si="238"/>
        <v/>
      </c>
      <c r="R270" s="68"/>
      <c r="S270" s="129"/>
      <c r="T270" s="129"/>
      <c r="U270" s="125" t="str">
        <f t="shared" si="243"/>
        <v/>
      </c>
      <c r="V270" s="117" t="str">
        <f>IF(U270=2023,1160000,IFERROR(INDEX([1]SMMLV!$B$2:$B$101,MATCH(U270,[1]SMMLV!$A$2:$A$101,0)),""))</f>
        <v/>
      </c>
      <c r="W270" s="117"/>
      <c r="X270" s="125"/>
      <c r="Y270" s="125"/>
      <c r="Z270" s="474"/>
      <c r="AA270" s="475"/>
      <c r="AB270" s="476"/>
      <c r="AC270" s="125" t="str">
        <f t="shared" si="244"/>
        <v/>
      </c>
      <c r="AD270" s="117" t="str">
        <f t="shared" si="239"/>
        <v/>
      </c>
      <c r="AE270" s="117" t="str">
        <f t="shared" si="240"/>
        <v/>
      </c>
      <c r="AF270" s="117" t="str">
        <f t="shared" si="234"/>
        <v/>
      </c>
      <c r="AG270" s="470"/>
      <c r="AH270" s="470"/>
      <c r="AI270" s="125" t="str">
        <f t="shared" si="235"/>
        <v/>
      </c>
      <c r="AJ270" s="470"/>
      <c r="AK270" s="470"/>
      <c r="AL270" s="472"/>
      <c r="AM270" s="496"/>
      <c r="AN270" s="125"/>
      <c r="AO270" s="490"/>
      <c r="AP270" s="125"/>
      <c r="AQ270" s="490"/>
      <c r="AR270" s="600"/>
      <c r="AS270" s="587"/>
      <c r="AT270" s="204"/>
      <c r="AU270" s="628"/>
      <c r="AV270" s="631"/>
      <c r="AW270" s="634"/>
      <c r="AX270" s="634"/>
      <c r="AY270" s="19"/>
      <c r="CB270" s="29" t="str">
        <f>IFERROR(IF(COUNTIF(AF263:AF272,"")=10,"",IF(COUNTIF(E263:E272,"N/A")&gt;0,IF(AF270&gt;=CMEMM1,AF270,0),"N/A")),"")</f>
        <v>N/A</v>
      </c>
      <c r="CC270" s="4"/>
      <c r="CD270" s="4" t="str">
        <f>IFERROR(IF(COUNTIF(AF263:AF272,"")=10,"",IF(AF270="","",IF(AF270&gt;=CMEMM1,1,0))),"")</f>
        <v/>
      </c>
      <c r="CE270" s="4" t="str">
        <f>B263&amp;"-0"&amp;8</f>
        <v>P27-08</v>
      </c>
      <c r="CF270" s="4" t="str">
        <f>IFERROR(INDEX('DESEMPATE Y DISCAPACIDAD'!$D$3:$D$450,MATCH(CE270,'DESEMPATE Y DISCAPACIDAD'!$C$3:$C$450,0)),"")</f>
        <v/>
      </c>
      <c r="CG270" s="4" t="str">
        <f>IF(OR(CE270="",CF270=""),"",SUMIF(D263:D272,CF270,CD263:CD272))</f>
        <v/>
      </c>
      <c r="CH270" s="4" t="str">
        <f t="shared" si="209"/>
        <v/>
      </c>
      <c r="CI270" s="4" t="str">
        <f t="shared" si="245"/>
        <v/>
      </c>
      <c r="CJ270" s="4"/>
      <c r="CK270" s="4"/>
      <c r="CL270" s="4" t="str">
        <f t="shared" si="236"/>
        <v/>
      </c>
      <c r="CM270" s="4" t="str">
        <f t="shared" si="237"/>
        <v/>
      </c>
      <c r="CN270" s="4" t="str">
        <f t="shared" si="246"/>
        <v/>
      </c>
      <c r="CO270" s="4"/>
      <c r="CP270" s="4"/>
      <c r="CQ270" s="29" t="str">
        <f t="shared" si="225"/>
        <v/>
      </c>
      <c r="CR270" s="29" t="str">
        <f t="shared" si="248"/>
        <v/>
      </c>
      <c r="CS270" s="4"/>
    </row>
    <row r="271" spans="1:97" ht="2" customHeight="1">
      <c r="B271" s="481"/>
      <c r="C271" s="118"/>
      <c r="D271" s="126" t="str">
        <f>+IFERROR(INDEX('DESEMPATE Y DISCAPACIDAD'!$D$3:$D$450,MATCH(C271,'DESEMPATE Y DISCAPACIDAD'!$C$3:$C$450,0)),"")</f>
        <v/>
      </c>
      <c r="E271" s="127" t="str">
        <f>IFERROR(IF(D271="","",IF(VLOOKUP(D271,'DESEMPATE Y DISCAPACIDAD'!D$3:$E$450,2,FALSE)=1,"N/A",IF(VLOOKUP(D271,'DESEMPATE Y DISCAPACIDAD'!D$3:$F$450,3,FALSE)="X","SI","NO"))),"")</f>
        <v/>
      </c>
      <c r="F271" s="125"/>
      <c r="G271" s="125"/>
      <c r="H271" s="125"/>
      <c r="I271" s="128"/>
      <c r="J271" s="125"/>
      <c r="K271" s="125"/>
      <c r="L271" s="125"/>
      <c r="M271" s="125"/>
      <c r="N271" s="125" t="str">
        <f t="shared" si="241"/>
        <v/>
      </c>
      <c r="O271" s="125" t="str">
        <f t="shared" si="247"/>
        <v/>
      </c>
      <c r="P271" s="125" t="str">
        <f t="shared" si="242"/>
        <v/>
      </c>
      <c r="Q271" s="125" t="str">
        <f t="shared" si="238"/>
        <v/>
      </c>
      <c r="R271" s="68"/>
      <c r="S271" s="129"/>
      <c r="T271" s="129"/>
      <c r="U271" s="125" t="str">
        <f t="shared" si="243"/>
        <v/>
      </c>
      <c r="V271" s="117" t="str">
        <f>IF(U271=2023,1160000,IFERROR(INDEX([1]SMMLV!$B$2:$B$101,MATCH(U271,[1]SMMLV!$A$2:$A$101,0)),""))</f>
        <v/>
      </c>
      <c r="W271" s="117"/>
      <c r="X271" s="125"/>
      <c r="Y271" s="125"/>
      <c r="Z271" s="474"/>
      <c r="AA271" s="475"/>
      <c r="AB271" s="476"/>
      <c r="AC271" s="125" t="str">
        <f t="shared" si="244"/>
        <v/>
      </c>
      <c r="AD271" s="117" t="str">
        <f t="shared" si="239"/>
        <v/>
      </c>
      <c r="AE271" s="117" t="str">
        <f t="shared" si="240"/>
        <v/>
      </c>
      <c r="AF271" s="117" t="str">
        <f t="shared" si="234"/>
        <v/>
      </c>
      <c r="AG271" s="470"/>
      <c r="AH271" s="470"/>
      <c r="AI271" s="125" t="str">
        <f t="shared" si="235"/>
        <v/>
      </c>
      <c r="AJ271" s="470"/>
      <c r="AK271" s="470"/>
      <c r="AL271" s="472"/>
      <c r="AM271" s="496"/>
      <c r="AN271" s="125"/>
      <c r="AO271" s="490"/>
      <c r="AP271" s="125"/>
      <c r="AQ271" s="490"/>
      <c r="AR271" s="600"/>
      <c r="AS271" s="587"/>
      <c r="AT271" s="204"/>
      <c r="AU271" s="628"/>
      <c r="AV271" s="631"/>
      <c r="AW271" s="634"/>
      <c r="AX271" s="634"/>
      <c r="AY271" s="19"/>
      <c r="CB271" s="29" t="str">
        <f>IFERROR(IF(COUNTIF(AF263:AF272,"")=10,"",IF(COUNTIF(E263:E272,"N/A")&gt;0,IF(AF271&gt;=CMEMM1,AF271,0),"N/A")),"")</f>
        <v>N/A</v>
      </c>
      <c r="CC271" s="4"/>
      <c r="CD271" s="4" t="str">
        <f>IFERROR(IF(COUNTIF(AF263:AF272,"")=10,"",IF(AF271="","",IF(AF271&gt;=CMEMM1,1,0))),"")</f>
        <v/>
      </c>
      <c r="CE271" s="4" t="str">
        <f>B263&amp;"-0"&amp;9</f>
        <v>P27-09</v>
      </c>
      <c r="CF271" s="4" t="str">
        <f>IFERROR(INDEX('DESEMPATE Y DISCAPACIDAD'!$D$3:$D$450,MATCH(CE271,'DESEMPATE Y DISCAPACIDAD'!$C$3:$C$450,0)),"")</f>
        <v/>
      </c>
      <c r="CG271" s="4" t="str">
        <f>IF(OR(CE271="",CF271=""),"",SUMIF(D263:D272,CF271,CD263:CD272))</f>
        <v/>
      </c>
      <c r="CH271" s="4" t="str">
        <f t="shared" si="209"/>
        <v/>
      </c>
      <c r="CI271" s="4" t="str">
        <f t="shared" si="245"/>
        <v/>
      </c>
      <c r="CJ271" s="4"/>
      <c r="CK271" s="4"/>
      <c r="CL271" s="4" t="str">
        <f t="shared" si="236"/>
        <v/>
      </c>
      <c r="CM271" s="4" t="str">
        <f t="shared" si="237"/>
        <v/>
      </c>
      <c r="CN271" s="4" t="str">
        <f t="shared" si="246"/>
        <v/>
      </c>
      <c r="CO271" s="4"/>
      <c r="CP271" s="4"/>
      <c r="CQ271" s="29" t="str">
        <f t="shared" si="225"/>
        <v/>
      </c>
      <c r="CR271" s="29" t="str">
        <f t="shared" si="248"/>
        <v/>
      </c>
      <c r="CS271" s="4"/>
    </row>
    <row r="272" spans="1:97" ht="2" customHeight="1" thickBot="1">
      <c r="B272" s="482"/>
      <c r="C272" s="130"/>
      <c r="D272" s="131" t="str">
        <f>+IFERROR(INDEX('DESEMPATE Y DISCAPACIDAD'!$D$3:$D$450,MATCH(C272,'DESEMPATE Y DISCAPACIDAD'!$C$3:$C$450,0)),"")</f>
        <v/>
      </c>
      <c r="E272" s="132" t="str">
        <f>IFERROR(IF(D272="","",IF(VLOOKUP(D272,'DESEMPATE Y DISCAPACIDAD'!D$3:$E$450,2,FALSE)=1,"N/A",IF(VLOOKUP(D272,'DESEMPATE Y DISCAPACIDAD'!D$3:$F$450,3,FALSE)="X","SI","NO"))),"")</f>
        <v/>
      </c>
      <c r="F272" s="133"/>
      <c r="G272" s="133"/>
      <c r="H272" s="133"/>
      <c r="I272" s="134"/>
      <c r="J272" s="133"/>
      <c r="K272" s="133"/>
      <c r="L272" s="133"/>
      <c r="M272" s="133"/>
      <c r="N272" s="133" t="str">
        <f t="shared" si="241"/>
        <v/>
      </c>
      <c r="O272" s="133" t="str">
        <f t="shared" si="247"/>
        <v/>
      </c>
      <c r="P272" s="133" t="str">
        <f t="shared" si="242"/>
        <v/>
      </c>
      <c r="Q272" s="133" t="str">
        <f t="shared" si="238"/>
        <v/>
      </c>
      <c r="R272" s="104"/>
      <c r="S272" s="135"/>
      <c r="T272" s="135"/>
      <c r="U272" s="133" t="str">
        <f t="shared" si="243"/>
        <v/>
      </c>
      <c r="V272" s="136" t="str">
        <f>IF(U272=2023,1160000,IFERROR(INDEX([1]SMMLV!$B$2:$B$101,MATCH(U272,[1]SMMLV!$A$2:$A$101,0)),""))</f>
        <v/>
      </c>
      <c r="W272" s="136"/>
      <c r="X272" s="133"/>
      <c r="Y272" s="133"/>
      <c r="Z272" s="487"/>
      <c r="AA272" s="488"/>
      <c r="AB272" s="489"/>
      <c r="AC272" s="133" t="str">
        <f t="shared" si="244"/>
        <v/>
      </c>
      <c r="AD272" s="136" t="str">
        <f t="shared" si="239"/>
        <v/>
      </c>
      <c r="AE272" s="117" t="str">
        <f t="shared" si="240"/>
        <v/>
      </c>
      <c r="AF272" s="136" t="str">
        <f t="shared" si="234"/>
        <v/>
      </c>
      <c r="AG272" s="471"/>
      <c r="AH272" s="471"/>
      <c r="AI272" s="133" t="str">
        <f t="shared" si="235"/>
        <v/>
      </c>
      <c r="AJ272" s="471"/>
      <c r="AK272" s="471"/>
      <c r="AL272" s="473"/>
      <c r="AM272" s="497"/>
      <c r="AN272" s="133"/>
      <c r="AO272" s="491"/>
      <c r="AP272" s="133"/>
      <c r="AQ272" s="491"/>
      <c r="AR272" s="601"/>
      <c r="AS272" s="588"/>
      <c r="AT272" s="206"/>
      <c r="AU272" s="629"/>
      <c r="AV272" s="632"/>
      <c r="AW272" s="635"/>
      <c r="AX272" s="635"/>
      <c r="AY272" s="19"/>
      <c r="CB272" s="29" t="str">
        <f>IFERROR(IF(COUNTIF(AF263:AF272,"")=10,"",IF(COUNTIF(E263:E272,"N/A")&gt;0,IF(AF272&gt;=CMEMM1,AF272,0),"N/A")),"")</f>
        <v>N/A</v>
      </c>
      <c r="CC272" s="4"/>
      <c r="CD272" s="4" t="str">
        <f>IFERROR(IF(COUNTIF(AF263:AF272,"")=10,"",IF(AF272="","",IF(AF272&gt;=CMEMM1,1,0))),"")</f>
        <v/>
      </c>
      <c r="CE272" s="4" t="str">
        <f>B263&amp;"-"&amp;10</f>
        <v>P27-10</v>
      </c>
      <c r="CF272" s="4" t="str">
        <f>IFERROR(INDEX('DESEMPATE Y DISCAPACIDAD'!$D$3:$D$450,MATCH(CE272,'DESEMPATE Y DISCAPACIDAD'!$C$3:$C$450,0)),"")</f>
        <v/>
      </c>
      <c r="CG272" s="4" t="str">
        <f>IF(OR(CE272="",CF272=""),"",SUMIF(D263:D272,CF272,CD263:CD272))</f>
        <v/>
      </c>
      <c r="CH272" s="4" t="str">
        <f t="shared" si="209"/>
        <v/>
      </c>
      <c r="CI272" s="4" t="str">
        <f t="shared" si="245"/>
        <v/>
      </c>
      <c r="CJ272" s="4"/>
      <c r="CK272" s="4"/>
      <c r="CL272" s="4" t="str">
        <f t="shared" si="236"/>
        <v/>
      </c>
      <c r="CM272" s="4" t="str">
        <f t="shared" si="237"/>
        <v/>
      </c>
      <c r="CN272" s="4" t="str">
        <f t="shared" si="246"/>
        <v/>
      </c>
      <c r="CO272" s="4"/>
      <c r="CP272" s="4"/>
      <c r="CQ272" s="29" t="str">
        <f t="shared" si="225"/>
        <v/>
      </c>
      <c r="CR272" s="29" t="str">
        <f t="shared" si="248"/>
        <v/>
      </c>
      <c r="CS272" s="4"/>
    </row>
    <row r="273" spans="1:97" ht="45" customHeight="1">
      <c r="A273" s="4" t="str">
        <f>"A"&amp;B273</f>
        <v>AP28</v>
      </c>
      <c r="B273" s="480" t="s">
        <v>289</v>
      </c>
      <c r="C273" s="108" t="s">
        <v>386</v>
      </c>
      <c r="D273" s="119" t="str">
        <f>+IFERROR(INDEX('DESEMPATE Y DISCAPACIDAD'!$D$3:$D$450,MATCH(C273,'DESEMPATE Y DISCAPACIDAD'!$C$3:$C$450,0)),"")</f>
        <v>Donovan Consultores SAS</v>
      </c>
      <c r="E273" s="120" t="str">
        <f>IFERROR(IF(D273="","",IF(VLOOKUP(D273,'DESEMPATE Y DISCAPACIDAD'!D$3:$E$450,2,FALSE)=1,"N/A",IF(VLOOKUP(D273,'DESEMPATE Y DISCAPACIDAD'!D$3:$F$450,3,FALSE)="X","SI","NO"))),"")</f>
        <v>NO</v>
      </c>
      <c r="F273" s="282" t="s">
        <v>1230</v>
      </c>
      <c r="G273" s="283" t="s">
        <v>699</v>
      </c>
      <c r="H273" s="282" t="s">
        <v>1231</v>
      </c>
      <c r="I273" s="282" t="s">
        <v>1232</v>
      </c>
      <c r="J273" s="284" t="s">
        <v>74</v>
      </c>
      <c r="K273" s="284" t="s">
        <v>74</v>
      </c>
      <c r="L273" s="284" t="s">
        <v>74</v>
      </c>
      <c r="M273" s="284" t="s">
        <v>74</v>
      </c>
      <c r="N273" s="121" t="str">
        <f>IFERROR(IF(OR(J273="",K273=""),"",IF(J273="NO","NO",K273)),"")</f>
        <v>SI</v>
      </c>
      <c r="O273" s="121" t="str">
        <f>IFERROR(IF(OR(J273="",L273=""),"",IF(J273="NO","NO",L273)),"")</f>
        <v>SI</v>
      </c>
      <c r="P273" s="121" t="str">
        <f>IFERROR(IF(OR(J273="",M273=""),"",IF(J273="NO","NO",M273)),"")</f>
        <v>SI</v>
      </c>
      <c r="Q273" s="121" t="str">
        <f t="shared" si="238"/>
        <v>SI</v>
      </c>
      <c r="R273" s="310">
        <v>0.15</v>
      </c>
      <c r="S273" s="311">
        <v>42040</v>
      </c>
      <c r="T273" s="312">
        <v>44453</v>
      </c>
      <c r="U273" s="121">
        <f>IFERROR(IF(T273="","",YEAR(T273)),"")</f>
        <v>2021</v>
      </c>
      <c r="V273" s="124">
        <f>IF(U273=2023,1160000,IFERROR(INDEX(SMMLV!$B$2:$B$101,MATCH(U273,SMMLV!$A$2:$A$101,0)),""))</f>
        <v>908526</v>
      </c>
      <c r="W273" s="342" t="s">
        <v>670</v>
      </c>
      <c r="X273" s="284" t="s">
        <v>671</v>
      </c>
      <c r="Y273" s="283">
        <v>80</v>
      </c>
      <c r="Z273" s="667" t="s">
        <v>74</v>
      </c>
      <c r="AA273" s="668"/>
      <c r="AB273" s="669"/>
      <c r="AC273" s="121" t="str">
        <f>IFERROR(IF(Y273="","",IF(ISNUMBER(Y273),IF(COUNTIF(Z273,"SI")&gt;0,"SI","NO"),Y273)),"")</f>
        <v>SI</v>
      </c>
      <c r="AD273" s="124" t="str">
        <f t="shared" si="239"/>
        <v>N/A</v>
      </c>
      <c r="AE273" s="351">
        <v>35063.18</v>
      </c>
      <c r="AF273" s="124">
        <f t="shared" si="234"/>
        <v>5259.4769999999999</v>
      </c>
      <c r="AG273" s="486" t="str">
        <f>IFERROR(IF(COUNTIF(AF273:AF282,"")=10,"",IF(COUNTIF(E273:E282,"N/A")&gt;0,IF(SUM(CB273:CB282)&gt;=CMEM1,"CUMPLE","NO CUMPLE"),IF(SUM(AF273:AF282)&gt;=CMEM1,"CUMPLE","NO CUMPLE"))),"")</f>
        <v>CUMPLE</v>
      </c>
      <c r="AH273" s="486" t="str">
        <f>IF(COUNTIF(AF273:AF282,"")=10,"",IF(SUMIF(C273:C282,C273,AF273:AF282)&gt;=CMLM1,"CUMPLE",IF(SUMIF(C273:C282,C274,AF273:AF282)&gt;=CMLM1,"CUMPLE",IF(SUMIF(C273:C282,C275,AF273:AF282)&gt;=CMLM1,"CUMPLE",IF(SUMIF(C273:C282,C276,AF273:AF282)&gt;=CMLM1,"CUMPLE",IF(SUMIF(C273:C282,C277,AF273:AF282)&gt;=CMLM1,"CUMPLE",IF(SUMIF(C273:C282,C278,AF273:AF282)&gt;=CMLM1,"CUMPLE",IF(SUMIF(C273:C282,C279,AF273:AF282)&gt;=CMLM1,"CUMPLE",IF(SUMIF(C273:C282,C280,AF273:AF282)&gt;=CMLM1,"CUMPLE",IF(SUMIF(C273:C282,C281,AF273:AF282)&gt;=CMLM1,"CUMPLE",IF(SUMIF(C273:C282,C282,AF273:AF282)&gt;=CMLM1,"CUMPLE","NO CUMPLE")))))))))))</f>
        <v>CUMPLE</v>
      </c>
      <c r="AI273" s="121" t="str">
        <f t="shared" si="235"/>
        <v>CUMPLE</v>
      </c>
      <c r="AJ273" s="469" t="str">
        <f>IFERROR(IF(COUNTIF(AF273:AF282,"")=10,"",IF(COUNTIF(E273:E282,"N/A")&gt;0,"N/A",CJ273)),"")</f>
        <v>CUMPLE</v>
      </c>
      <c r="AK273" s="469" t="str">
        <f>IFERROR(IF(AND(COUNTIF(N273:N282,"SI")&gt;=1,COUNTIF(O273:O282,"SI")&gt;=1,COUNTIF(P273:P282,"SI")&gt;=1,COUNTIF(J273:J282,"SI")&lt;=10,CO273="CUMPLE"),"CUMPLE","NO CUMPLE"),"")</f>
        <v>CUMPLE</v>
      </c>
      <c r="AL273" s="472" t="s">
        <v>77</v>
      </c>
      <c r="AM273" s="495">
        <f>IFERROR(IF(B273&lt;&gt;"",IF(VLOOKUP(B273,'DESEMPATE Y DISCAPACIDAD'!$A$3:$Q$450,10,FALSE)="","",VLOOKUP(B273,'DESEMPATE Y DISCAPACIDAD'!$A$3:$Q$450,10,FALSE)+6),""),"")</f>
        <v>8</v>
      </c>
      <c r="AN273" s="284" t="s">
        <v>75</v>
      </c>
      <c r="AO273" s="507" t="s">
        <v>74</v>
      </c>
      <c r="AP273" s="284" t="s">
        <v>74</v>
      </c>
      <c r="AQ273" s="490">
        <f>IFERROR(IF(COUNTIF(AP273:AP282,"")=10,"",IF(AO273="NO",0,COUNTIF(AP273:AP282,"SI"))),"")</f>
        <v>6</v>
      </c>
      <c r="AR273" s="521">
        <f>IFERROR(IF(COUNTIF(AF273:AF282,"")=10,"",IF(AO273="NO",0,IF(COUNTIF(E273:E282,"N/A")&gt;0,SUM(CQ273:CQ282),SUM(CR273:CR282)))),"")</f>
        <v>128161.247</v>
      </c>
      <c r="AS273" s="518">
        <f>IFERROR(IF(OR(COUNTIF(AF273:AF282,"")=10,AQ273="",AR273=""),"",IF(AO273="NO",0,AR273/AQ273)),"")</f>
        <v>21360.207833333334</v>
      </c>
      <c r="AT273" s="207"/>
      <c r="AU273" s="658" t="s">
        <v>1219</v>
      </c>
      <c r="AV273" s="661" t="s">
        <v>1220</v>
      </c>
      <c r="AW273" s="560" t="s">
        <v>1375</v>
      </c>
      <c r="AX273" s="664" t="s">
        <v>1387</v>
      </c>
      <c r="AY273" s="19"/>
      <c r="CB273" s="29" t="str">
        <f>IFERROR(IF(COUNTIF(AF273:AF282,"")=10,"",IF(COUNTIF(E273:E282,"N/A")&gt;0,IF(AF273&gt;=CMEMM1,AF273,0),"N/A")),"")</f>
        <v>N/A</v>
      </c>
      <c r="CC273" s="4"/>
      <c r="CD273" s="4">
        <f>IFERROR(IF(COUNTIF(AF273:AF282,"")=10,"",IF(AF273="","",IF(AF273&gt;=CMEMM1,1,0))),"")</f>
        <v>1</v>
      </c>
      <c r="CE273" s="4" t="str">
        <f>B273&amp;"-0"&amp;1</f>
        <v>P28-01</v>
      </c>
      <c r="CF273" s="4" t="str">
        <f>IFERROR(INDEX('DESEMPATE Y DISCAPACIDAD'!$D$3:$D$450,MATCH(CE273,'DESEMPATE Y DISCAPACIDAD'!$C$3:$C$450,0)),"")</f>
        <v>Donovan Consultores SAS</v>
      </c>
      <c r="CG273" s="4">
        <f>IF(OR(CE273="",CF273=""),"",SUMIF(D273:D282,CF273,CD273:CD282))</f>
        <v>1</v>
      </c>
      <c r="CH273" s="4" t="str">
        <f t="shared" si="209"/>
        <v>CUMPLE</v>
      </c>
      <c r="CI273" s="4">
        <f>IF(CF273="","",IF(ISTEXT(CF273),1,0))</f>
        <v>1</v>
      </c>
      <c r="CJ273" s="4" t="str">
        <f>IF(OR(CD273="",CE273="",CF273="",CG273="",CH273="",CI273=""),"",IF(COUNTIF(CH273:CH282,"CUMPLE")=COUNTIF(CI273:CI282,1),"CUMPLE","NO CUMPLE"))</f>
        <v>CUMPLE</v>
      </c>
      <c r="CK273" s="4"/>
      <c r="CL273" s="4">
        <f t="shared" si="236"/>
        <v>1</v>
      </c>
      <c r="CM273" s="4">
        <f t="shared" si="237"/>
        <v>1</v>
      </c>
      <c r="CN273" s="4" t="str">
        <f>IF(OR(CL273="",CM273=""),"",IF(AND(CL273=0,CM273=0),"N/A",IF(AND(CL273=1,CM273=0),"COND. A",IF(AND(CL273=0,CM273=1),"COND. B",IF(AND(CL273=1,CM273=1),"COND. A Y B","")))))</f>
        <v>COND. A Y B</v>
      </c>
      <c r="CO273" s="4" t="str">
        <f>IF(COUNTIF(CN273:CN282,"N/A")=10,"NO CUMPLE",IF(COUNTIF(CN273:CN282,"COND. A Y B")&gt;1,"CUMPLE",IF(AND(COUNTIF(CN273:CN282,"COND. A")&gt;0,COUNTIF(CN273:CN282,"COND. B")&gt;0),"CUMPLE",IF(AND(COUNTIF(CN273:CN282,"COND. A Y B")&gt;0,COUNTIF(CN273:CN282,"COND. A")&gt;0),"CUMPLE",IF(AND(COUNTIF(CN273:CN282,"COND. A Y B")&gt;0,COUNTIF(CN273:CN282,"COND. B")&gt;0),"CUMPLE","NO CUMPLE")))))</f>
        <v>CUMPLE</v>
      </c>
      <c r="CP273" s="4"/>
      <c r="CQ273" s="29" t="str">
        <f t="shared" si="225"/>
        <v>N/A</v>
      </c>
      <c r="CR273" s="29">
        <f t="shared" si="248"/>
        <v>5259.4769999999999</v>
      </c>
      <c r="CS273" s="4"/>
    </row>
    <row r="274" spans="1:97" ht="45" customHeight="1">
      <c r="B274" s="481"/>
      <c r="C274" s="118" t="s">
        <v>387</v>
      </c>
      <c r="D274" s="119" t="str">
        <f>+IFERROR(INDEX('DESEMPATE Y DISCAPACIDAD'!$D$3:$D$450,MATCH(C274,'DESEMPATE Y DISCAPACIDAD'!$C$3:$C$450,0)),"")</f>
        <v xml:space="preserve">DF Consultoría </v>
      </c>
      <c r="E274" s="120" t="str">
        <f>IFERROR(IF(D274="","",IF(VLOOKUP(D274,'DESEMPATE Y DISCAPACIDAD'!D$3:$E$450,2,FALSE)=1,"N/A",IF(VLOOKUP(D274,'DESEMPATE Y DISCAPACIDAD'!D$3:$F$450,3,FALSE)="X","SI","NO"))),"")</f>
        <v>NO</v>
      </c>
      <c r="F274" s="282" t="s">
        <v>1233</v>
      </c>
      <c r="G274" s="283" t="s">
        <v>699</v>
      </c>
      <c r="H274" s="283" t="s">
        <v>1234</v>
      </c>
      <c r="I274" s="282" t="s">
        <v>1235</v>
      </c>
      <c r="J274" s="284" t="s">
        <v>74</v>
      </c>
      <c r="K274" s="284" t="s">
        <v>74</v>
      </c>
      <c r="L274" s="284" t="s">
        <v>75</v>
      </c>
      <c r="M274" s="284" t="s">
        <v>74</v>
      </c>
      <c r="N274" s="121" t="str">
        <f t="shared" ref="N274:N282" si="249">IFERROR(IF(OR(J274="",K274=""),"",IF(J274="NO","NO",K274)),"")</f>
        <v>SI</v>
      </c>
      <c r="O274" s="121" t="str">
        <f>IFERROR(IF(OR(J274="",L274=""),"",IF(J274="NO","NO",L274)),"")</f>
        <v>NO</v>
      </c>
      <c r="P274" s="121" t="str">
        <f t="shared" ref="P274:P282" si="250">IFERROR(IF(OR(J274="",M274=""),"",IF(J274="NO","NO",M274)),"")</f>
        <v>SI</v>
      </c>
      <c r="Q274" s="121" t="str">
        <f t="shared" si="238"/>
        <v>SI</v>
      </c>
      <c r="R274" s="310">
        <v>0.5</v>
      </c>
      <c r="S274" s="311">
        <v>40137</v>
      </c>
      <c r="T274" s="312">
        <v>41232</v>
      </c>
      <c r="U274" s="121">
        <f t="shared" ref="U274:U282" si="251">IFERROR(IF(T274="","",YEAR(T274)),"")</f>
        <v>2012</v>
      </c>
      <c r="V274" s="124">
        <f>IF(U274=2023,1160000,IFERROR(INDEX(SMMLV!$B$2:$B$101,MATCH(U274,SMMLV!$A$2:$A$101,0)),""))</f>
        <v>566700</v>
      </c>
      <c r="W274" s="342" t="s">
        <v>670</v>
      </c>
      <c r="X274" s="286" t="s">
        <v>671</v>
      </c>
      <c r="Y274" s="283">
        <v>6</v>
      </c>
      <c r="Z274" s="509" t="s">
        <v>74</v>
      </c>
      <c r="AA274" s="510"/>
      <c r="AB274" s="511"/>
      <c r="AC274" s="125" t="str">
        <f t="shared" ref="AC274:AC282" si="252">IFERROR(IF(Y274="","",IF(ISNUMBER(Y274),IF(COUNTIF(Z274,"SI")&gt;0,"SI","NO"),Y274)),"")</f>
        <v>SI</v>
      </c>
      <c r="AD274" s="117" t="str">
        <f t="shared" si="239"/>
        <v>N/A</v>
      </c>
      <c r="AE274" s="351">
        <v>8401.5499999999993</v>
      </c>
      <c r="AF274" s="117">
        <f t="shared" si="234"/>
        <v>4200.7749999999996</v>
      </c>
      <c r="AG274" s="470"/>
      <c r="AH274" s="470"/>
      <c r="AI274" s="125" t="str">
        <f t="shared" si="235"/>
        <v>CUMPLE</v>
      </c>
      <c r="AJ274" s="470"/>
      <c r="AK274" s="470"/>
      <c r="AL274" s="472"/>
      <c r="AM274" s="496"/>
      <c r="AN274" s="286" t="s">
        <v>75</v>
      </c>
      <c r="AO274" s="507"/>
      <c r="AP274" s="286" t="s">
        <v>74</v>
      </c>
      <c r="AQ274" s="490"/>
      <c r="AR274" s="522"/>
      <c r="AS274" s="519"/>
      <c r="AT274" s="204"/>
      <c r="AU274" s="659"/>
      <c r="AV274" s="662"/>
      <c r="AW274" s="561"/>
      <c r="AX274" s="665"/>
      <c r="AY274" s="19"/>
      <c r="CB274" s="29" t="str">
        <f>IFERROR(IF(COUNTIF(AF273:AF282,"")=10,"",IF(COUNTIF(E273:E282,"N/A")&gt;0,IF(AF274&gt;=CMEMM1,AF274,0),"N/A")),"")</f>
        <v>N/A</v>
      </c>
      <c r="CC274" s="4"/>
      <c r="CD274" s="4">
        <f>IFERROR(IF(COUNTIF(AF273:AF282,"")=10,"",IF(AF274="","",IF(AF274&gt;=CMEMM1,1,0))),"")</f>
        <v>1</v>
      </c>
      <c r="CE274" s="4" t="str">
        <f>B273&amp;"-0"&amp;2</f>
        <v>P28-02</v>
      </c>
      <c r="CF274" s="4" t="str">
        <f>IFERROR(INDEX('DESEMPATE Y DISCAPACIDAD'!$D$3:$D$450,MATCH(CE274,'DESEMPATE Y DISCAPACIDAD'!$C$3:$C$450,0)),"")</f>
        <v xml:space="preserve">DF Consultoría </v>
      </c>
      <c r="CG274" s="4">
        <f>IF(OR(CE274="",CF274=""),"",SUMIF(D273:D282,CF274,CD273:CD282))</f>
        <v>1</v>
      </c>
      <c r="CH274" s="4" t="str">
        <f t="shared" si="209"/>
        <v>CUMPLE</v>
      </c>
      <c r="CI274" s="4">
        <f t="shared" ref="CI274:CI282" si="253">IF(CF274="","",IF(ISTEXT(CF274),1,0))</f>
        <v>1</v>
      </c>
      <c r="CJ274" s="4"/>
      <c r="CK274" s="4"/>
      <c r="CL274" s="4">
        <f t="shared" si="236"/>
        <v>1</v>
      </c>
      <c r="CM274" s="4">
        <f t="shared" si="237"/>
        <v>0</v>
      </c>
      <c r="CN274" s="4" t="str">
        <f t="shared" ref="CN274:CN282" si="254">IF(OR(CL274="",CM274=""),"",IF(AND(CL274=0,CM274=0),"N/A",IF(AND(CL274=1,CM274=0),"COND. A",IF(AND(CL274=0,CM274=1),"COND. B",IF(AND(CL274=1,CM274=1),"COND. A Y B","")))))</f>
        <v>COND. A</v>
      </c>
      <c r="CO274" s="4"/>
      <c r="CP274" s="4"/>
      <c r="CQ274" s="29" t="str">
        <f t="shared" si="225"/>
        <v>N/A</v>
      </c>
      <c r="CR274" s="29">
        <f t="shared" si="248"/>
        <v>4200.7749999999996</v>
      </c>
      <c r="CS274" s="4"/>
    </row>
    <row r="275" spans="1:97" ht="45" customHeight="1">
      <c r="B275" s="481"/>
      <c r="C275" s="118" t="s">
        <v>388</v>
      </c>
      <c r="D275" s="126" t="str">
        <f>+IFERROR(INDEX('DESEMPATE Y DISCAPACIDAD'!$D$3:$D$450,MATCH(C275,'DESEMPATE Y DISCAPACIDAD'!$C$3:$C$450,0)),"")</f>
        <v xml:space="preserve">Jorge Piddo Seguido de la Expresión Colombia </v>
      </c>
      <c r="E275" s="127" t="str">
        <f>IFERROR(IF(D275="","",IF(VLOOKUP(D275,'DESEMPATE Y DISCAPACIDAD'!D$3:$E$450,2,FALSE)=1,"N/A",IF(VLOOKUP(D275,'DESEMPATE Y DISCAPACIDAD'!D$3:$F$450,3,FALSE)="X","SI","NO"))),"")</f>
        <v>NO</v>
      </c>
      <c r="F275" s="282" t="s">
        <v>1236</v>
      </c>
      <c r="G275" s="283" t="s">
        <v>1025</v>
      </c>
      <c r="H275" s="283" t="s">
        <v>1234</v>
      </c>
      <c r="I275" s="285" t="s">
        <v>1237</v>
      </c>
      <c r="J275" s="424" t="s">
        <v>74</v>
      </c>
      <c r="K275" s="286" t="s">
        <v>74</v>
      </c>
      <c r="L275" s="286" t="s">
        <v>75</v>
      </c>
      <c r="M275" s="286" t="s">
        <v>74</v>
      </c>
      <c r="N275" s="125" t="str">
        <f t="shared" si="249"/>
        <v>SI</v>
      </c>
      <c r="O275" s="125" t="str">
        <f>IFERROR(IF(OR(J275="",L275=""),"",IF(J275="NO","NO",L275)),"")</f>
        <v>NO</v>
      </c>
      <c r="P275" s="125" t="str">
        <f t="shared" si="250"/>
        <v>SI</v>
      </c>
      <c r="Q275" s="125" t="str">
        <f t="shared" si="238"/>
        <v>SI</v>
      </c>
      <c r="R275" s="310">
        <v>0.5</v>
      </c>
      <c r="S275" s="311">
        <v>36363</v>
      </c>
      <c r="T275" s="312">
        <v>37843</v>
      </c>
      <c r="U275" s="125">
        <f t="shared" si="251"/>
        <v>2003</v>
      </c>
      <c r="V275" s="117">
        <f>IF(U275=2023,1160000,IFERROR(INDEX(SMMLV!$B$2:$B$101,MATCH(U275,SMMLV!$A$2:$A$101,0)),""))</f>
        <v>332000</v>
      </c>
      <c r="W275" s="342" t="s">
        <v>670</v>
      </c>
      <c r="X275" s="286" t="s">
        <v>1333</v>
      </c>
      <c r="Y275" s="283">
        <v>1</v>
      </c>
      <c r="Z275" s="509" t="s">
        <v>74</v>
      </c>
      <c r="AA275" s="510"/>
      <c r="AB275" s="511"/>
      <c r="AC275" s="125" t="str">
        <f t="shared" si="252"/>
        <v>SI</v>
      </c>
      <c r="AD275" s="117" t="str">
        <f t="shared" si="239"/>
        <v>N/A</v>
      </c>
      <c r="AE275" s="351">
        <v>56649.39</v>
      </c>
      <c r="AF275" s="117">
        <f t="shared" si="234"/>
        <v>28324.695</v>
      </c>
      <c r="AG275" s="470"/>
      <c r="AH275" s="470"/>
      <c r="AI275" s="125" t="str">
        <f t="shared" si="235"/>
        <v>CUMPLE</v>
      </c>
      <c r="AJ275" s="470"/>
      <c r="AK275" s="470"/>
      <c r="AL275" s="472"/>
      <c r="AM275" s="496"/>
      <c r="AN275" s="424" t="s">
        <v>75</v>
      </c>
      <c r="AO275" s="507"/>
      <c r="AP275" s="424" t="s">
        <v>74</v>
      </c>
      <c r="AQ275" s="490"/>
      <c r="AR275" s="522"/>
      <c r="AS275" s="519"/>
      <c r="AT275" s="204"/>
      <c r="AU275" s="659"/>
      <c r="AV275" s="662"/>
      <c r="AW275" s="561"/>
      <c r="AX275" s="665"/>
      <c r="AY275" s="19"/>
      <c r="CB275" s="29" t="str">
        <f>IFERROR(IF(COUNTIF(AF273:AF282,"")=10,"",IF(COUNTIF(E273:E282,"N/A")&gt;0,IF(AF275&gt;=CMEMM1,AF275,0),"N/A")),"")</f>
        <v>N/A</v>
      </c>
      <c r="CC275" s="4"/>
      <c r="CD275" s="4">
        <f>IFERROR(IF(COUNTIF(AF273:AF282,"")=10,"",IF(AF275="","",IF(AF275&gt;=CMEMM1,1,0))),"")</f>
        <v>1</v>
      </c>
      <c r="CE275" s="4" t="str">
        <f>B273&amp;"-0"&amp;3</f>
        <v>P28-03</v>
      </c>
      <c r="CF275" s="4" t="str">
        <f>IFERROR(INDEX('DESEMPATE Y DISCAPACIDAD'!$D$3:$D$450,MATCH(CE275,'DESEMPATE Y DISCAPACIDAD'!$C$3:$C$450,0)),"")</f>
        <v xml:space="preserve">Jorge Piddo Seguido de la Expresión Colombia </v>
      </c>
      <c r="CG275" s="4">
        <f>IF(OR(CE275="",CF275=""),"",SUMIF(D273:D282,CF275,CD273:CD282))</f>
        <v>4</v>
      </c>
      <c r="CH275" s="4" t="str">
        <f t="shared" si="209"/>
        <v>CUMPLE</v>
      </c>
      <c r="CI275" s="4">
        <f t="shared" si="253"/>
        <v>1</v>
      </c>
      <c r="CJ275" s="4"/>
      <c r="CK275" s="4"/>
      <c r="CL275" s="4">
        <f t="shared" si="236"/>
        <v>1</v>
      </c>
      <c r="CM275" s="4">
        <f t="shared" si="237"/>
        <v>0</v>
      </c>
      <c r="CN275" s="4" t="str">
        <f t="shared" si="254"/>
        <v>COND. A</v>
      </c>
      <c r="CO275" s="4"/>
      <c r="CP275" s="4"/>
      <c r="CQ275" s="29" t="str">
        <f t="shared" si="225"/>
        <v>N/A</v>
      </c>
      <c r="CR275" s="29">
        <f t="shared" si="248"/>
        <v>28324.695</v>
      </c>
      <c r="CS275" s="4"/>
    </row>
    <row r="276" spans="1:97" ht="45" customHeight="1">
      <c r="B276" s="481"/>
      <c r="C276" s="118" t="s">
        <v>388</v>
      </c>
      <c r="D276" s="126" t="str">
        <f>+IFERROR(INDEX('DESEMPATE Y DISCAPACIDAD'!$D$3:$D$450,MATCH(C276,'DESEMPATE Y DISCAPACIDAD'!$C$3:$C$450,0)),"")</f>
        <v xml:space="preserve">Jorge Piddo Seguido de la Expresión Colombia </v>
      </c>
      <c r="E276" s="127" t="str">
        <f>IFERROR(IF(D276="","",IF(VLOOKUP(D276,'DESEMPATE Y DISCAPACIDAD'!D$3:$E$450,2,FALSE)=1,"N/A",IF(VLOOKUP(D276,'DESEMPATE Y DISCAPACIDAD'!D$3:$F$450,3,FALSE)="X","SI","NO"))),"")</f>
        <v>NO</v>
      </c>
      <c r="F276" s="282" t="s">
        <v>1236</v>
      </c>
      <c r="G276" s="283" t="s">
        <v>1025</v>
      </c>
      <c r="H276" s="283" t="s">
        <v>1234</v>
      </c>
      <c r="I276" s="282" t="s">
        <v>1238</v>
      </c>
      <c r="J276" s="286" t="s">
        <v>74</v>
      </c>
      <c r="K276" s="286" t="s">
        <v>74</v>
      </c>
      <c r="L276" s="286" t="s">
        <v>75</v>
      </c>
      <c r="M276" s="286" t="s">
        <v>74</v>
      </c>
      <c r="N276" s="125" t="str">
        <f t="shared" si="249"/>
        <v>SI</v>
      </c>
      <c r="O276" s="125" t="str">
        <f>IFERROR(IF(OR(J276="",L276=""),"",IF(J276="NO","NO",L276)),"")</f>
        <v>NO</v>
      </c>
      <c r="P276" s="125" t="str">
        <f t="shared" si="250"/>
        <v>SI</v>
      </c>
      <c r="Q276" s="125" t="str">
        <f t="shared" si="238"/>
        <v>SI</v>
      </c>
      <c r="R276" s="310">
        <v>1</v>
      </c>
      <c r="S276" s="311">
        <v>37697</v>
      </c>
      <c r="T276" s="312">
        <v>38853</v>
      </c>
      <c r="U276" s="125">
        <f t="shared" si="251"/>
        <v>2006</v>
      </c>
      <c r="V276" s="117">
        <f>IF(U276=2023,1160000,IFERROR(INDEX(SMMLV!$B$2:$B$101,MATCH(U276,SMMLV!$A$2:$A$101,0)),""))</f>
        <v>408000</v>
      </c>
      <c r="W276" s="342" t="s">
        <v>670</v>
      </c>
      <c r="X276" s="286" t="s">
        <v>1333</v>
      </c>
      <c r="Y276" s="283">
        <v>9</v>
      </c>
      <c r="Z276" s="509" t="s">
        <v>74</v>
      </c>
      <c r="AA276" s="510"/>
      <c r="AB276" s="511"/>
      <c r="AC276" s="125" t="str">
        <f t="shared" si="252"/>
        <v>SI</v>
      </c>
      <c r="AD276" s="117" t="str">
        <f t="shared" si="239"/>
        <v>N/A</v>
      </c>
      <c r="AE276" s="351">
        <v>30011.26</v>
      </c>
      <c r="AF276" s="117">
        <f t="shared" si="234"/>
        <v>30011.26</v>
      </c>
      <c r="AG276" s="470"/>
      <c r="AH276" s="470"/>
      <c r="AI276" s="125" t="str">
        <f t="shared" si="235"/>
        <v>CUMPLE</v>
      </c>
      <c r="AJ276" s="470"/>
      <c r="AK276" s="470"/>
      <c r="AL276" s="472"/>
      <c r="AM276" s="496"/>
      <c r="AN276" s="286" t="s">
        <v>75</v>
      </c>
      <c r="AO276" s="507"/>
      <c r="AP276" s="286" t="s">
        <v>74</v>
      </c>
      <c r="AQ276" s="490"/>
      <c r="AR276" s="522"/>
      <c r="AS276" s="519"/>
      <c r="AT276" s="204"/>
      <c r="AU276" s="659"/>
      <c r="AV276" s="662"/>
      <c r="AW276" s="561"/>
      <c r="AX276" s="665"/>
      <c r="AY276" s="19"/>
      <c r="CB276" s="29" t="str">
        <f>IFERROR(IF(COUNTIF(AF273:AF282,"")=10,"",IF(COUNTIF(E273:E282,"N/A")&gt;0,IF(AF276&gt;=CMEMM1,AF276,0),"N/A")),"")</f>
        <v>N/A</v>
      </c>
      <c r="CC276" s="4"/>
      <c r="CD276" s="4">
        <f>IFERROR(IF(COUNTIF(AF273:AF282,"")=10,"",IF(AF276="","",IF(AF276&gt;=CMEMM1,1,0))),"")</f>
        <v>1</v>
      </c>
      <c r="CE276" s="4" t="str">
        <f>B273&amp;"-0"&amp;4</f>
        <v>P28-04</v>
      </c>
      <c r="CF276" s="4">
        <f>IFERROR(INDEX('DESEMPATE Y DISCAPACIDAD'!$D$3:$D$450,MATCH(CE276,'DESEMPATE Y DISCAPACIDAD'!$C$3:$C$450,0)),"")</f>
        <v>0</v>
      </c>
      <c r="CG276" s="4">
        <f>IF(OR(CE276="",CF276=""),"",SUMIF(D273:D282,CF276,CD273:CD282))</f>
        <v>0</v>
      </c>
      <c r="CH276" s="4" t="str">
        <f t="shared" si="209"/>
        <v>NO CUMPLE</v>
      </c>
      <c r="CI276" s="4">
        <f t="shared" si="253"/>
        <v>0</v>
      </c>
      <c r="CJ276" s="4"/>
      <c r="CK276" s="4"/>
      <c r="CL276" s="4">
        <f t="shared" si="236"/>
        <v>1</v>
      </c>
      <c r="CM276" s="4">
        <f t="shared" si="237"/>
        <v>0</v>
      </c>
      <c r="CN276" s="4" t="str">
        <f t="shared" si="254"/>
        <v>COND. A</v>
      </c>
      <c r="CO276" s="4"/>
      <c r="CP276" s="4"/>
      <c r="CQ276" s="29" t="str">
        <f t="shared" si="225"/>
        <v>N/A</v>
      </c>
      <c r="CR276" s="29">
        <f t="shared" si="248"/>
        <v>30011.26</v>
      </c>
      <c r="CS276" s="4"/>
    </row>
    <row r="277" spans="1:97" ht="45" customHeight="1">
      <c r="B277" s="481"/>
      <c r="C277" s="118" t="s">
        <v>388</v>
      </c>
      <c r="D277" s="126" t="str">
        <f>+IFERROR(INDEX('DESEMPATE Y DISCAPACIDAD'!$D$3:$D$450,MATCH(C277,'DESEMPATE Y DISCAPACIDAD'!$C$3:$C$450,0)),"")</f>
        <v xml:space="preserve">Jorge Piddo Seguido de la Expresión Colombia </v>
      </c>
      <c r="E277" s="127" t="str">
        <f>IFERROR(IF(D277="","",IF(VLOOKUP(D277,'DESEMPATE Y DISCAPACIDAD'!D$3:$E$450,2,FALSE)=1,"N/A",IF(VLOOKUP(D277,'DESEMPATE Y DISCAPACIDAD'!D$3:$F$450,3,FALSE)="X","SI","NO"))),"")</f>
        <v>NO</v>
      </c>
      <c r="F277" s="282" t="s">
        <v>1236</v>
      </c>
      <c r="G277" s="283" t="s">
        <v>1025</v>
      </c>
      <c r="H277" s="283" t="s">
        <v>1234</v>
      </c>
      <c r="I277" s="282" t="s">
        <v>1239</v>
      </c>
      <c r="J277" s="286" t="s">
        <v>74</v>
      </c>
      <c r="K277" s="286" t="s">
        <v>74</v>
      </c>
      <c r="L277" s="286" t="s">
        <v>75</v>
      </c>
      <c r="M277" s="286" t="s">
        <v>74</v>
      </c>
      <c r="N277" s="125" t="str">
        <f t="shared" si="249"/>
        <v>SI</v>
      </c>
      <c r="O277" s="125" t="str">
        <f t="shared" ref="O277:O282" si="255">IFERROR(IF(OR(J277="",L277=""),"",IF(J277="NO","NO",L277)),"")</f>
        <v>NO</v>
      </c>
      <c r="P277" s="125" t="str">
        <f t="shared" si="250"/>
        <v>SI</v>
      </c>
      <c r="Q277" s="125" t="str">
        <f t="shared" si="238"/>
        <v>SI</v>
      </c>
      <c r="R277" s="310">
        <v>1</v>
      </c>
      <c r="S277" s="311">
        <v>38313</v>
      </c>
      <c r="T277" s="312">
        <v>39766</v>
      </c>
      <c r="U277" s="125">
        <f t="shared" si="251"/>
        <v>2008</v>
      </c>
      <c r="V277" s="117">
        <f>IF(U277=2023,1160000,IFERROR(INDEX(SMMLV!$B$2:$B$101,MATCH(U277,SMMLV!$A$2:$A$101,0)),""))</f>
        <v>461500</v>
      </c>
      <c r="W277" s="342" t="s">
        <v>670</v>
      </c>
      <c r="X277" s="286" t="s">
        <v>1333</v>
      </c>
      <c r="Y277" s="283">
        <v>10</v>
      </c>
      <c r="Z277" s="509" t="s">
        <v>74</v>
      </c>
      <c r="AA277" s="510"/>
      <c r="AB277" s="511"/>
      <c r="AC277" s="125" t="str">
        <f t="shared" si="252"/>
        <v>SI</v>
      </c>
      <c r="AD277" s="117" t="str">
        <f t="shared" si="239"/>
        <v>N/A</v>
      </c>
      <c r="AE277" s="351">
        <v>30378.05</v>
      </c>
      <c r="AF277" s="117">
        <f t="shared" si="234"/>
        <v>30378.05</v>
      </c>
      <c r="AG277" s="470"/>
      <c r="AH277" s="470"/>
      <c r="AI277" s="125" t="str">
        <f t="shared" si="235"/>
        <v>CUMPLE</v>
      </c>
      <c r="AJ277" s="470"/>
      <c r="AK277" s="470"/>
      <c r="AL277" s="472"/>
      <c r="AM277" s="496"/>
      <c r="AN277" s="286" t="s">
        <v>75</v>
      </c>
      <c r="AO277" s="507"/>
      <c r="AP277" s="286" t="s">
        <v>74</v>
      </c>
      <c r="AQ277" s="490"/>
      <c r="AR277" s="522"/>
      <c r="AS277" s="519"/>
      <c r="AT277" s="204"/>
      <c r="AU277" s="659"/>
      <c r="AV277" s="662"/>
      <c r="AW277" s="561"/>
      <c r="AX277" s="665"/>
      <c r="AY277" s="19"/>
      <c r="CB277" s="29" t="str">
        <f>IFERROR(IF(COUNTIF(AF273:AF282,"")=10,"",IF(COUNTIF(E273:E282,"N/A")&gt;0,IF(AF277&gt;=CMEMM1,AF277,0),"N/A")),"")</f>
        <v>N/A</v>
      </c>
      <c r="CC277" s="4"/>
      <c r="CD277" s="4">
        <f>IFERROR(IF(COUNTIF(AF273:AF282,"")=10,"",IF(AF277="","",IF(AF277&gt;=CMEMM1,1,0))),"")</f>
        <v>1</v>
      </c>
      <c r="CE277" s="4" t="str">
        <f>B273&amp;"-0"&amp;5</f>
        <v>P28-05</v>
      </c>
      <c r="CF277" s="4">
        <f>IFERROR(INDEX('DESEMPATE Y DISCAPACIDAD'!$D$3:$D$450,MATCH(CE277,'DESEMPATE Y DISCAPACIDAD'!$C$3:$C$450,0)),"")</f>
        <v>0</v>
      </c>
      <c r="CG277" s="4">
        <f>IF(OR(CE277="",CF277=""),"",SUMIF(D273:D282,CF277,CD273:CD282))</f>
        <v>0</v>
      </c>
      <c r="CH277" s="4" t="str">
        <f t="shared" si="209"/>
        <v>NO CUMPLE</v>
      </c>
      <c r="CI277" s="4">
        <f t="shared" si="253"/>
        <v>0</v>
      </c>
      <c r="CJ277" s="4"/>
      <c r="CK277" s="4"/>
      <c r="CL277" s="4">
        <f t="shared" si="236"/>
        <v>1</v>
      </c>
      <c r="CM277" s="4">
        <f t="shared" si="237"/>
        <v>0</v>
      </c>
      <c r="CN277" s="4" t="str">
        <f t="shared" si="254"/>
        <v>COND. A</v>
      </c>
      <c r="CO277" s="4"/>
      <c r="CP277" s="4"/>
      <c r="CQ277" s="29" t="str">
        <f t="shared" si="225"/>
        <v>N/A</v>
      </c>
      <c r="CR277" s="29">
        <f t="shared" si="248"/>
        <v>30378.05</v>
      </c>
      <c r="CS277" s="4"/>
    </row>
    <row r="278" spans="1:97" ht="45" customHeight="1">
      <c r="B278" s="481"/>
      <c r="C278" s="118" t="s">
        <v>388</v>
      </c>
      <c r="D278" s="126" t="str">
        <f>+IFERROR(INDEX('DESEMPATE Y DISCAPACIDAD'!$D$3:$D$450,MATCH(C278,'DESEMPATE Y DISCAPACIDAD'!$C$3:$C$450,0)),"")</f>
        <v xml:space="preserve">Jorge Piddo Seguido de la Expresión Colombia </v>
      </c>
      <c r="E278" s="127" t="str">
        <f>IFERROR(IF(D278="","",IF(VLOOKUP(D278,'DESEMPATE Y DISCAPACIDAD'!D$3:$E$450,2,FALSE)=1,"N/A",IF(VLOOKUP(D278,'DESEMPATE Y DISCAPACIDAD'!D$3:$F$450,3,FALSE)="X","SI","NO"))),"")</f>
        <v>NO</v>
      </c>
      <c r="F278" s="287" t="s">
        <v>1236</v>
      </c>
      <c r="G278" s="288" t="s">
        <v>1025</v>
      </c>
      <c r="H278" s="288" t="s">
        <v>1234</v>
      </c>
      <c r="I278" s="289" t="s">
        <v>1240</v>
      </c>
      <c r="J278" s="286" t="s">
        <v>74</v>
      </c>
      <c r="K278" s="286" t="s">
        <v>74</v>
      </c>
      <c r="L278" s="286" t="s">
        <v>75</v>
      </c>
      <c r="M278" s="286" t="s">
        <v>74</v>
      </c>
      <c r="N278" s="125" t="str">
        <f t="shared" si="249"/>
        <v>SI</v>
      </c>
      <c r="O278" s="125" t="str">
        <f t="shared" si="255"/>
        <v>NO</v>
      </c>
      <c r="P278" s="125" t="str">
        <f t="shared" si="250"/>
        <v>SI</v>
      </c>
      <c r="Q278" s="125" t="str">
        <f t="shared" si="238"/>
        <v>SI</v>
      </c>
      <c r="R278" s="313">
        <v>1</v>
      </c>
      <c r="S278" s="314">
        <v>37253</v>
      </c>
      <c r="T278" s="315">
        <v>38352</v>
      </c>
      <c r="U278" s="125">
        <f t="shared" si="251"/>
        <v>2004</v>
      </c>
      <c r="V278" s="117">
        <f>IF(U278=2023,1160000,IFERROR(INDEX(SMMLV!$B$2:$B$101,MATCH(U278,SMMLV!$A$2:$A$101,0)),""))</f>
        <v>358000</v>
      </c>
      <c r="W278" s="342" t="s">
        <v>670</v>
      </c>
      <c r="X278" s="286" t="s">
        <v>1333</v>
      </c>
      <c r="Y278" s="288">
        <v>6</v>
      </c>
      <c r="Z278" s="509" t="s">
        <v>74</v>
      </c>
      <c r="AA278" s="510"/>
      <c r="AB278" s="511"/>
      <c r="AC278" s="125" t="str">
        <f t="shared" si="252"/>
        <v>SI</v>
      </c>
      <c r="AD278" s="117" t="str">
        <f t="shared" si="239"/>
        <v>N/A</v>
      </c>
      <c r="AE278" s="352">
        <v>29986.99</v>
      </c>
      <c r="AF278" s="117">
        <f t="shared" si="234"/>
        <v>29986.99</v>
      </c>
      <c r="AG278" s="470"/>
      <c r="AH278" s="470"/>
      <c r="AI278" s="125" t="str">
        <f t="shared" si="235"/>
        <v>CUMPLE</v>
      </c>
      <c r="AJ278" s="470"/>
      <c r="AK278" s="470"/>
      <c r="AL278" s="472"/>
      <c r="AM278" s="496"/>
      <c r="AN278" s="286" t="s">
        <v>75</v>
      </c>
      <c r="AO278" s="507"/>
      <c r="AP278" s="286" t="s">
        <v>74</v>
      </c>
      <c r="AQ278" s="490"/>
      <c r="AR278" s="522"/>
      <c r="AS278" s="519"/>
      <c r="AT278" s="204"/>
      <c r="AU278" s="659"/>
      <c r="AV278" s="662"/>
      <c r="AW278" s="561"/>
      <c r="AX278" s="665"/>
      <c r="AY278" s="19"/>
      <c r="CB278" s="29" t="str">
        <f>IFERROR(IF(COUNTIF(AF273:AF282,"")=10,"",IF(COUNTIF(E273:E282,"N/A")&gt;0,IF(AF278&gt;=CMEMM1,AF278,0),"N/A")),"")</f>
        <v>N/A</v>
      </c>
      <c r="CC278" s="4"/>
      <c r="CD278" s="4">
        <f>IFERROR(IF(COUNTIF(AF273:AF282,"")=10,"",IF(AF278="","",IF(AF278&gt;=CMEMM1,1,0))),"")</f>
        <v>1</v>
      </c>
      <c r="CE278" s="4" t="str">
        <f>B273&amp;"-0"&amp;6</f>
        <v>P28-06</v>
      </c>
      <c r="CF278" s="4">
        <f>IFERROR(INDEX('DESEMPATE Y DISCAPACIDAD'!$D$3:$D$450,MATCH(CE278,'DESEMPATE Y DISCAPACIDAD'!$C$3:$C$450,0)),"")</f>
        <v>0</v>
      </c>
      <c r="CG278" s="4">
        <f>IF(OR(CE278="",CF278=""),"",SUMIF(D273:D282,CF278,CD273:CD282))</f>
        <v>0</v>
      </c>
      <c r="CH278" s="4" t="str">
        <f t="shared" si="209"/>
        <v>NO CUMPLE</v>
      </c>
      <c r="CI278" s="4">
        <f t="shared" si="253"/>
        <v>0</v>
      </c>
      <c r="CJ278" s="4"/>
      <c r="CK278" s="4"/>
      <c r="CL278" s="4">
        <f t="shared" si="236"/>
        <v>1</v>
      </c>
      <c r="CM278" s="4">
        <f t="shared" si="237"/>
        <v>0</v>
      </c>
      <c r="CN278" s="4" t="str">
        <f t="shared" si="254"/>
        <v>COND. A</v>
      </c>
      <c r="CO278" s="4"/>
      <c r="CP278" s="4"/>
      <c r="CQ278" s="29" t="str">
        <f t="shared" si="225"/>
        <v>N/A</v>
      </c>
      <c r="CR278" s="29">
        <f t="shared" si="248"/>
        <v>29986.99</v>
      </c>
      <c r="CS278" s="4"/>
    </row>
    <row r="279" spans="1:97" ht="45" customHeight="1">
      <c r="B279" s="481"/>
      <c r="C279" s="118"/>
      <c r="D279" s="126" t="str">
        <f>+IFERROR(INDEX('DESEMPATE Y DISCAPACIDAD'!$D$3:$D$450,MATCH(C279,'DESEMPATE Y DISCAPACIDAD'!$C$3:$C$450,0)),"")</f>
        <v/>
      </c>
      <c r="E279" s="127" t="str">
        <f>IFERROR(IF(D279="","",IF(VLOOKUP(D279,'DESEMPATE Y DISCAPACIDAD'!D$3:$E$450,2,FALSE)=1,"N/A",IF(VLOOKUP(D279,'DESEMPATE Y DISCAPACIDAD'!D$3:$F$450,3,FALSE)="X","SI","NO"))),"")</f>
        <v/>
      </c>
      <c r="F279" s="286"/>
      <c r="G279" s="286"/>
      <c r="H279" s="286"/>
      <c r="I279" s="290"/>
      <c r="J279" s="286"/>
      <c r="K279" s="286"/>
      <c r="L279" s="286"/>
      <c r="M279" s="286"/>
      <c r="N279" s="125" t="str">
        <f t="shared" si="249"/>
        <v/>
      </c>
      <c r="O279" s="125" t="str">
        <f t="shared" si="255"/>
        <v/>
      </c>
      <c r="P279" s="125" t="str">
        <f t="shared" si="250"/>
        <v/>
      </c>
      <c r="Q279" s="125" t="str">
        <f t="shared" si="238"/>
        <v/>
      </c>
      <c r="R279" s="316"/>
      <c r="S279" s="317"/>
      <c r="T279" s="317"/>
      <c r="U279" s="125" t="str">
        <f t="shared" si="251"/>
        <v/>
      </c>
      <c r="V279" s="117" t="str">
        <f>IF(U279=2023,1160000,IFERROR(INDEX(SMMLV!$B$2:$B$101,MATCH(U279,SMMLV!$A$2:$A$101,0)),""))</f>
        <v/>
      </c>
      <c r="W279" s="343"/>
      <c r="X279" s="286"/>
      <c r="Y279" s="286"/>
      <c r="Z279" s="509"/>
      <c r="AA279" s="510"/>
      <c r="AB279" s="511"/>
      <c r="AC279" s="125" t="str">
        <f t="shared" si="252"/>
        <v/>
      </c>
      <c r="AD279" s="117" t="str">
        <f t="shared" si="239"/>
        <v/>
      </c>
      <c r="AE279" s="343" t="str">
        <f t="shared" ref="AE279:AE323" si="256">IFERROR(IF(OR(V279="",AD279=""),"",ROUND(AD279/V279,2)),"")</f>
        <v/>
      </c>
      <c r="AF279" s="117" t="str">
        <f t="shared" si="234"/>
        <v/>
      </c>
      <c r="AG279" s="470"/>
      <c r="AH279" s="470"/>
      <c r="AI279" s="125" t="str">
        <f t="shared" si="235"/>
        <v/>
      </c>
      <c r="AJ279" s="470"/>
      <c r="AK279" s="470"/>
      <c r="AL279" s="472"/>
      <c r="AM279" s="496"/>
      <c r="AN279" s="286"/>
      <c r="AO279" s="507"/>
      <c r="AP279" s="286"/>
      <c r="AQ279" s="490"/>
      <c r="AR279" s="522"/>
      <c r="AS279" s="519"/>
      <c r="AT279" s="204"/>
      <c r="AU279" s="659"/>
      <c r="AV279" s="662"/>
      <c r="AW279" s="561"/>
      <c r="AX279" s="665"/>
      <c r="AY279" s="19"/>
      <c r="CB279" s="29" t="str">
        <f>IFERROR(IF(COUNTIF(AF273:AF282,"")=10,"",IF(COUNTIF(E273:E282,"N/A")&gt;0,IF(AF279&gt;=CMEMM1,AF279,0),"N/A")),"")</f>
        <v>N/A</v>
      </c>
      <c r="CC279" s="4"/>
      <c r="CD279" s="4" t="str">
        <f>IFERROR(IF(COUNTIF(AF273:AF282,"")=10,"",IF(AF279="","",IF(AF279&gt;=CMEMM1,1,0))),"")</f>
        <v/>
      </c>
      <c r="CE279" s="4" t="str">
        <f>B273&amp;"-0"&amp;7</f>
        <v>P28-07</v>
      </c>
      <c r="CF279" s="4" t="str">
        <f>IFERROR(INDEX('DESEMPATE Y DISCAPACIDAD'!$D$3:$D$450,MATCH(CE279,'DESEMPATE Y DISCAPACIDAD'!$C$3:$C$450,0)),"")</f>
        <v/>
      </c>
      <c r="CG279" s="4" t="str">
        <f>IF(OR(CE279="",CF279=""),"",SUMIF(D273:D282,CF279,CD273:CD282))</f>
        <v/>
      </c>
      <c r="CH279" s="4" t="str">
        <f t="shared" si="209"/>
        <v/>
      </c>
      <c r="CI279" s="4" t="str">
        <f t="shared" si="253"/>
        <v/>
      </c>
      <c r="CJ279" s="4"/>
      <c r="CK279" s="4"/>
      <c r="CL279" s="4" t="str">
        <f t="shared" si="236"/>
        <v/>
      </c>
      <c r="CM279" s="4" t="str">
        <f t="shared" si="237"/>
        <v/>
      </c>
      <c r="CN279" s="4" t="str">
        <f t="shared" si="254"/>
        <v/>
      </c>
      <c r="CO279" s="4"/>
      <c r="CP279" s="4"/>
      <c r="CQ279" s="29" t="str">
        <f t="shared" si="225"/>
        <v/>
      </c>
      <c r="CR279" s="29" t="str">
        <f t="shared" si="248"/>
        <v/>
      </c>
      <c r="CS279" s="4"/>
    </row>
    <row r="280" spans="1:97" ht="45" customHeight="1">
      <c r="B280" s="481"/>
      <c r="C280" s="118"/>
      <c r="D280" s="126" t="str">
        <f>+IFERROR(INDEX('DESEMPATE Y DISCAPACIDAD'!$D$3:$D$450,MATCH(C280,'DESEMPATE Y DISCAPACIDAD'!$C$3:$C$450,0)),"")</f>
        <v/>
      </c>
      <c r="E280" s="127" t="str">
        <f>IFERROR(IF(D280="","",IF(VLOOKUP(D280,'DESEMPATE Y DISCAPACIDAD'!D$3:$E$450,2,FALSE)=1,"N/A",IF(VLOOKUP(D280,'DESEMPATE Y DISCAPACIDAD'!D$3:$F$450,3,FALSE)="X","SI","NO"))),"")</f>
        <v/>
      </c>
      <c r="F280" s="286"/>
      <c r="G280" s="286"/>
      <c r="H280" s="286"/>
      <c r="I280" s="290"/>
      <c r="J280" s="286"/>
      <c r="K280" s="286"/>
      <c r="L280" s="286"/>
      <c r="M280" s="286"/>
      <c r="N280" s="125" t="str">
        <f t="shared" si="249"/>
        <v/>
      </c>
      <c r="O280" s="125" t="str">
        <f t="shared" si="255"/>
        <v/>
      </c>
      <c r="P280" s="125" t="str">
        <f t="shared" si="250"/>
        <v/>
      </c>
      <c r="Q280" s="125" t="str">
        <f t="shared" si="238"/>
        <v/>
      </c>
      <c r="R280" s="316"/>
      <c r="S280" s="317"/>
      <c r="T280" s="317"/>
      <c r="U280" s="125" t="str">
        <f t="shared" si="251"/>
        <v/>
      </c>
      <c r="V280" s="117" t="str">
        <f>IF(U280=2023,1160000,IFERROR(INDEX(SMMLV!$B$2:$B$101,MATCH(U280,SMMLV!$A$2:$A$101,0)),""))</f>
        <v/>
      </c>
      <c r="W280" s="343"/>
      <c r="X280" s="286"/>
      <c r="Y280" s="286"/>
      <c r="Z280" s="509"/>
      <c r="AA280" s="510"/>
      <c r="AB280" s="511"/>
      <c r="AC280" s="125" t="str">
        <f t="shared" si="252"/>
        <v/>
      </c>
      <c r="AD280" s="117" t="str">
        <f t="shared" si="239"/>
        <v/>
      </c>
      <c r="AE280" s="343" t="str">
        <f t="shared" si="256"/>
        <v/>
      </c>
      <c r="AF280" s="117" t="str">
        <f t="shared" si="234"/>
        <v/>
      </c>
      <c r="AG280" s="470"/>
      <c r="AH280" s="470"/>
      <c r="AI280" s="125" t="str">
        <f t="shared" si="235"/>
        <v/>
      </c>
      <c r="AJ280" s="470"/>
      <c r="AK280" s="470"/>
      <c r="AL280" s="472"/>
      <c r="AM280" s="496"/>
      <c r="AN280" s="286"/>
      <c r="AO280" s="507"/>
      <c r="AP280" s="286"/>
      <c r="AQ280" s="490"/>
      <c r="AR280" s="522"/>
      <c r="AS280" s="519"/>
      <c r="AT280" s="204"/>
      <c r="AU280" s="659"/>
      <c r="AV280" s="662"/>
      <c r="AW280" s="561"/>
      <c r="AX280" s="665"/>
      <c r="AY280" s="19"/>
      <c r="CB280" s="29" t="str">
        <f>IFERROR(IF(COUNTIF(AF273:AF282,"")=10,"",IF(COUNTIF(E273:E282,"N/A")&gt;0,IF(AF280&gt;=CMEMM1,AF280,0),"N/A")),"")</f>
        <v>N/A</v>
      </c>
      <c r="CC280" s="4"/>
      <c r="CD280" s="4" t="str">
        <f>IFERROR(IF(COUNTIF(AF273:AF282,"")=10,"",IF(AF280="","",IF(AF280&gt;=CMEMM1,1,0))),"")</f>
        <v/>
      </c>
      <c r="CE280" s="4" t="str">
        <f>B273&amp;"-0"&amp;8</f>
        <v>P28-08</v>
      </c>
      <c r="CF280" s="4" t="str">
        <f>IFERROR(INDEX('DESEMPATE Y DISCAPACIDAD'!$D$3:$D$450,MATCH(CE280,'DESEMPATE Y DISCAPACIDAD'!$C$3:$C$450,0)),"")</f>
        <v/>
      </c>
      <c r="CG280" s="4" t="str">
        <f>IF(OR(CE280="",CF280=""),"",SUMIF(D273:D282,CF280,CD273:CD282))</f>
        <v/>
      </c>
      <c r="CH280" s="4" t="str">
        <f t="shared" si="209"/>
        <v/>
      </c>
      <c r="CI280" s="4" t="str">
        <f t="shared" si="253"/>
        <v/>
      </c>
      <c r="CJ280" s="4"/>
      <c r="CK280" s="4"/>
      <c r="CL280" s="4" t="str">
        <f t="shared" si="236"/>
        <v/>
      </c>
      <c r="CM280" s="4" t="str">
        <f t="shared" si="237"/>
        <v/>
      </c>
      <c r="CN280" s="4" t="str">
        <f t="shared" si="254"/>
        <v/>
      </c>
      <c r="CO280" s="4"/>
      <c r="CP280" s="4"/>
      <c r="CQ280" s="29" t="str">
        <f t="shared" si="225"/>
        <v/>
      </c>
      <c r="CR280" s="29" t="str">
        <f t="shared" si="248"/>
        <v/>
      </c>
      <c r="CS280" s="4"/>
    </row>
    <row r="281" spans="1:97" ht="45" customHeight="1">
      <c r="B281" s="481"/>
      <c r="C281" s="118"/>
      <c r="D281" s="126" t="str">
        <f>+IFERROR(INDEX('DESEMPATE Y DISCAPACIDAD'!$D$3:$D$450,MATCH(C281,'DESEMPATE Y DISCAPACIDAD'!$C$3:$C$450,0)),"")</f>
        <v/>
      </c>
      <c r="E281" s="127" t="str">
        <f>IFERROR(IF(D281="","",IF(VLOOKUP(D281,'DESEMPATE Y DISCAPACIDAD'!D$3:$E$450,2,FALSE)=1,"N/A",IF(VLOOKUP(D281,'DESEMPATE Y DISCAPACIDAD'!D$3:$F$450,3,FALSE)="X","SI","NO"))),"")</f>
        <v/>
      </c>
      <c r="F281" s="286"/>
      <c r="G281" s="286"/>
      <c r="H281" s="286"/>
      <c r="I281" s="290"/>
      <c r="J281" s="286"/>
      <c r="K281" s="286"/>
      <c r="L281" s="286"/>
      <c r="M281" s="286"/>
      <c r="N281" s="125" t="str">
        <f t="shared" si="249"/>
        <v/>
      </c>
      <c r="O281" s="125" t="str">
        <f t="shared" si="255"/>
        <v/>
      </c>
      <c r="P281" s="125" t="str">
        <f t="shared" si="250"/>
        <v/>
      </c>
      <c r="Q281" s="125" t="str">
        <f t="shared" si="238"/>
        <v/>
      </c>
      <c r="R281" s="316"/>
      <c r="S281" s="317"/>
      <c r="T281" s="317"/>
      <c r="U281" s="125" t="str">
        <f t="shared" si="251"/>
        <v/>
      </c>
      <c r="V281" s="117" t="str">
        <f>IF(U281=2023,1160000,IFERROR(INDEX(SMMLV!$B$2:$B$101,MATCH(U281,SMMLV!$A$2:$A$101,0)),""))</f>
        <v/>
      </c>
      <c r="W281" s="343"/>
      <c r="X281" s="286"/>
      <c r="Y281" s="286"/>
      <c r="Z281" s="509"/>
      <c r="AA281" s="510"/>
      <c r="AB281" s="511"/>
      <c r="AC281" s="125" t="str">
        <f t="shared" si="252"/>
        <v/>
      </c>
      <c r="AD281" s="117" t="str">
        <f t="shared" si="239"/>
        <v/>
      </c>
      <c r="AE281" s="343" t="str">
        <f t="shared" si="256"/>
        <v/>
      </c>
      <c r="AF281" s="117" t="str">
        <f t="shared" si="234"/>
        <v/>
      </c>
      <c r="AG281" s="470"/>
      <c r="AH281" s="470"/>
      <c r="AI281" s="125" t="str">
        <f t="shared" si="235"/>
        <v/>
      </c>
      <c r="AJ281" s="470"/>
      <c r="AK281" s="470"/>
      <c r="AL281" s="472"/>
      <c r="AM281" s="496"/>
      <c r="AN281" s="286"/>
      <c r="AO281" s="507"/>
      <c r="AP281" s="286"/>
      <c r="AQ281" s="490"/>
      <c r="AR281" s="522"/>
      <c r="AS281" s="519"/>
      <c r="AT281" s="204"/>
      <c r="AU281" s="659"/>
      <c r="AV281" s="662"/>
      <c r="AW281" s="561"/>
      <c r="AX281" s="665"/>
      <c r="AY281" s="19"/>
      <c r="CB281" s="29" t="str">
        <f>IFERROR(IF(COUNTIF(AF273:AF282,"")=10,"",IF(COUNTIF(E273:E282,"N/A")&gt;0,IF(AF281&gt;=CMEMM1,AF281,0),"N/A")),"")</f>
        <v>N/A</v>
      </c>
      <c r="CC281" s="4"/>
      <c r="CD281" s="4" t="str">
        <f>IFERROR(IF(COUNTIF(AF273:AF282,"")=10,"",IF(AF281="","",IF(AF281&gt;=CMEMM1,1,0))),"")</f>
        <v/>
      </c>
      <c r="CE281" s="4" t="str">
        <f>B273&amp;"-0"&amp;9</f>
        <v>P28-09</v>
      </c>
      <c r="CF281" s="4" t="str">
        <f>IFERROR(INDEX('DESEMPATE Y DISCAPACIDAD'!$D$3:$D$450,MATCH(CE281,'DESEMPATE Y DISCAPACIDAD'!$C$3:$C$450,0)),"")</f>
        <v/>
      </c>
      <c r="CG281" s="4" t="str">
        <f>IF(OR(CE281="",CF281=""),"",SUMIF(D273:D282,CF281,CD273:CD282))</f>
        <v/>
      </c>
      <c r="CH281" s="4" t="str">
        <f t="shared" si="209"/>
        <v/>
      </c>
      <c r="CI281" s="4" t="str">
        <f t="shared" si="253"/>
        <v/>
      </c>
      <c r="CJ281" s="4"/>
      <c r="CK281" s="4"/>
      <c r="CL281" s="4" t="str">
        <f t="shared" si="236"/>
        <v/>
      </c>
      <c r="CM281" s="4" t="str">
        <f t="shared" si="237"/>
        <v/>
      </c>
      <c r="CN281" s="4" t="str">
        <f t="shared" si="254"/>
        <v/>
      </c>
      <c r="CO281" s="4"/>
      <c r="CP281" s="4"/>
      <c r="CQ281" s="29" t="str">
        <f t="shared" si="225"/>
        <v/>
      </c>
      <c r="CR281" s="29" t="str">
        <f t="shared" si="248"/>
        <v/>
      </c>
      <c r="CS281" s="4"/>
    </row>
    <row r="282" spans="1:97" ht="45" customHeight="1" thickBot="1">
      <c r="B282" s="482"/>
      <c r="C282" s="130"/>
      <c r="D282" s="131" t="str">
        <f>+IFERROR(INDEX('DESEMPATE Y DISCAPACIDAD'!$D$3:$D$450,MATCH(C282,'DESEMPATE Y DISCAPACIDAD'!$C$3:$C$450,0)),"")</f>
        <v/>
      </c>
      <c r="E282" s="132" t="str">
        <f>IFERROR(IF(D282="","",IF(VLOOKUP(D282,'DESEMPATE Y DISCAPACIDAD'!D$3:$E$450,2,FALSE)=1,"N/A",IF(VLOOKUP(D282,'DESEMPATE Y DISCAPACIDAD'!D$3:$F$450,3,FALSE)="X","SI","NO"))),"")</f>
        <v/>
      </c>
      <c r="F282" s="291"/>
      <c r="G282" s="291"/>
      <c r="H282" s="291"/>
      <c r="I282" s="292"/>
      <c r="J282" s="291"/>
      <c r="K282" s="291"/>
      <c r="L282" s="291"/>
      <c r="M282" s="291"/>
      <c r="N282" s="133" t="str">
        <f t="shared" si="249"/>
        <v/>
      </c>
      <c r="O282" s="133" t="str">
        <f t="shared" si="255"/>
        <v/>
      </c>
      <c r="P282" s="133" t="str">
        <f t="shared" si="250"/>
        <v/>
      </c>
      <c r="Q282" s="133" t="str">
        <f t="shared" si="238"/>
        <v/>
      </c>
      <c r="R282" s="318"/>
      <c r="S282" s="319"/>
      <c r="T282" s="319"/>
      <c r="U282" s="133" t="str">
        <f t="shared" si="251"/>
        <v/>
      </c>
      <c r="V282" s="136" t="str">
        <f>IF(U282=2023,1160000,IFERROR(INDEX(SMMLV!$B$2:$B$101,MATCH(U282,SMMLV!$A$2:$A$101,0)),""))</f>
        <v/>
      </c>
      <c r="W282" s="344"/>
      <c r="X282" s="291"/>
      <c r="Y282" s="291"/>
      <c r="Z282" s="512"/>
      <c r="AA282" s="513"/>
      <c r="AB282" s="514"/>
      <c r="AC282" s="133" t="str">
        <f t="shared" si="252"/>
        <v/>
      </c>
      <c r="AD282" s="136" t="str">
        <f t="shared" si="239"/>
        <v/>
      </c>
      <c r="AE282" s="344" t="str">
        <f t="shared" si="256"/>
        <v/>
      </c>
      <c r="AF282" s="136" t="str">
        <f t="shared" si="234"/>
        <v/>
      </c>
      <c r="AG282" s="471"/>
      <c r="AH282" s="471"/>
      <c r="AI282" s="133" t="str">
        <f t="shared" si="235"/>
        <v/>
      </c>
      <c r="AJ282" s="471"/>
      <c r="AK282" s="471"/>
      <c r="AL282" s="473"/>
      <c r="AM282" s="497"/>
      <c r="AN282" s="291"/>
      <c r="AO282" s="508"/>
      <c r="AP282" s="291"/>
      <c r="AQ282" s="491"/>
      <c r="AR282" s="523"/>
      <c r="AS282" s="520"/>
      <c r="AT282" s="206"/>
      <c r="AU282" s="660"/>
      <c r="AV282" s="663"/>
      <c r="AW282" s="562"/>
      <c r="AX282" s="666"/>
      <c r="AY282" s="19"/>
      <c r="CB282" s="29" t="str">
        <f>IFERROR(IF(COUNTIF(AF273:AF282,"")=10,"",IF(COUNTIF(E273:E282,"N/A")&gt;0,IF(AF282&gt;=CMEMM1,AF282,0),"N/A")),"")</f>
        <v>N/A</v>
      </c>
      <c r="CC282" s="4"/>
      <c r="CD282" s="4" t="str">
        <f>IFERROR(IF(COUNTIF(AF273:AF282,"")=10,"",IF(AF282="","",IF(AF282&gt;=CMEMM1,1,0))),"")</f>
        <v/>
      </c>
      <c r="CE282" s="4" t="str">
        <f>B273&amp;"-"&amp;10</f>
        <v>P28-10</v>
      </c>
      <c r="CF282" s="4" t="str">
        <f>IFERROR(INDEX('DESEMPATE Y DISCAPACIDAD'!$D$3:$D$450,MATCH(CE282,'DESEMPATE Y DISCAPACIDAD'!$C$3:$C$450,0)),"")</f>
        <v/>
      </c>
      <c r="CG282" s="4" t="str">
        <f>IF(OR(CE282="",CF282=""),"",SUMIF(D273:D282,CF282,CD273:CD282))</f>
        <v/>
      </c>
      <c r="CH282" s="4" t="str">
        <f t="shared" si="209"/>
        <v/>
      </c>
      <c r="CI282" s="4" t="str">
        <f t="shared" si="253"/>
        <v/>
      </c>
      <c r="CJ282" s="4"/>
      <c r="CK282" s="4"/>
      <c r="CL282" s="4" t="str">
        <f t="shared" si="236"/>
        <v/>
      </c>
      <c r="CM282" s="4" t="str">
        <f t="shared" si="237"/>
        <v/>
      </c>
      <c r="CN282" s="4" t="str">
        <f t="shared" si="254"/>
        <v/>
      </c>
      <c r="CO282" s="4"/>
      <c r="CP282" s="4"/>
      <c r="CQ282" s="29" t="str">
        <f t="shared" si="225"/>
        <v/>
      </c>
      <c r="CR282" s="29" t="str">
        <f t="shared" si="248"/>
        <v/>
      </c>
      <c r="CS282" s="4"/>
    </row>
    <row r="283" spans="1:97" ht="45" customHeight="1">
      <c r="A283" s="4" t="str">
        <f>"A"&amp;B283</f>
        <v>AP29</v>
      </c>
      <c r="B283" s="480" t="s">
        <v>290</v>
      </c>
      <c r="C283" s="108" t="s">
        <v>392</v>
      </c>
      <c r="D283" s="119" t="str">
        <f>+IFERROR(INDEX('DESEMPATE Y DISCAPACIDAD'!$D$3:$D$450,MATCH(C283,'DESEMPATE Y DISCAPACIDAD'!$C$3:$C$450,0)),"")</f>
        <v>Incoplan SA</v>
      </c>
      <c r="E283" s="120" t="str">
        <f>IFERROR(IF(D283="","",IF(VLOOKUP(D283,'DESEMPATE Y DISCAPACIDAD'!D$3:$E$450,2,FALSE)=1,"N/A",IF(VLOOKUP(D283,'DESEMPATE Y DISCAPACIDAD'!D$3:$F$450,3,FALSE)="X","SI","NO"))),"")</f>
        <v>NO</v>
      </c>
      <c r="F283" s="379" t="s">
        <v>1241</v>
      </c>
      <c r="G283" s="379" t="s">
        <v>699</v>
      </c>
      <c r="H283" s="379" t="s">
        <v>1242</v>
      </c>
      <c r="I283" s="380" t="s">
        <v>1243</v>
      </c>
      <c r="J283" s="379" t="s">
        <v>74</v>
      </c>
      <c r="K283" s="726" t="s">
        <v>74</v>
      </c>
      <c r="L283" s="726" t="s">
        <v>75</v>
      </c>
      <c r="M283" s="726" t="s">
        <v>74</v>
      </c>
      <c r="N283" s="121" t="str">
        <f>IFERROR(IF(OR(J283="",K283=""),"",IF(J283="NO","NO",K283)),"")</f>
        <v>SI</v>
      </c>
      <c r="O283" s="121" t="str">
        <f>IFERROR(IF(OR(J283="",L283=""),"",IF(J283="NO","NO",L283)),"")</f>
        <v>NO</v>
      </c>
      <c r="P283" s="121" t="str">
        <f>IFERROR(IF(OR(J283="",M283=""),"",IF(J283="NO","NO",M283)),"")</f>
        <v>SI</v>
      </c>
      <c r="Q283" s="121" t="str">
        <f t="shared" si="238"/>
        <v>SI</v>
      </c>
      <c r="R283" s="320">
        <v>0.25</v>
      </c>
      <c r="S283" s="321">
        <v>42027</v>
      </c>
      <c r="T283" s="321">
        <v>43161</v>
      </c>
      <c r="U283" s="121">
        <f>IFERROR(IF(T283="","",YEAR(T283)),"")</f>
        <v>2018</v>
      </c>
      <c r="V283" s="124">
        <f>IF(U283=2023,1160000,IFERROR(INDEX(SMMLV!$B$2:$B$101,MATCH(U283,SMMLV!$A$2:$A$101,0)),""))</f>
        <v>781242</v>
      </c>
      <c r="W283" s="345" t="s">
        <v>670</v>
      </c>
      <c r="X283" s="293" t="s">
        <v>671</v>
      </c>
      <c r="Y283" s="293">
        <v>246</v>
      </c>
      <c r="Z283" s="667" t="s">
        <v>74</v>
      </c>
      <c r="AA283" s="668"/>
      <c r="AB283" s="669"/>
      <c r="AC283" s="121" t="str">
        <f>IFERROR(IF(Y283="","",IF(ISNUMBER(Y283),IF(COUNTIF(Z283,"SI")&gt;0,"SI","NO"),Y283)),"")</f>
        <v>SI</v>
      </c>
      <c r="AD283" s="124" t="str">
        <f t="shared" si="239"/>
        <v>N/A</v>
      </c>
      <c r="AE283" s="345">
        <v>25821.01</v>
      </c>
      <c r="AF283" s="124">
        <f t="shared" si="234"/>
        <v>6455.2524999999996</v>
      </c>
      <c r="AG283" s="486" t="str">
        <f>IFERROR(IF(COUNTIF(AF283:AF292,"")=10,"",IF(COUNTIF(E283:E292,"N/A")&gt;0,IF(SUM(CB283:CB292)&gt;=CMEM1,"CUMPLE","NO CUMPLE"),IF(SUM(AF283:AF292)&gt;=CMEM1,"CUMPLE","NO CUMPLE"))),"")</f>
        <v>CUMPLE</v>
      </c>
      <c r="AH283" s="486" t="str">
        <f>IF(COUNTIF(AF283:AF292,"")=10,"",IF(SUMIF(C283:C292,C283,AF283:AF292)&gt;=CMLM1,"CUMPLE",IF(SUMIF(C283:C292,C284,AF283:AF292)&gt;=CMLM1,"CUMPLE",IF(SUMIF(C283:C292,C285,AF283:AF292)&gt;=CMLM1,"CUMPLE",IF(SUMIF(C283:C292,C286,AF283:AF292)&gt;=CMLM1,"CUMPLE",IF(SUMIF(C283:C292,C287,AF283:AF292)&gt;=CMLM1,"CUMPLE",IF(SUMIF(C283:C292,C288,AF283:AF292)&gt;=CMLM1,"CUMPLE",IF(SUMIF(C283:C292,C289,AF283:AF292)&gt;=CMLM1,"CUMPLE",IF(SUMIF(C283:C292,C290,AF283:AF292)&gt;=CMLM1,"CUMPLE",IF(SUMIF(C283:C292,C291,AF283:AF292)&gt;=CMLM1,"CUMPLE",IF(SUMIF(C283:C292,C292,AF283:AF292)&gt;=CMLM1,"CUMPLE","NO CUMPLE")))))))))))</f>
        <v>CUMPLE</v>
      </c>
      <c r="AI283" s="121" t="str">
        <f t="shared" si="235"/>
        <v>CUMPLE</v>
      </c>
      <c r="AJ283" s="469" t="str">
        <f>IFERROR(IF(COUNTIF(AF283:AF292,"")=10,"",IF(COUNTIF(E283:E292,"N/A")&gt;0,"N/A",CJ283)),"")</f>
        <v>CUMPLE</v>
      </c>
      <c r="AK283" s="469" t="str">
        <f>IFERROR(IF(AND(COUNTIF(N283:N292,"SI")&gt;=1,COUNTIF(O283:O292,"SI")&gt;=1,COUNTIF(P283:P292,"SI")&gt;=1,COUNTIF(J283:J292,"SI")&lt;=10,CO283="CUMPLE"),"CUMPLE","NO CUMPLE"),"")</f>
        <v>CUMPLE</v>
      </c>
      <c r="AL283" s="527" t="s">
        <v>77</v>
      </c>
      <c r="AM283" s="504">
        <f>IFERROR(IF(B283&lt;&gt;"",IF(VLOOKUP(B283,'DESEMPATE Y DISCAPACIDAD'!$A$3:$Q$450,10,FALSE)="","",VLOOKUP(B283,'DESEMPATE Y DISCAPACIDAD'!$A$3:$Q$450,10,FALSE)+6),""),"")</f>
        <v>8</v>
      </c>
      <c r="AN283" s="728" t="s">
        <v>75</v>
      </c>
      <c r="AO283" s="673" t="s">
        <v>74</v>
      </c>
      <c r="AP283" s="728" t="s">
        <v>74</v>
      </c>
      <c r="AQ283" s="498">
        <f>IFERROR(IF(COUNTIF(AP283:AP292,"")=10,"",IF(AO283="NO",0,COUNTIF(AP283:AP292,"SI"))),"")</f>
        <v>4</v>
      </c>
      <c r="AR283" s="599">
        <f>IFERROR(IF(COUNTIF(AF283:AF292,"")=10,"",IF(AO283="NO",0,IF(COUNTIF(E283:E292,"N/A")&gt;0,SUM(CQ283:CQ292),SUM(CR283:CR292)))),"")</f>
        <v>108193.09349999999</v>
      </c>
      <c r="AS283" s="586">
        <f>IFERROR(IF(OR(COUNTIF(AF283:AF292,"")=10,AQ283="",AR283=""),"",IF(AO283="NO",0,AR283/AQ283)),"")</f>
        <v>27048.273374999997</v>
      </c>
      <c r="AT283" s="207"/>
      <c r="AU283" s="658" t="s">
        <v>1221</v>
      </c>
      <c r="AV283" s="670" t="s">
        <v>747</v>
      </c>
      <c r="AW283" s="560" t="s">
        <v>1357</v>
      </c>
      <c r="AX283" s="560" t="s">
        <v>1391</v>
      </c>
      <c r="AY283" s="19"/>
      <c r="CB283" s="29" t="str">
        <f>IFERROR(IF(COUNTIF(AF283:AF292,"")=10,"",IF(COUNTIF(E283:E292,"N/A")&gt;0,IF(AF283&gt;=CMEMM1,AF283,0),"N/A")),"")</f>
        <v>N/A</v>
      </c>
      <c r="CC283" s="4"/>
      <c r="CD283" s="4">
        <f>IFERROR(IF(COUNTIF(AF283:AF292,"")=10,"",IF(AF283="","",IF(AF283&gt;=CMEMM1,1,0))),"")</f>
        <v>1</v>
      </c>
      <c r="CE283" s="4" t="str">
        <f>B283&amp;"-0"&amp;1</f>
        <v>P29-01</v>
      </c>
      <c r="CF283" s="4" t="str">
        <f>IFERROR(INDEX('DESEMPATE Y DISCAPACIDAD'!$D$3:$D$450,MATCH(CE283,'DESEMPATE Y DISCAPACIDAD'!$C$3:$C$450,0)),"")</f>
        <v>Incoplan SA</v>
      </c>
      <c r="CG283" s="4">
        <f>IF(OR(CE283="",CF283=""),"",SUMIF(D283:D292,CF283,CD283:CD292))</f>
        <v>2</v>
      </c>
      <c r="CH283" s="4" t="str">
        <f t="shared" si="209"/>
        <v>CUMPLE</v>
      </c>
      <c r="CI283" s="4">
        <f>IF(CF283="","",IF(ISTEXT(CF283),1,0))</f>
        <v>1</v>
      </c>
      <c r="CJ283" s="4" t="str">
        <f>IF(OR(CD283="",CE283="",CF283="",CG283="",CH283="",CI283=""),"",IF(COUNTIF(CH283:CH292,"CUMPLE")=COUNTIF(CI283:CI292,1),"CUMPLE","NO CUMPLE"))</f>
        <v>CUMPLE</v>
      </c>
      <c r="CK283" s="4"/>
      <c r="CL283" s="4">
        <f t="shared" si="236"/>
        <v>1</v>
      </c>
      <c r="CM283" s="4">
        <f t="shared" si="237"/>
        <v>0</v>
      </c>
      <c r="CN283" s="4" t="str">
        <f>IF(OR(CL283="",CM283=""),"",IF(AND(CL283=0,CM283=0),"N/A",IF(AND(CL283=1,CM283=0),"COND. A",IF(AND(CL283=0,CM283=1),"COND. B",IF(AND(CL283=1,CM283=1),"COND. A Y B","")))))</f>
        <v>COND. A</v>
      </c>
      <c r="CO283" s="4" t="str">
        <f>IF(COUNTIF(CN283:CN292,"N/A")=10,"NO CUMPLE",IF(COUNTIF(CN283:CN292,"COND. A Y B")&gt;1,"CUMPLE",IF(AND(COUNTIF(CN283:CN292,"COND. A")&gt;0,COUNTIF(CN283:CN292,"COND. B")&gt;0),"CUMPLE",IF(AND(COUNTIF(CN283:CN292,"COND. A Y B")&gt;0,COUNTIF(CN283:CN292,"COND. A")&gt;0),"CUMPLE",IF(AND(COUNTIF(CN283:CN292,"COND. A Y B")&gt;0,COUNTIF(CN283:CN292,"COND. B")&gt;0),"CUMPLE","NO CUMPLE")))))</f>
        <v>CUMPLE</v>
      </c>
      <c r="CP283" s="4"/>
      <c r="CQ283" s="29" t="str">
        <f t="shared" si="225"/>
        <v>N/A</v>
      </c>
      <c r="CR283" s="29">
        <f t="shared" si="248"/>
        <v>6455.2524999999996</v>
      </c>
      <c r="CS283" s="4"/>
    </row>
    <row r="284" spans="1:97" ht="45" customHeight="1">
      <c r="B284" s="481"/>
      <c r="C284" s="118" t="s">
        <v>393</v>
      </c>
      <c r="D284" s="119" t="str">
        <f>+IFERROR(INDEX('DESEMPATE Y DISCAPACIDAD'!$D$3:$D$450,MATCH(C284,'DESEMPATE Y DISCAPACIDAD'!$C$3:$C$450,0)),"")</f>
        <v>SEG</v>
      </c>
      <c r="E284" s="120" t="str">
        <f>IFERROR(IF(D284="","",IF(VLOOKUP(D284,'DESEMPATE Y DISCAPACIDAD'!D$3:$E$450,2,FALSE)=1,"N/A",IF(VLOOKUP(D284,'DESEMPATE Y DISCAPACIDAD'!D$3:$F$450,3,FALSE)="X","SI","NO"))),"")</f>
        <v>NO</v>
      </c>
      <c r="F284" s="381" t="s">
        <v>1241</v>
      </c>
      <c r="G284" s="381" t="s">
        <v>699</v>
      </c>
      <c r="H284" s="382" t="s">
        <v>1242</v>
      </c>
      <c r="I284" s="383" t="s">
        <v>1243</v>
      </c>
      <c r="J284" s="382" t="s">
        <v>74</v>
      </c>
      <c r="K284" s="727"/>
      <c r="L284" s="727"/>
      <c r="M284" s="727"/>
      <c r="N284" s="121" t="str">
        <f t="shared" ref="N284:N292" si="257">IFERROR(IF(OR(J284="",K284=""),"",IF(J284="NO","NO",K284)),"")</f>
        <v/>
      </c>
      <c r="O284" s="121" t="str">
        <f>IFERROR(IF(OR(J284="",L284=""),"",IF(J284="NO","NO",L284)),"")</f>
        <v/>
      </c>
      <c r="P284" s="121" t="str">
        <f t="shared" ref="P284:P292" si="258">IFERROR(IF(OR(J284="",M284=""),"",IF(J284="NO","NO",M284)),"")</f>
        <v/>
      </c>
      <c r="Q284" s="121" t="str">
        <f t="shared" si="238"/>
        <v>SI</v>
      </c>
      <c r="R284" s="322">
        <v>0.75</v>
      </c>
      <c r="S284" s="323">
        <v>42027</v>
      </c>
      <c r="T284" s="323">
        <v>43161</v>
      </c>
      <c r="U284" s="121">
        <f t="shared" ref="U284:U292" si="259">IFERROR(IF(T284="","",YEAR(T284)),"")</f>
        <v>2018</v>
      </c>
      <c r="V284" s="124">
        <f>IF(U284=2023,1160000,IFERROR(INDEX(SMMLV!$B$2:$B$101,MATCH(U284,SMMLV!$A$2:$A$101,0)),""))</f>
        <v>781242</v>
      </c>
      <c r="W284" s="342" t="s">
        <v>670</v>
      </c>
      <c r="X284" s="286" t="s">
        <v>671</v>
      </c>
      <c r="Y284" s="286">
        <v>130</v>
      </c>
      <c r="Z284" s="509" t="s">
        <v>74</v>
      </c>
      <c r="AA284" s="510"/>
      <c r="AB284" s="511"/>
      <c r="AC284" s="125" t="str">
        <f t="shared" ref="AC284:AC292" si="260">IFERROR(IF(Y284="","",IF(ISNUMBER(Y284),IF(COUNTIF(Z284,"SI")&gt;0,"SI","NO"),Y284)),"")</f>
        <v>SI</v>
      </c>
      <c r="AD284" s="117" t="str">
        <f t="shared" si="239"/>
        <v>N/A</v>
      </c>
      <c r="AE284" s="343">
        <v>25821.01</v>
      </c>
      <c r="AF284" s="117">
        <f t="shared" si="234"/>
        <v>19365.7575</v>
      </c>
      <c r="AG284" s="470"/>
      <c r="AH284" s="470"/>
      <c r="AI284" s="125" t="str">
        <f t="shared" si="235"/>
        <v>CUMPLE</v>
      </c>
      <c r="AJ284" s="470"/>
      <c r="AK284" s="470"/>
      <c r="AL284" s="527"/>
      <c r="AM284" s="505"/>
      <c r="AN284" s="729"/>
      <c r="AO284" s="674"/>
      <c r="AP284" s="729"/>
      <c r="AQ284" s="498"/>
      <c r="AR284" s="600"/>
      <c r="AS284" s="587"/>
      <c r="AT284" s="204"/>
      <c r="AU284" s="659"/>
      <c r="AV284" s="671"/>
      <c r="AW284" s="561"/>
      <c r="AX284" s="561"/>
      <c r="AY284" s="19"/>
      <c r="CB284" s="29" t="str">
        <f>IFERROR(IF(COUNTIF(AF283:AF292,"")=10,"",IF(COUNTIF(E283:E292,"N/A")&gt;0,IF(AF284&gt;=CMEMM1,AF284,0),"N/A")),"")</f>
        <v>N/A</v>
      </c>
      <c r="CC284" s="4"/>
      <c r="CD284" s="4">
        <f>IFERROR(IF(COUNTIF(AF283:AF292,"")=10,"",IF(AF284="","",IF(AF284&gt;=CMEMM1,1,0))),"")</f>
        <v>1</v>
      </c>
      <c r="CE284" s="4" t="str">
        <f>B283&amp;"-0"&amp;2</f>
        <v>P29-02</v>
      </c>
      <c r="CF284" s="4" t="str">
        <f>IFERROR(INDEX('DESEMPATE Y DISCAPACIDAD'!$D$3:$D$450,MATCH(CE284,'DESEMPATE Y DISCAPACIDAD'!$C$3:$C$450,0)),"")</f>
        <v>SEG</v>
      </c>
      <c r="CG284" s="4">
        <f>IF(OR(CE284="",CF284=""),"",SUMIF(D283:D292,CF284,CD283:CD292))</f>
        <v>1</v>
      </c>
      <c r="CH284" s="4" t="str">
        <f t="shared" si="209"/>
        <v>CUMPLE</v>
      </c>
      <c r="CI284" s="4">
        <f t="shared" ref="CI284:CI292" si="261">IF(CF284="","",IF(ISTEXT(CF284),1,0))</f>
        <v>1</v>
      </c>
      <c r="CJ284" s="4"/>
      <c r="CK284" s="4"/>
      <c r="CL284" s="4" t="str">
        <f t="shared" si="236"/>
        <v/>
      </c>
      <c r="CM284" s="4" t="str">
        <f t="shared" si="237"/>
        <v/>
      </c>
      <c r="CN284" s="4" t="str">
        <f t="shared" ref="CN284:CN292" si="262">IF(OR(CL284="",CM284=""),"",IF(AND(CL284=0,CM284=0),"N/A",IF(AND(CL284=1,CM284=0),"COND. A",IF(AND(CL284=0,CM284=1),"COND. B",IF(AND(CL284=1,CM284=1),"COND. A Y B","")))))</f>
        <v/>
      </c>
      <c r="CO284" s="4"/>
      <c r="CP284" s="4"/>
      <c r="CQ284" s="29" t="str">
        <f t="shared" si="225"/>
        <v/>
      </c>
      <c r="CR284" s="29">
        <f>IF(OR(AN283="",AF284=""),"",IF(AN283="NO",AF284,0))</f>
        <v>19365.7575</v>
      </c>
      <c r="CS284" s="4"/>
    </row>
    <row r="285" spans="1:97" ht="45" customHeight="1">
      <c r="B285" s="481"/>
      <c r="C285" s="118" t="s">
        <v>394</v>
      </c>
      <c r="D285" s="126" t="str">
        <f>+IFERROR(INDEX('DESEMPATE Y DISCAPACIDAD'!$D$3:$D$450,MATCH(C285,'DESEMPATE Y DISCAPACIDAD'!$C$3:$C$450,0)),"")</f>
        <v>Saitec</v>
      </c>
      <c r="E285" s="127" t="str">
        <f>IFERROR(IF(D285="","",IF(VLOOKUP(D285,'DESEMPATE Y DISCAPACIDAD'!D$3:$E$450,2,FALSE)=1,"N/A",IF(VLOOKUP(D285,'DESEMPATE Y DISCAPACIDAD'!D$3:$F$450,3,FALSE)="X","SI","NO"))),"")</f>
        <v>NO</v>
      </c>
      <c r="F285" s="284" t="s">
        <v>1244</v>
      </c>
      <c r="G285" s="284" t="s">
        <v>703</v>
      </c>
      <c r="H285" s="286" t="s">
        <v>1245</v>
      </c>
      <c r="I285" s="290" t="s">
        <v>1246</v>
      </c>
      <c r="J285" s="286" t="s">
        <v>74</v>
      </c>
      <c r="K285" s="286" t="s">
        <v>75</v>
      </c>
      <c r="L285" s="286" t="s">
        <v>75</v>
      </c>
      <c r="M285" s="286" t="s">
        <v>74</v>
      </c>
      <c r="N285" s="125" t="str">
        <f t="shared" si="257"/>
        <v>NO</v>
      </c>
      <c r="O285" s="125" t="str">
        <f>IFERROR(IF(OR(J285="",L285=""),"",IF(J285="NO","NO",L285)),"")</f>
        <v>NO</v>
      </c>
      <c r="P285" s="125" t="str">
        <f t="shared" si="258"/>
        <v>SI</v>
      </c>
      <c r="Q285" s="125" t="str">
        <f t="shared" si="238"/>
        <v>SI</v>
      </c>
      <c r="R285" s="316">
        <v>1</v>
      </c>
      <c r="S285" s="317">
        <v>39234</v>
      </c>
      <c r="T285" s="317">
        <v>43646</v>
      </c>
      <c r="U285" s="125">
        <f t="shared" si="259"/>
        <v>2019</v>
      </c>
      <c r="V285" s="117">
        <f>IF(U285=2023,1160000,IFERROR(INDEX(SMMLV!$B$2:$B$101,MATCH(U285,SMMLV!$A$2:$A$101,0)),""))</f>
        <v>828116</v>
      </c>
      <c r="W285" s="343" t="s">
        <v>670</v>
      </c>
      <c r="X285" s="286" t="s">
        <v>1334</v>
      </c>
      <c r="Y285" s="286">
        <v>21</v>
      </c>
      <c r="Z285" s="509" t="s">
        <v>74</v>
      </c>
      <c r="AA285" s="510"/>
      <c r="AB285" s="511"/>
      <c r="AC285" s="125" t="str">
        <f t="shared" si="260"/>
        <v>SI</v>
      </c>
      <c r="AD285" s="117" t="str">
        <f t="shared" si="239"/>
        <v>N/A</v>
      </c>
      <c r="AE285" s="343">
        <v>73055.33</v>
      </c>
      <c r="AF285" s="117">
        <f t="shared" si="234"/>
        <v>73055.33</v>
      </c>
      <c r="AG285" s="470"/>
      <c r="AH285" s="470"/>
      <c r="AI285" s="125" t="str">
        <f t="shared" si="235"/>
        <v>CUMPLE</v>
      </c>
      <c r="AJ285" s="470"/>
      <c r="AK285" s="470"/>
      <c r="AL285" s="527"/>
      <c r="AM285" s="505"/>
      <c r="AN285" s="381" t="s">
        <v>75</v>
      </c>
      <c r="AO285" s="674"/>
      <c r="AP285" s="381" t="s">
        <v>74</v>
      </c>
      <c r="AQ285" s="498"/>
      <c r="AR285" s="600"/>
      <c r="AS285" s="587"/>
      <c r="AT285" s="204"/>
      <c r="AU285" s="659"/>
      <c r="AV285" s="671"/>
      <c r="AW285" s="561"/>
      <c r="AX285" s="561"/>
      <c r="AY285" s="19"/>
      <c r="CB285" s="29" t="str">
        <f>IFERROR(IF(COUNTIF(AF283:AF292,"")=10,"",IF(COUNTIF(E283:E292,"N/A")&gt;0,IF(AF285&gt;=CMEMM1,AF285,0),"N/A")),"")</f>
        <v>N/A</v>
      </c>
      <c r="CC285" s="4"/>
      <c r="CD285" s="4">
        <f>IFERROR(IF(COUNTIF(AF283:AF292,"")=10,"",IF(AF285="","",IF(AF285&gt;=CMEMM1,1,0))),"")</f>
        <v>1</v>
      </c>
      <c r="CE285" s="4" t="str">
        <f>B283&amp;"-0"&amp;3</f>
        <v>P29-03</v>
      </c>
      <c r="CF285" s="4" t="str">
        <f>IFERROR(INDEX('DESEMPATE Y DISCAPACIDAD'!$D$3:$D$450,MATCH(CE285,'DESEMPATE Y DISCAPACIDAD'!$C$3:$C$450,0)),"")</f>
        <v>Saitec</v>
      </c>
      <c r="CG285" s="4">
        <f>IF(OR(CE285="",CF285=""),"",SUMIF(D283:D292,CF285,CD283:CD292))</f>
        <v>1</v>
      </c>
      <c r="CH285" s="4" t="str">
        <f t="shared" si="209"/>
        <v>CUMPLE</v>
      </c>
      <c r="CI285" s="4">
        <f t="shared" si="261"/>
        <v>1</v>
      </c>
      <c r="CJ285" s="4"/>
      <c r="CK285" s="4"/>
      <c r="CL285" s="4">
        <f t="shared" si="236"/>
        <v>0</v>
      </c>
      <c r="CM285" s="4">
        <f t="shared" si="237"/>
        <v>0</v>
      </c>
      <c r="CN285" s="4" t="str">
        <f t="shared" si="262"/>
        <v>N/A</v>
      </c>
      <c r="CO285" s="4"/>
      <c r="CP285" s="4"/>
      <c r="CQ285" s="29" t="str">
        <f t="shared" si="225"/>
        <v>N/A</v>
      </c>
      <c r="CR285" s="29">
        <f t="shared" si="248"/>
        <v>73055.33</v>
      </c>
      <c r="CS285" s="4"/>
    </row>
    <row r="286" spans="1:97" ht="45" customHeight="1">
      <c r="B286" s="481"/>
      <c r="C286" s="118" t="s">
        <v>392</v>
      </c>
      <c r="D286" s="126" t="str">
        <f>+IFERROR(INDEX('DESEMPATE Y DISCAPACIDAD'!$D$3:$D$450,MATCH(C286,'DESEMPATE Y DISCAPACIDAD'!$C$3:$C$450,0)),"")</f>
        <v>Incoplan SA</v>
      </c>
      <c r="E286" s="127" t="str">
        <f>IFERROR(IF(D286="","",IF(VLOOKUP(D286,'DESEMPATE Y DISCAPACIDAD'!D$3:$E$450,2,FALSE)=1,"N/A",IF(VLOOKUP(D286,'DESEMPATE Y DISCAPACIDAD'!D$3:$F$450,3,FALSE)="X","SI","NO"))),"")</f>
        <v>NO</v>
      </c>
      <c r="F286" s="282" t="s">
        <v>698</v>
      </c>
      <c r="G286" s="286" t="s">
        <v>699</v>
      </c>
      <c r="H286" s="286" t="s">
        <v>1247</v>
      </c>
      <c r="I286" s="290" t="s">
        <v>1248</v>
      </c>
      <c r="J286" s="286" t="s">
        <v>74</v>
      </c>
      <c r="K286" s="286" t="s">
        <v>75</v>
      </c>
      <c r="L286" s="286" t="s">
        <v>74</v>
      </c>
      <c r="M286" s="286" t="s">
        <v>74</v>
      </c>
      <c r="N286" s="125" t="str">
        <f t="shared" si="257"/>
        <v>NO</v>
      </c>
      <c r="O286" s="125" t="str">
        <f>IFERROR(IF(OR(J286="",L286=""),"",IF(J286="NO","NO",L286)),"")</f>
        <v>SI</v>
      </c>
      <c r="P286" s="125" t="str">
        <f t="shared" si="258"/>
        <v>SI</v>
      </c>
      <c r="Q286" s="125" t="str">
        <f t="shared" si="238"/>
        <v>SI</v>
      </c>
      <c r="R286" s="316">
        <v>0.45</v>
      </c>
      <c r="S286" s="317">
        <v>40954</v>
      </c>
      <c r="T286" s="317">
        <v>44149</v>
      </c>
      <c r="U286" s="125">
        <f t="shared" si="259"/>
        <v>2020</v>
      </c>
      <c r="V286" s="117">
        <f>IF(U286=2023,1160000,IFERROR(INDEX(SMMLV!$B$2:$B$101,MATCH(U286,SMMLV!$A$2:$A$101,0)),""))</f>
        <v>877803</v>
      </c>
      <c r="W286" s="343" t="s">
        <v>670</v>
      </c>
      <c r="X286" s="286" t="s">
        <v>671</v>
      </c>
      <c r="Y286" s="286">
        <v>297</v>
      </c>
      <c r="Z286" s="509" t="s">
        <v>74</v>
      </c>
      <c r="AA286" s="510"/>
      <c r="AB286" s="511"/>
      <c r="AC286" s="125" t="str">
        <f t="shared" si="260"/>
        <v>SI</v>
      </c>
      <c r="AD286" s="117" t="str">
        <f t="shared" si="239"/>
        <v>N/A</v>
      </c>
      <c r="AE286" s="343">
        <v>17199.97</v>
      </c>
      <c r="AF286" s="117">
        <f t="shared" si="234"/>
        <v>7739.9865000000009</v>
      </c>
      <c r="AG286" s="470"/>
      <c r="AH286" s="470"/>
      <c r="AI286" s="125" t="str">
        <f t="shared" si="235"/>
        <v>CUMPLE</v>
      </c>
      <c r="AJ286" s="470"/>
      <c r="AK286" s="470"/>
      <c r="AL286" s="527"/>
      <c r="AM286" s="505"/>
      <c r="AN286" s="381" t="s">
        <v>75</v>
      </c>
      <c r="AO286" s="674"/>
      <c r="AP286" s="381" t="s">
        <v>74</v>
      </c>
      <c r="AQ286" s="498"/>
      <c r="AR286" s="600"/>
      <c r="AS286" s="587"/>
      <c r="AT286" s="204"/>
      <c r="AU286" s="659"/>
      <c r="AV286" s="671"/>
      <c r="AW286" s="561"/>
      <c r="AX286" s="561"/>
      <c r="AY286" s="19"/>
      <c r="CB286" s="29" t="str">
        <f>IFERROR(IF(COUNTIF(AF283:AF292,"")=10,"",IF(COUNTIF(E283:E292,"N/A")&gt;0,IF(AF286&gt;=CMEMM1,AF286,0),"N/A")),"")</f>
        <v>N/A</v>
      </c>
      <c r="CC286" s="4"/>
      <c r="CD286" s="4">
        <f>IFERROR(IF(COUNTIF(AF283:AF292,"")=10,"",IF(AF286="","",IF(AF286&gt;=CMEMM1,1,0))),"")</f>
        <v>1</v>
      </c>
      <c r="CE286" s="4" t="str">
        <f>B283&amp;"-0"&amp;4</f>
        <v>P29-04</v>
      </c>
      <c r="CF286" s="4">
        <f>IFERROR(INDEX('DESEMPATE Y DISCAPACIDAD'!$D$3:$D$450,MATCH(CE286,'DESEMPATE Y DISCAPACIDAD'!$C$3:$C$450,0)),"")</f>
        <v>0</v>
      </c>
      <c r="CG286" s="4">
        <f>IF(OR(CE286="",CF286=""),"",SUMIF(D283:D292,CF286,CD283:CD292))</f>
        <v>0</v>
      </c>
      <c r="CH286" s="4" t="str">
        <f t="shared" si="209"/>
        <v>NO CUMPLE</v>
      </c>
      <c r="CI286" s="4">
        <f t="shared" si="261"/>
        <v>0</v>
      </c>
      <c r="CJ286" s="4"/>
      <c r="CK286" s="4"/>
      <c r="CL286" s="4">
        <f t="shared" si="236"/>
        <v>0</v>
      </c>
      <c r="CM286" s="4">
        <f t="shared" si="237"/>
        <v>1</v>
      </c>
      <c r="CN286" s="4" t="str">
        <f t="shared" si="262"/>
        <v>COND. B</v>
      </c>
      <c r="CO286" s="4"/>
      <c r="CP286" s="4"/>
      <c r="CQ286" s="29" t="str">
        <f t="shared" si="225"/>
        <v>N/A</v>
      </c>
      <c r="CR286" s="29">
        <f t="shared" si="248"/>
        <v>7739.9865000000009</v>
      </c>
      <c r="CS286" s="4"/>
    </row>
    <row r="287" spans="1:97" ht="45" customHeight="1">
      <c r="B287" s="481"/>
      <c r="C287" s="118" t="s">
        <v>394</v>
      </c>
      <c r="D287" s="126" t="str">
        <f>+IFERROR(INDEX('DESEMPATE Y DISCAPACIDAD'!$D$3:$D$450,MATCH(C287,'DESEMPATE Y DISCAPACIDAD'!$C$3:$C$450,0)),"")</f>
        <v>Saitec</v>
      </c>
      <c r="E287" s="127" t="str">
        <f>IFERROR(IF(D287="","",IF(VLOOKUP(D287,'DESEMPATE Y DISCAPACIDAD'!D$3:$E$450,2,FALSE)=1,"N/A",IF(VLOOKUP(D287,'DESEMPATE Y DISCAPACIDAD'!D$3:$F$450,3,FALSE)="X","SI","NO"))),"")</f>
        <v>NO</v>
      </c>
      <c r="F287" s="286" t="s">
        <v>1249</v>
      </c>
      <c r="G287" s="284" t="s">
        <v>703</v>
      </c>
      <c r="H287" s="286" t="s">
        <v>670</v>
      </c>
      <c r="I287" s="290" t="s">
        <v>1250</v>
      </c>
      <c r="J287" s="433" t="s">
        <v>75</v>
      </c>
      <c r="K287" s="286" t="s">
        <v>75</v>
      </c>
      <c r="L287" s="286" t="s">
        <v>75</v>
      </c>
      <c r="M287" s="286" t="s">
        <v>75</v>
      </c>
      <c r="N287" s="125" t="str">
        <f t="shared" si="257"/>
        <v>NO</v>
      </c>
      <c r="O287" s="125" t="str">
        <f t="shared" ref="O287:O292" si="263">IFERROR(IF(OR(J287="",L287=""),"",IF(J287="NO","NO",L287)),"")</f>
        <v>NO</v>
      </c>
      <c r="P287" s="125" t="str">
        <f t="shared" si="258"/>
        <v>NO</v>
      </c>
      <c r="Q287" s="125" t="str">
        <f t="shared" si="238"/>
        <v>SI</v>
      </c>
      <c r="R287" s="316">
        <v>1</v>
      </c>
      <c r="S287" s="317">
        <v>39204</v>
      </c>
      <c r="T287" s="317">
        <v>39631</v>
      </c>
      <c r="U287" s="125">
        <f t="shared" si="259"/>
        <v>2008</v>
      </c>
      <c r="V287" s="117">
        <f>IF(U287=2023,1160000,IFERROR(INDEX(SMMLV!$B$2:$B$101,MATCH(U287,SMMLV!$A$2:$A$101,0)),""))</f>
        <v>461500</v>
      </c>
      <c r="W287" s="343" t="s">
        <v>670</v>
      </c>
      <c r="X287" s="286" t="s">
        <v>1334</v>
      </c>
      <c r="Y287" s="286">
        <v>27</v>
      </c>
      <c r="Z287" s="509" t="s">
        <v>74</v>
      </c>
      <c r="AA287" s="510"/>
      <c r="AB287" s="511"/>
      <c r="AC287" s="125" t="str">
        <f t="shared" si="260"/>
        <v>SI</v>
      </c>
      <c r="AD287" s="117" t="str">
        <f t="shared" si="239"/>
        <v>N/A</v>
      </c>
      <c r="AE287" s="343">
        <v>2643.39</v>
      </c>
      <c r="AF287" s="117" t="str">
        <f t="shared" si="234"/>
        <v/>
      </c>
      <c r="AG287" s="470"/>
      <c r="AH287" s="470"/>
      <c r="AI287" s="125" t="str">
        <f t="shared" si="235"/>
        <v/>
      </c>
      <c r="AJ287" s="470"/>
      <c r="AK287" s="470"/>
      <c r="AL287" s="527"/>
      <c r="AM287" s="505"/>
      <c r="AN287" s="433" t="s">
        <v>74</v>
      </c>
      <c r="AO287" s="674"/>
      <c r="AP287" s="433" t="s">
        <v>75</v>
      </c>
      <c r="AQ287" s="498"/>
      <c r="AR287" s="600"/>
      <c r="AS287" s="587"/>
      <c r="AT287" s="204"/>
      <c r="AU287" s="659"/>
      <c r="AV287" s="671"/>
      <c r="AW287" s="561"/>
      <c r="AX287" s="561"/>
      <c r="AY287" s="19"/>
      <c r="CB287" s="29" t="str">
        <f>IFERROR(IF(COUNTIF(AF283:AF292,"")=10,"",IF(COUNTIF(E283:E292,"N/A")&gt;0,IF(AF287&gt;=CMEMM1,AF287,0),"N/A")),"")</f>
        <v>N/A</v>
      </c>
      <c r="CC287" s="4"/>
      <c r="CD287" s="4" t="str">
        <f>IFERROR(IF(COUNTIF(AF283:AF292,"")=10,"",IF(AF287="","",IF(AF287&gt;=CMEMM1,1,0))),"")</f>
        <v/>
      </c>
      <c r="CE287" s="4" t="str">
        <f>B283&amp;"-0"&amp;5</f>
        <v>P29-05</v>
      </c>
      <c r="CF287" s="4">
        <f>IFERROR(INDEX('DESEMPATE Y DISCAPACIDAD'!$D$3:$D$450,MATCH(CE287,'DESEMPATE Y DISCAPACIDAD'!$C$3:$C$450,0)),"")</f>
        <v>0</v>
      </c>
      <c r="CG287" s="4">
        <f>IF(OR(CE287="",CF287=""),"",SUMIF(D283:D292,CF287,CD283:CD292))</f>
        <v>0</v>
      </c>
      <c r="CH287" s="4" t="str">
        <f t="shared" si="209"/>
        <v>NO CUMPLE</v>
      </c>
      <c r="CI287" s="4">
        <f t="shared" si="261"/>
        <v>0</v>
      </c>
      <c r="CJ287" s="4"/>
      <c r="CK287" s="4"/>
      <c r="CL287" s="4">
        <f t="shared" si="236"/>
        <v>0</v>
      </c>
      <c r="CM287" s="4">
        <f t="shared" si="237"/>
        <v>0</v>
      </c>
      <c r="CN287" s="4" t="str">
        <f t="shared" si="262"/>
        <v>N/A</v>
      </c>
      <c r="CO287" s="4"/>
      <c r="CP287" s="4"/>
      <c r="CQ287" s="29">
        <f t="shared" si="225"/>
        <v>0</v>
      </c>
      <c r="CR287" s="29" t="str">
        <f t="shared" si="248"/>
        <v/>
      </c>
      <c r="CS287" s="4"/>
    </row>
    <row r="288" spans="1:97" ht="45" customHeight="1">
      <c r="B288" s="481"/>
      <c r="C288" s="118" t="s">
        <v>392</v>
      </c>
      <c r="D288" s="126" t="str">
        <f>+IFERROR(INDEX('DESEMPATE Y DISCAPACIDAD'!$D$3:$D$450,MATCH(C288,'DESEMPATE Y DISCAPACIDAD'!$C$3:$C$450,0)),"")</f>
        <v>Incoplan SA</v>
      </c>
      <c r="E288" s="127" t="str">
        <f>IFERROR(IF(D288="","",IF(VLOOKUP(D288,'DESEMPATE Y DISCAPACIDAD'!D$3:$E$450,2,FALSE)=1,"N/A",IF(VLOOKUP(D288,'DESEMPATE Y DISCAPACIDAD'!D$3:$F$450,3,FALSE)="X","SI","NO"))),"")</f>
        <v>NO</v>
      </c>
      <c r="F288" s="286" t="s">
        <v>1241</v>
      </c>
      <c r="G288" s="286" t="s">
        <v>699</v>
      </c>
      <c r="H288" s="286" t="s">
        <v>1251</v>
      </c>
      <c r="I288" s="290" t="s">
        <v>1252</v>
      </c>
      <c r="J288" s="286" t="s">
        <v>74</v>
      </c>
      <c r="K288" s="286" t="s">
        <v>75</v>
      </c>
      <c r="L288" s="286" t="s">
        <v>74</v>
      </c>
      <c r="M288" s="286" t="s">
        <v>74</v>
      </c>
      <c r="N288" s="125" t="str">
        <f t="shared" si="257"/>
        <v>NO</v>
      </c>
      <c r="O288" s="125" t="str">
        <f t="shared" si="263"/>
        <v>SI</v>
      </c>
      <c r="P288" s="125" t="str">
        <f t="shared" si="258"/>
        <v>SI</v>
      </c>
      <c r="Q288" s="125" t="str">
        <f t="shared" si="238"/>
        <v>SI</v>
      </c>
      <c r="R288" s="316">
        <v>0.51</v>
      </c>
      <c r="S288" s="317">
        <v>43860</v>
      </c>
      <c r="T288" s="317">
        <v>44910</v>
      </c>
      <c r="U288" s="125">
        <f t="shared" si="259"/>
        <v>2022</v>
      </c>
      <c r="V288" s="117">
        <f>IF(U288=2023,1160000,IFERROR(INDEX(SMMLV!$B$2:$B$101,MATCH(U288,SMMLV!$A$2:$A$101,0)),""))</f>
        <v>1000000</v>
      </c>
      <c r="W288" s="343" t="s">
        <v>670</v>
      </c>
      <c r="X288" s="286" t="s">
        <v>671</v>
      </c>
      <c r="Y288" s="286">
        <v>362</v>
      </c>
      <c r="Z288" s="509" t="s">
        <v>74</v>
      </c>
      <c r="AA288" s="510"/>
      <c r="AB288" s="511"/>
      <c r="AC288" s="125" t="str">
        <f t="shared" si="260"/>
        <v>SI</v>
      </c>
      <c r="AD288" s="117" t="str">
        <f t="shared" si="239"/>
        <v>N/A</v>
      </c>
      <c r="AE288" s="343">
        <v>3091.7</v>
      </c>
      <c r="AF288" s="117">
        <f t="shared" si="234"/>
        <v>1576.7669999999998</v>
      </c>
      <c r="AG288" s="470"/>
      <c r="AH288" s="470"/>
      <c r="AI288" s="125" t="str">
        <f t="shared" si="235"/>
        <v>NO CUMPLE</v>
      </c>
      <c r="AJ288" s="470"/>
      <c r="AK288" s="470"/>
      <c r="AL288" s="527"/>
      <c r="AM288" s="505"/>
      <c r="AN288" s="381" t="s">
        <v>75</v>
      </c>
      <c r="AO288" s="674"/>
      <c r="AP288" s="381" t="s">
        <v>74</v>
      </c>
      <c r="AQ288" s="498"/>
      <c r="AR288" s="600"/>
      <c r="AS288" s="587"/>
      <c r="AT288" s="204"/>
      <c r="AU288" s="659"/>
      <c r="AV288" s="671"/>
      <c r="AW288" s="561"/>
      <c r="AX288" s="561"/>
      <c r="AY288" s="19"/>
      <c r="CB288" s="29" t="str">
        <f>IFERROR(IF(COUNTIF(AF283:AF292,"")=10,"",IF(COUNTIF(E283:E292,"N/A")&gt;0,IF(AF288&gt;=CMEMM1,AF288,0),"N/A")),"")</f>
        <v>N/A</v>
      </c>
      <c r="CC288" s="4"/>
      <c r="CD288" s="4">
        <f>IFERROR(IF(COUNTIF(AF283:AF292,"")=10,"",IF(AF288="","",IF(AF288&gt;=CMEMM1,1,0))),"")</f>
        <v>0</v>
      </c>
      <c r="CE288" s="4" t="str">
        <f>B283&amp;"-0"&amp;6</f>
        <v>P29-06</v>
      </c>
      <c r="CF288" s="4">
        <f>IFERROR(INDEX('DESEMPATE Y DISCAPACIDAD'!$D$3:$D$450,MATCH(CE288,'DESEMPATE Y DISCAPACIDAD'!$C$3:$C$450,0)),"")</f>
        <v>0</v>
      </c>
      <c r="CG288" s="4">
        <f>IF(OR(CE288="",CF288=""),"",SUMIF(D283:D292,CF288,CD283:CD292))</f>
        <v>0</v>
      </c>
      <c r="CH288" s="4" t="str">
        <f t="shared" si="209"/>
        <v>NO CUMPLE</v>
      </c>
      <c r="CI288" s="4">
        <f t="shared" si="261"/>
        <v>0</v>
      </c>
      <c r="CJ288" s="4"/>
      <c r="CK288" s="4"/>
      <c r="CL288" s="4">
        <f t="shared" si="236"/>
        <v>0</v>
      </c>
      <c r="CM288" s="4">
        <f t="shared" si="237"/>
        <v>1</v>
      </c>
      <c r="CN288" s="4" t="str">
        <f t="shared" si="262"/>
        <v>COND. B</v>
      </c>
      <c r="CO288" s="4"/>
      <c r="CP288" s="4"/>
      <c r="CQ288" s="29" t="str">
        <f t="shared" si="225"/>
        <v>N/A</v>
      </c>
      <c r="CR288" s="29">
        <f t="shared" si="248"/>
        <v>1576.7669999999998</v>
      </c>
      <c r="CS288" s="4"/>
    </row>
    <row r="289" spans="1:97" ht="45" customHeight="1">
      <c r="B289" s="481"/>
      <c r="C289" s="118" t="s">
        <v>392</v>
      </c>
      <c r="D289" s="126" t="str">
        <f>+IFERROR(INDEX('DESEMPATE Y DISCAPACIDAD'!$D$3:$D$450,MATCH(C289,'DESEMPATE Y DISCAPACIDAD'!$C$3:$C$450,0)),"")</f>
        <v>Incoplan SA</v>
      </c>
      <c r="E289" s="127" t="str">
        <f>IFERROR(IF(D289="","",IF(VLOOKUP(D289,'DESEMPATE Y DISCAPACIDAD'!D$3:$E$450,2,FALSE)=1,"N/A",IF(VLOOKUP(D289,'DESEMPATE Y DISCAPACIDAD'!D$3:$F$450,3,FALSE)="X","SI","NO"))),"")</f>
        <v>NO</v>
      </c>
      <c r="F289" s="286" t="s">
        <v>1388</v>
      </c>
      <c r="G289" s="286" t="s">
        <v>699</v>
      </c>
      <c r="H289" s="286" t="s">
        <v>1389</v>
      </c>
      <c r="I289" s="290" t="s">
        <v>1390</v>
      </c>
      <c r="J289" s="286" t="s">
        <v>74</v>
      </c>
      <c r="K289" s="286" t="s">
        <v>74</v>
      </c>
      <c r="L289" s="286" t="s">
        <v>75</v>
      </c>
      <c r="M289" s="286" t="s">
        <v>74</v>
      </c>
      <c r="N289" s="125" t="str">
        <f t="shared" si="257"/>
        <v>SI</v>
      </c>
      <c r="O289" s="125" t="str">
        <f t="shared" si="263"/>
        <v>NO</v>
      </c>
      <c r="P289" s="125" t="str">
        <f t="shared" si="258"/>
        <v>SI</v>
      </c>
      <c r="Q289" s="125" t="str">
        <f t="shared" si="238"/>
        <v>SI</v>
      </c>
      <c r="R289" s="316">
        <v>0.3</v>
      </c>
      <c r="S289" s="317">
        <v>44272</v>
      </c>
      <c r="T289" s="317">
        <v>45688</v>
      </c>
      <c r="U289" s="125">
        <f t="shared" si="259"/>
        <v>2025</v>
      </c>
      <c r="V289" s="117" t="str">
        <f>IF(U289=2023,1160000,IFERROR(INDEX(SMMLV!$B$2:$B$101,MATCH(U289,SMMLV!$A$2:$A$101,0)),""))</f>
        <v/>
      </c>
      <c r="W289" s="343" t="s">
        <v>670</v>
      </c>
      <c r="X289" s="286" t="s">
        <v>671</v>
      </c>
      <c r="Y289" s="286">
        <v>386</v>
      </c>
      <c r="Z289" s="509" t="s">
        <v>74</v>
      </c>
      <c r="AA289" s="510"/>
      <c r="AB289" s="511"/>
      <c r="AC289" s="125" t="str">
        <f t="shared" si="260"/>
        <v>SI</v>
      </c>
      <c r="AD289" s="117" t="str">
        <f t="shared" si="239"/>
        <v>N/A</v>
      </c>
      <c r="AE289" s="343">
        <v>7622.26</v>
      </c>
      <c r="AF289" s="117">
        <f t="shared" si="234"/>
        <v>2286.6779999999999</v>
      </c>
      <c r="AG289" s="470"/>
      <c r="AH289" s="470"/>
      <c r="AI289" s="125" t="str">
        <f t="shared" si="235"/>
        <v>NO CUMPLE</v>
      </c>
      <c r="AJ289" s="470"/>
      <c r="AK289" s="470"/>
      <c r="AL289" s="527"/>
      <c r="AM289" s="505"/>
      <c r="AN289" s="381" t="s">
        <v>74</v>
      </c>
      <c r="AO289" s="674"/>
      <c r="AP289" s="381" t="s">
        <v>75</v>
      </c>
      <c r="AQ289" s="498"/>
      <c r="AR289" s="600"/>
      <c r="AS289" s="587"/>
      <c r="AT289" s="204"/>
      <c r="AU289" s="659"/>
      <c r="AV289" s="671"/>
      <c r="AW289" s="561"/>
      <c r="AX289" s="561"/>
      <c r="AY289" s="19"/>
      <c r="CB289" s="29" t="str">
        <f>IFERROR(IF(COUNTIF(AF283:AF292,"")=10,"",IF(COUNTIF(E283:E292,"N/A")&gt;0,IF(AF289&gt;=CMEMM1,AF289,0),"N/A")),"")</f>
        <v>N/A</v>
      </c>
      <c r="CC289" s="4"/>
      <c r="CD289" s="4">
        <f>IFERROR(IF(COUNTIF(AF283:AF292,"")=10,"",IF(AF289="","",IF(AF289&gt;=CMEMM1,1,0))),"")</f>
        <v>0</v>
      </c>
      <c r="CE289" s="4" t="str">
        <f>B283&amp;"-0"&amp;7</f>
        <v>P29-07</v>
      </c>
      <c r="CF289" s="4" t="str">
        <f>IFERROR(INDEX('DESEMPATE Y DISCAPACIDAD'!$D$3:$D$450,MATCH(CE289,'DESEMPATE Y DISCAPACIDAD'!$C$3:$C$450,0)),"")</f>
        <v/>
      </c>
      <c r="CG289" s="4" t="str">
        <f>IF(OR(CE289="",CF289=""),"",SUMIF(D283:D292,CF289,CD283:CD292))</f>
        <v/>
      </c>
      <c r="CH289" s="4" t="str">
        <f t="shared" si="209"/>
        <v/>
      </c>
      <c r="CI289" s="4" t="str">
        <f t="shared" si="261"/>
        <v/>
      </c>
      <c r="CJ289" s="4"/>
      <c r="CK289" s="4"/>
      <c r="CL289" s="4">
        <f t="shared" si="236"/>
        <v>1</v>
      </c>
      <c r="CM289" s="4">
        <f t="shared" si="237"/>
        <v>0</v>
      </c>
      <c r="CN289" s="4" t="str">
        <f t="shared" si="262"/>
        <v>COND. A</v>
      </c>
      <c r="CO289" s="4"/>
      <c r="CP289" s="4"/>
      <c r="CQ289" s="29">
        <f t="shared" si="225"/>
        <v>0</v>
      </c>
      <c r="CR289" s="29">
        <f t="shared" si="248"/>
        <v>0</v>
      </c>
      <c r="CS289" s="4"/>
    </row>
    <row r="290" spans="1:97" ht="45" customHeight="1">
      <c r="B290" s="481"/>
      <c r="C290" s="118"/>
      <c r="D290" s="126" t="str">
        <f>+IFERROR(INDEX('DESEMPATE Y DISCAPACIDAD'!$D$3:$D$450,MATCH(C290,'DESEMPATE Y DISCAPACIDAD'!$C$3:$C$450,0)),"")</f>
        <v/>
      </c>
      <c r="E290" s="127" t="str">
        <f>IFERROR(IF(D290="","",IF(VLOOKUP(D290,'DESEMPATE Y DISCAPACIDAD'!D$3:$E$450,2,FALSE)=1,"N/A",IF(VLOOKUP(D290,'DESEMPATE Y DISCAPACIDAD'!D$3:$F$450,3,FALSE)="X","SI","NO"))),"")</f>
        <v/>
      </c>
      <c r="F290" s="286"/>
      <c r="G290" s="286"/>
      <c r="H290" s="286"/>
      <c r="I290" s="290"/>
      <c r="J290" s="286"/>
      <c r="K290" s="286"/>
      <c r="L290" s="286"/>
      <c r="M290" s="286"/>
      <c r="N290" s="125" t="str">
        <f t="shared" si="257"/>
        <v/>
      </c>
      <c r="O290" s="125" t="str">
        <f t="shared" si="263"/>
        <v/>
      </c>
      <c r="P290" s="125" t="str">
        <f t="shared" si="258"/>
        <v/>
      </c>
      <c r="Q290" s="125" t="str">
        <f t="shared" si="238"/>
        <v/>
      </c>
      <c r="R290" s="316"/>
      <c r="S290" s="317"/>
      <c r="T290" s="317"/>
      <c r="U290" s="125" t="str">
        <f t="shared" si="259"/>
        <v/>
      </c>
      <c r="V290" s="117" t="str">
        <f>IF(U290=2023,1160000,IFERROR(INDEX(SMMLV!$B$2:$B$101,MATCH(U290,SMMLV!$A$2:$A$101,0)),""))</f>
        <v/>
      </c>
      <c r="W290" s="343"/>
      <c r="X290" s="286"/>
      <c r="Y290" s="286"/>
      <c r="Z290" s="509"/>
      <c r="AA290" s="510"/>
      <c r="AB290" s="511"/>
      <c r="AC290" s="125" t="str">
        <f t="shared" si="260"/>
        <v/>
      </c>
      <c r="AD290" s="117" t="str">
        <f t="shared" si="239"/>
        <v/>
      </c>
      <c r="AE290" s="343" t="str">
        <f t="shared" si="256"/>
        <v/>
      </c>
      <c r="AF290" s="117" t="str">
        <f t="shared" si="234"/>
        <v/>
      </c>
      <c r="AG290" s="470"/>
      <c r="AH290" s="470"/>
      <c r="AI290" s="125" t="str">
        <f t="shared" si="235"/>
        <v/>
      </c>
      <c r="AJ290" s="470"/>
      <c r="AK290" s="470"/>
      <c r="AL290" s="527"/>
      <c r="AM290" s="505"/>
      <c r="AN290" s="381"/>
      <c r="AO290" s="674"/>
      <c r="AP290" s="381"/>
      <c r="AQ290" s="498"/>
      <c r="AR290" s="600"/>
      <c r="AS290" s="587"/>
      <c r="AT290" s="204"/>
      <c r="AU290" s="659"/>
      <c r="AV290" s="671"/>
      <c r="AW290" s="561"/>
      <c r="AX290" s="561"/>
      <c r="AY290" s="19"/>
      <c r="CB290" s="29" t="str">
        <f>IFERROR(IF(COUNTIF(AF283:AF292,"")=10,"",IF(COUNTIF(E283:E292,"N/A")&gt;0,IF(AF290&gt;=CMEMM1,AF290,0),"N/A")),"")</f>
        <v>N/A</v>
      </c>
      <c r="CC290" s="4"/>
      <c r="CD290" s="4" t="str">
        <f>IFERROR(IF(COUNTIF(AF283:AF292,"")=10,"",IF(AF290="","",IF(AF290&gt;=CMEMM1,1,0))),"")</f>
        <v/>
      </c>
      <c r="CE290" s="4" t="str">
        <f>B283&amp;"-0"&amp;8</f>
        <v>P29-08</v>
      </c>
      <c r="CF290" s="4" t="str">
        <f>IFERROR(INDEX('DESEMPATE Y DISCAPACIDAD'!$D$3:$D$450,MATCH(CE290,'DESEMPATE Y DISCAPACIDAD'!$C$3:$C$450,0)),"")</f>
        <v/>
      </c>
      <c r="CG290" s="4" t="str">
        <f>IF(OR(CE290="",CF290=""),"",SUMIF(D283:D292,CF290,CD283:CD292))</f>
        <v/>
      </c>
      <c r="CH290" s="4" t="str">
        <f t="shared" ref="CH290:CH353" si="264">IF(OR(CE290="",CF290="",CG290=""),"",IF(CG290&gt;0,"CUMPLE","NO CUMPLE"))</f>
        <v/>
      </c>
      <c r="CI290" s="4" t="str">
        <f t="shared" si="261"/>
        <v/>
      </c>
      <c r="CJ290" s="4"/>
      <c r="CK290" s="4"/>
      <c r="CL290" s="4" t="str">
        <f t="shared" si="236"/>
        <v/>
      </c>
      <c r="CM290" s="4" t="str">
        <f t="shared" si="237"/>
        <v/>
      </c>
      <c r="CN290" s="4" t="str">
        <f t="shared" si="262"/>
        <v/>
      </c>
      <c r="CO290" s="4"/>
      <c r="CP290" s="4"/>
      <c r="CQ290" s="29" t="str">
        <f t="shared" si="225"/>
        <v/>
      </c>
      <c r="CR290" s="29" t="str">
        <f t="shared" si="248"/>
        <v/>
      </c>
      <c r="CS290" s="4"/>
    </row>
    <row r="291" spans="1:97" ht="45" customHeight="1">
      <c r="B291" s="481"/>
      <c r="C291" s="118"/>
      <c r="D291" s="126" t="str">
        <f>+IFERROR(INDEX('DESEMPATE Y DISCAPACIDAD'!$D$3:$D$450,MATCH(C291,'DESEMPATE Y DISCAPACIDAD'!$C$3:$C$450,0)),"")</f>
        <v/>
      </c>
      <c r="E291" s="127" t="str">
        <f>IFERROR(IF(D291="","",IF(VLOOKUP(D291,'DESEMPATE Y DISCAPACIDAD'!D$3:$E$450,2,FALSE)=1,"N/A",IF(VLOOKUP(D291,'DESEMPATE Y DISCAPACIDAD'!D$3:$F$450,3,FALSE)="X","SI","NO"))),"")</f>
        <v/>
      </c>
      <c r="F291" s="286"/>
      <c r="G291" s="286"/>
      <c r="H291" s="286"/>
      <c r="I291" s="290"/>
      <c r="J291" s="286"/>
      <c r="K291" s="286"/>
      <c r="L291" s="286"/>
      <c r="M291" s="286"/>
      <c r="N291" s="125" t="str">
        <f t="shared" si="257"/>
        <v/>
      </c>
      <c r="O291" s="125" t="str">
        <f t="shared" si="263"/>
        <v/>
      </c>
      <c r="P291" s="125" t="str">
        <f t="shared" si="258"/>
        <v/>
      </c>
      <c r="Q291" s="125" t="str">
        <f t="shared" si="238"/>
        <v/>
      </c>
      <c r="R291" s="316"/>
      <c r="S291" s="317"/>
      <c r="T291" s="317"/>
      <c r="U291" s="125" t="str">
        <f t="shared" si="259"/>
        <v/>
      </c>
      <c r="V291" s="117" t="str">
        <f>IF(U291=2023,1160000,IFERROR(INDEX(SMMLV!$B$2:$B$101,MATCH(U291,SMMLV!$A$2:$A$101,0)),""))</f>
        <v/>
      </c>
      <c r="W291" s="343"/>
      <c r="X291" s="286"/>
      <c r="Y291" s="286"/>
      <c r="Z291" s="509"/>
      <c r="AA291" s="510"/>
      <c r="AB291" s="511"/>
      <c r="AC291" s="125" t="str">
        <f t="shared" si="260"/>
        <v/>
      </c>
      <c r="AD291" s="117" t="str">
        <f t="shared" si="239"/>
        <v/>
      </c>
      <c r="AE291" s="343" t="str">
        <f t="shared" si="256"/>
        <v/>
      </c>
      <c r="AF291" s="117" t="str">
        <f t="shared" si="234"/>
        <v/>
      </c>
      <c r="AG291" s="470"/>
      <c r="AH291" s="470"/>
      <c r="AI291" s="125" t="str">
        <f t="shared" si="235"/>
        <v/>
      </c>
      <c r="AJ291" s="470"/>
      <c r="AK291" s="470"/>
      <c r="AL291" s="527"/>
      <c r="AM291" s="505"/>
      <c r="AN291" s="381"/>
      <c r="AO291" s="674"/>
      <c r="AP291" s="381"/>
      <c r="AQ291" s="498"/>
      <c r="AR291" s="600"/>
      <c r="AS291" s="587"/>
      <c r="AT291" s="204"/>
      <c r="AU291" s="659"/>
      <c r="AV291" s="671"/>
      <c r="AW291" s="561"/>
      <c r="AX291" s="561"/>
      <c r="AY291" s="19"/>
      <c r="CB291" s="29" t="str">
        <f>IFERROR(IF(COUNTIF(AF283:AF292,"")=10,"",IF(COUNTIF(E283:E292,"N/A")&gt;0,IF(AF291&gt;=CMEMM1,AF291,0),"N/A")),"")</f>
        <v>N/A</v>
      </c>
      <c r="CC291" s="4"/>
      <c r="CD291" s="4" t="str">
        <f>IFERROR(IF(COUNTIF(AF283:AF292,"")=10,"",IF(AF291="","",IF(AF291&gt;=CMEMM1,1,0))),"")</f>
        <v/>
      </c>
      <c r="CE291" s="4" t="str">
        <f>B283&amp;"-0"&amp;9</f>
        <v>P29-09</v>
      </c>
      <c r="CF291" s="4" t="str">
        <f>IFERROR(INDEX('DESEMPATE Y DISCAPACIDAD'!$D$3:$D$450,MATCH(CE291,'DESEMPATE Y DISCAPACIDAD'!$C$3:$C$450,0)),"")</f>
        <v/>
      </c>
      <c r="CG291" s="4" t="str">
        <f>IF(OR(CE291="",CF291=""),"",SUMIF(D283:D292,CF291,CD283:CD292))</f>
        <v/>
      </c>
      <c r="CH291" s="4" t="str">
        <f t="shared" si="264"/>
        <v/>
      </c>
      <c r="CI291" s="4" t="str">
        <f t="shared" si="261"/>
        <v/>
      </c>
      <c r="CJ291" s="4"/>
      <c r="CK291" s="4"/>
      <c r="CL291" s="4" t="str">
        <f t="shared" si="236"/>
        <v/>
      </c>
      <c r="CM291" s="4" t="str">
        <f t="shared" si="237"/>
        <v/>
      </c>
      <c r="CN291" s="4" t="str">
        <f t="shared" si="262"/>
        <v/>
      </c>
      <c r="CO291" s="4"/>
      <c r="CP291" s="4"/>
      <c r="CQ291" s="29" t="str">
        <f t="shared" si="225"/>
        <v/>
      </c>
      <c r="CR291" s="29" t="str">
        <f t="shared" si="248"/>
        <v/>
      </c>
      <c r="CS291" s="4"/>
    </row>
    <row r="292" spans="1:97" ht="45" customHeight="1" thickBot="1">
      <c r="B292" s="482"/>
      <c r="C292" s="130"/>
      <c r="D292" s="131" t="str">
        <f>+IFERROR(INDEX('DESEMPATE Y DISCAPACIDAD'!$D$3:$D$450,MATCH(C292,'DESEMPATE Y DISCAPACIDAD'!$C$3:$C$450,0)),"")</f>
        <v/>
      </c>
      <c r="E292" s="132" t="str">
        <f>IFERROR(IF(D292="","",IF(VLOOKUP(D292,'DESEMPATE Y DISCAPACIDAD'!D$3:$E$450,2,FALSE)=1,"N/A",IF(VLOOKUP(D292,'DESEMPATE Y DISCAPACIDAD'!D$3:$F$450,3,FALSE)="X","SI","NO"))),"")</f>
        <v/>
      </c>
      <c r="F292" s="291"/>
      <c r="G292" s="291"/>
      <c r="H292" s="291"/>
      <c r="I292" s="292"/>
      <c r="J292" s="291"/>
      <c r="K292" s="291"/>
      <c r="L292" s="291"/>
      <c r="M292" s="291"/>
      <c r="N292" s="133" t="str">
        <f t="shared" si="257"/>
        <v/>
      </c>
      <c r="O292" s="133" t="str">
        <f t="shared" si="263"/>
        <v/>
      </c>
      <c r="P292" s="133" t="str">
        <f t="shared" si="258"/>
        <v/>
      </c>
      <c r="Q292" s="133" t="str">
        <f t="shared" si="238"/>
        <v/>
      </c>
      <c r="R292" s="318"/>
      <c r="S292" s="319"/>
      <c r="T292" s="319"/>
      <c r="U292" s="133" t="str">
        <f t="shared" si="259"/>
        <v/>
      </c>
      <c r="V292" s="136" t="str">
        <f>IF(U292=2023,1160000,IFERROR(INDEX(SMMLV!$B$2:$B$101,MATCH(U292,SMMLV!$A$2:$A$101,0)),""))</f>
        <v/>
      </c>
      <c r="W292" s="344"/>
      <c r="X292" s="291"/>
      <c r="Y292" s="291"/>
      <c r="Z292" s="512"/>
      <c r="AA292" s="513"/>
      <c r="AB292" s="514"/>
      <c r="AC292" s="133" t="str">
        <f t="shared" si="260"/>
        <v/>
      </c>
      <c r="AD292" s="136" t="str">
        <f t="shared" si="239"/>
        <v/>
      </c>
      <c r="AE292" s="344" t="str">
        <f t="shared" si="256"/>
        <v/>
      </c>
      <c r="AF292" s="136" t="str">
        <f t="shared" si="234"/>
        <v/>
      </c>
      <c r="AG292" s="471"/>
      <c r="AH292" s="471"/>
      <c r="AI292" s="133" t="str">
        <f t="shared" si="235"/>
        <v/>
      </c>
      <c r="AJ292" s="471"/>
      <c r="AK292" s="471"/>
      <c r="AL292" s="528"/>
      <c r="AM292" s="506"/>
      <c r="AN292" s="415"/>
      <c r="AO292" s="675"/>
      <c r="AP292" s="415"/>
      <c r="AQ292" s="499"/>
      <c r="AR292" s="601"/>
      <c r="AS292" s="588"/>
      <c r="AT292" s="206"/>
      <c r="AU292" s="660"/>
      <c r="AV292" s="672"/>
      <c r="AW292" s="562"/>
      <c r="AX292" s="562"/>
      <c r="AY292" s="19"/>
      <c r="CB292" s="29" t="str">
        <f>IFERROR(IF(COUNTIF(AF283:AF292,"")=10,"",IF(COUNTIF(E283:E292,"N/A")&gt;0,IF(AF292&gt;=CMEMM1,AF292,0),"N/A")),"")</f>
        <v>N/A</v>
      </c>
      <c r="CC292" s="4"/>
      <c r="CD292" s="4" t="str">
        <f>IFERROR(IF(COUNTIF(AF283:AF292,"")=10,"",IF(AF292="","",IF(AF292&gt;=CMEMM1,1,0))),"")</f>
        <v/>
      </c>
      <c r="CE292" s="4" t="str">
        <f>B283&amp;"-"&amp;10</f>
        <v>P29-10</v>
      </c>
      <c r="CF292" s="4" t="str">
        <f>IFERROR(INDEX('DESEMPATE Y DISCAPACIDAD'!$D$3:$D$450,MATCH(CE292,'DESEMPATE Y DISCAPACIDAD'!$C$3:$C$450,0)),"")</f>
        <v/>
      </c>
      <c r="CG292" s="4" t="str">
        <f>IF(OR(CE292="",CF292=""),"",SUMIF(D283:D292,CF292,CD283:CD292))</f>
        <v/>
      </c>
      <c r="CH292" s="4" t="str">
        <f t="shared" si="264"/>
        <v/>
      </c>
      <c r="CI292" s="4" t="str">
        <f t="shared" si="261"/>
        <v/>
      </c>
      <c r="CJ292" s="4"/>
      <c r="CK292" s="4"/>
      <c r="CL292" s="4" t="str">
        <f t="shared" si="236"/>
        <v/>
      </c>
      <c r="CM292" s="4" t="str">
        <f t="shared" si="237"/>
        <v/>
      </c>
      <c r="CN292" s="4" t="str">
        <f t="shared" si="262"/>
        <v/>
      </c>
      <c r="CO292" s="4"/>
      <c r="CP292" s="4"/>
      <c r="CQ292" s="29" t="str">
        <f t="shared" si="225"/>
        <v/>
      </c>
      <c r="CR292" s="29" t="str">
        <f t="shared" si="248"/>
        <v/>
      </c>
      <c r="CS292" s="4"/>
    </row>
    <row r="293" spans="1:97" ht="45" customHeight="1">
      <c r="A293" s="4" t="str">
        <f>"A"&amp;B293</f>
        <v>AP30</v>
      </c>
      <c r="B293" s="480" t="s">
        <v>291</v>
      </c>
      <c r="C293" s="108" t="s">
        <v>398</v>
      </c>
      <c r="D293" s="119" t="str">
        <f>+IFERROR(INDEX('DESEMPATE Y DISCAPACIDAD'!$D$3:$D$450,MATCH(C293,'DESEMPATE Y DISCAPACIDAD'!$C$3:$C$450,0)),"")</f>
        <v>REMAR INGENIERIA S.A.S</v>
      </c>
      <c r="E293" s="120" t="str">
        <f>IFERROR(IF(D293="","",IF(VLOOKUP(D293,'DESEMPATE Y DISCAPACIDAD'!D$3:$E$450,2,FALSE)=1,"N/A",IF(VLOOKUP(D293,'DESEMPATE Y DISCAPACIDAD'!D$3:$F$450,3,FALSE)="X","SI","NO"))),"")</f>
        <v>NO</v>
      </c>
      <c r="F293" s="295" t="s">
        <v>940</v>
      </c>
      <c r="G293" s="295" t="s">
        <v>660</v>
      </c>
      <c r="H293" s="295" t="s">
        <v>1253</v>
      </c>
      <c r="I293" s="296" t="s">
        <v>1254</v>
      </c>
      <c r="J293" s="284" t="s">
        <v>74</v>
      </c>
      <c r="K293" s="284" t="s">
        <v>74</v>
      </c>
      <c r="L293" s="284" t="s">
        <v>74</v>
      </c>
      <c r="M293" s="284" t="s">
        <v>74</v>
      </c>
      <c r="N293" s="121" t="str">
        <f>IFERROR(IF(OR(J293="",K293=""),"",IF(J293="NO","NO",K293)),"")</f>
        <v>SI</v>
      </c>
      <c r="O293" s="121" t="str">
        <f>IFERROR(IF(OR(J293="",L293=""),"",IF(J293="NO","NO",L293)),"")</f>
        <v>SI</v>
      </c>
      <c r="P293" s="121" t="str">
        <f>IFERROR(IF(OR(J293="",M293=""),"",IF(J293="NO","NO",M293)),"")</f>
        <v>SI</v>
      </c>
      <c r="Q293" s="121" t="str">
        <f t="shared" si="238"/>
        <v>SI</v>
      </c>
      <c r="R293" s="324">
        <v>0.1</v>
      </c>
      <c r="S293" s="325">
        <v>37229</v>
      </c>
      <c r="T293" s="326">
        <v>40168</v>
      </c>
      <c r="U293" s="121">
        <f>IFERROR(IF(T293="","",YEAR(T293)),"")</f>
        <v>2009</v>
      </c>
      <c r="V293" s="124">
        <f>IF(U293=2023,1160000,IFERROR(INDEX(SMMLV!$B$2:$B$101,MATCH(U293,SMMLV!$A$2:$A$101,0)),""))</f>
        <v>496900</v>
      </c>
      <c r="W293" s="342" t="s">
        <v>670</v>
      </c>
      <c r="X293" s="284" t="s">
        <v>671</v>
      </c>
      <c r="Y293" s="295">
        <v>12</v>
      </c>
      <c r="Z293" s="515" t="s">
        <v>74</v>
      </c>
      <c r="AA293" s="516"/>
      <c r="AB293" s="517"/>
      <c r="AC293" s="121" t="str">
        <f>IFERROR(IF(Y293="","",IF(ISNUMBER(Y293),IF(COUNTIF(Z293,"SI")&gt;0,"SI","NO"),Y293)),"")</f>
        <v>SI</v>
      </c>
      <c r="AD293" s="124" t="str">
        <f t="shared" si="239"/>
        <v>N/A</v>
      </c>
      <c r="AE293" s="349">
        <v>46651.7</v>
      </c>
      <c r="AF293" s="124">
        <f t="shared" si="234"/>
        <v>4665.17</v>
      </c>
      <c r="AG293" s="486" t="str">
        <f>IFERROR(IF(COUNTIF(AF293:AF302,"")=10,"",IF(COUNTIF(E293:E302,"N/A")&gt;0,IF(SUM(CB293:CB302)&gt;=CMEM1,"CUMPLE","NO CUMPLE"),IF(SUM(AF293:AF302)&gt;=CMEM1,"CUMPLE","NO CUMPLE"))),"")</f>
        <v>CUMPLE</v>
      </c>
      <c r="AH293" s="486" t="str">
        <f>IF(COUNTIF(AF293:AF302,"")=10,"",IF(SUMIF(C293:C302,C293,AF293:AF302)&gt;=CMLM1,"CUMPLE",IF(SUMIF(C293:C302,C294,AF293:AF302)&gt;=CMLM1,"CUMPLE",IF(SUMIF(C293:C302,C295,AF293:AF302)&gt;=CMLM1,"CUMPLE",IF(SUMIF(C293:C302,C296,AF293:AF302)&gt;=CMLM1,"CUMPLE",IF(SUMIF(C293:C302,C297,AF293:AF302)&gt;=CMLM1,"CUMPLE",IF(SUMIF(C293:C302,C298,AF293:AF302)&gt;=CMLM1,"CUMPLE",IF(SUMIF(C293:C302,C299,AF293:AF302)&gt;=CMLM1,"CUMPLE",IF(SUMIF(C293:C302,C300,AF293:AF302)&gt;=CMLM1,"CUMPLE",IF(SUMIF(C293:C302,C301,AF293:AF302)&gt;=CMLM1,"CUMPLE",IF(SUMIF(C293:C302,C302,AF293:AF302)&gt;=CMLM1,"CUMPLE","NO CUMPLE")))))))))))</f>
        <v>CUMPLE</v>
      </c>
      <c r="AI293" s="121" t="str">
        <f t="shared" si="235"/>
        <v>CUMPLE</v>
      </c>
      <c r="AJ293" s="469" t="str">
        <f>IFERROR(IF(COUNTIF(AF293:AF302,"")=10,"",IF(COUNTIF(E293:E302,"N/A")&gt;0,"N/A",CJ293)),"")</f>
        <v>CUMPLE</v>
      </c>
      <c r="AK293" s="469" t="str">
        <f>IFERROR(IF(AND(COUNTIF(N293:N302,"SI")&gt;=1,COUNTIF(O293:O302,"SI")&gt;=1,COUNTIF(P293:P302,"SI")&gt;=1,COUNTIF(J293:J302,"SI")&lt;=10,CO293="CUMPLE"),"CUMPLE","NO CUMPLE"),"")</f>
        <v>CUMPLE</v>
      </c>
      <c r="AL293" s="527" t="s">
        <v>77</v>
      </c>
      <c r="AM293" s="504">
        <f>IFERROR(IF(B293&lt;&gt;"",IF(VLOOKUP(B293,'DESEMPATE Y DISCAPACIDAD'!$A$3:$Q$450,10,FALSE)="","",VLOOKUP(B293,'DESEMPATE Y DISCAPACIDAD'!$A$3:$Q$450,10,FALSE)+6),""),"")</f>
        <v>8</v>
      </c>
      <c r="AN293" s="382" t="s">
        <v>75</v>
      </c>
      <c r="AO293" s="674" t="s">
        <v>74</v>
      </c>
      <c r="AP293" s="382" t="s">
        <v>74</v>
      </c>
      <c r="AQ293" s="498">
        <f>IFERROR(IF(COUNTIF(AP293:AP302,"")=10,"",IF(AO293="NO",0,COUNTIF(AP293:AP302,"SI"))),"")</f>
        <v>4</v>
      </c>
      <c r="AR293" s="599">
        <f>IFERROR(IF(COUNTIF(AF293:AF302,"")=10,"",IF(AO293="NO",0,IF(COUNTIF(E293:E302,"N/A")&gt;0,SUM(CQ293:CQ302),SUM(CR293:CR302)))),"")</f>
        <v>68524.149999999994</v>
      </c>
      <c r="AS293" s="586">
        <f>IFERROR(IF(OR(COUNTIF(AF293:AF302,"")=10,AQ293="",AR293=""),"",IF(AO293="NO",0,AR293/AQ293)),"")</f>
        <v>17131.037499999999</v>
      </c>
      <c r="AT293" s="207"/>
      <c r="AU293" s="676" t="s">
        <v>1222</v>
      </c>
      <c r="AV293" s="662" t="s">
        <v>1223</v>
      </c>
      <c r="AW293" s="560" t="s">
        <v>1376</v>
      </c>
      <c r="AX293" s="664" t="s">
        <v>1377</v>
      </c>
      <c r="AY293" s="19"/>
      <c r="CB293" s="29" t="str">
        <f>IFERROR(IF(COUNTIF(AF293:AF302,"")=10,"",IF(COUNTIF(E293:E302,"N/A")&gt;0,IF(AF293&gt;=CMEMM1,AF293,0),"N/A")),"")</f>
        <v>N/A</v>
      </c>
      <c r="CC293" s="4"/>
      <c r="CD293" s="4">
        <f>IFERROR(IF(COUNTIF(AF293:AF302,"")=10,"",IF(AF293="","",IF(AF293&gt;=CMEMM1,1,0))),"")</f>
        <v>1</v>
      </c>
      <c r="CE293" s="4" t="str">
        <f>B293&amp;"-0"&amp;1</f>
        <v>P30-01</v>
      </c>
      <c r="CF293" s="4" t="str">
        <f>IFERROR(INDEX('DESEMPATE Y DISCAPACIDAD'!$D$3:$D$450,MATCH(CE293,'DESEMPATE Y DISCAPACIDAD'!$C$3:$C$450,0)),"")</f>
        <v>REMAR INGENIERIA S.A.S</v>
      </c>
      <c r="CG293" s="4">
        <f>IF(OR(CE293="",CF293=""),"",SUMIF(D293:D302,CF293,CD293:CD302))</f>
        <v>1</v>
      </c>
      <c r="CH293" s="4" t="str">
        <f t="shared" si="264"/>
        <v>CUMPLE</v>
      </c>
      <c r="CI293" s="4">
        <f>IF(CF293="","",IF(ISTEXT(CF293),1,0))</f>
        <v>1</v>
      </c>
      <c r="CJ293" s="4" t="str">
        <f>IF(OR(CD293="",CE293="",CF293="",CG293="",CH293="",CI293=""),"",IF(COUNTIF(CH293:CH302,"CUMPLE")=COUNTIF(CI293:CI302,1),"CUMPLE","NO CUMPLE"))</f>
        <v>CUMPLE</v>
      </c>
      <c r="CK293" s="4"/>
      <c r="CL293" s="4">
        <f t="shared" si="236"/>
        <v>1</v>
      </c>
      <c r="CM293" s="4">
        <f t="shared" si="237"/>
        <v>1</v>
      </c>
      <c r="CN293" s="4" t="str">
        <f>IF(OR(CL293="",CM293=""),"",IF(AND(CL293=0,CM293=0),"N/A",IF(AND(CL293=1,CM293=0),"COND. A",IF(AND(CL293=0,CM293=1),"COND. B",IF(AND(CL293=1,CM293=1),"COND. A Y B","")))))</f>
        <v>COND. A Y B</v>
      </c>
      <c r="CO293" s="4" t="str">
        <f>IF(COUNTIF(CN293:CN302,"N/A")=10,"NO CUMPLE",IF(COUNTIF(CN293:CN302,"COND. A Y B")&gt;1,"CUMPLE",IF(AND(COUNTIF(CN293:CN302,"COND. A")&gt;0,COUNTIF(CN293:CN302,"COND. B")&gt;0),"CUMPLE",IF(AND(COUNTIF(CN293:CN302,"COND. A Y B")&gt;0,COUNTIF(CN293:CN302,"COND. A")&gt;0),"CUMPLE",IF(AND(COUNTIF(CN293:CN302,"COND. A Y B")&gt;0,COUNTIF(CN293:CN302,"COND. B")&gt;0),"CUMPLE","NO CUMPLE")))))</f>
        <v>CUMPLE</v>
      </c>
      <c r="CP293" s="4"/>
      <c r="CQ293" s="29" t="str">
        <f t="shared" si="225"/>
        <v>N/A</v>
      </c>
      <c r="CR293" s="29">
        <f t="shared" si="248"/>
        <v>4665.17</v>
      </c>
      <c r="CS293" s="4"/>
    </row>
    <row r="294" spans="1:97" ht="45" customHeight="1">
      <c r="B294" s="481"/>
      <c r="C294" s="118" t="s">
        <v>399</v>
      </c>
      <c r="D294" s="119" t="str">
        <f>+IFERROR(INDEX('DESEMPATE Y DISCAPACIDAD'!$D$3:$D$450,MATCH(C294,'DESEMPATE Y DISCAPACIDAD'!$C$3:$C$450,0)),"")</f>
        <v>INGENIERIA MASTER S.A.S</v>
      </c>
      <c r="E294" s="120" t="str">
        <f>IFERROR(IF(D294="","",IF(VLOOKUP(D294,'DESEMPATE Y DISCAPACIDAD'!D$3:$E$450,2,FALSE)=1,"N/A",IF(VLOOKUP(D294,'DESEMPATE Y DISCAPACIDAD'!D$3:$F$450,3,FALSE)="X","SI","NO"))),"")</f>
        <v>NO</v>
      </c>
      <c r="F294" s="283" t="s">
        <v>1255</v>
      </c>
      <c r="G294" s="283" t="s">
        <v>660</v>
      </c>
      <c r="H294" s="283" t="s">
        <v>1256</v>
      </c>
      <c r="I294" s="297" t="s">
        <v>1257</v>
      </c>
      <c r="J294" s="284" t="s">
        <v>74</v>
      </c>
      <c r="K294" s="284" t="s">
        <v>74</v>
      </c>
      <c r="L294" s="284" t="s">
        <v>75</v>
      </c>
      <c r="M294" s="284" t="s">
        <v>74</v>
      </c>
      <c r="N294" s="121" t="str">
        <f t="shared" ref="N294:N302" si="265">IFERROR(IF(OR(J294="",K294=""),"",IF(J294="NO","NO",K294)),"")</f>
        <v>SI</v>
      </c>
      <c r="O294" s="121" t="str">
        <f>IFERROR(IF(OR(J294="",L294=""),"",IF(J294="NO","NO",L294)),"")</f>
        <v>NO</v>
      </c>
      <c r="P294" s="121" t="str">
        <f t="shared" ref="P294:P302" si="266">IFERROR(IF(OR(J294="",M294=""),"",IF(J294="NO","NO",M294)),"")</f>
        <v>SI</v>
      </c>
      <c r="Q294" s="121" t="str">
        <f t="shared" si="238"/>
        <v>SI</v>
      </c>
      <c r="R294" s="327">
        <v>1</v>
      </c>
      <c r="S294" s="311">
        <v>42339</v>
      </c>
      <c r="T294" s="312">
        <v>42916</v>
      </c>
      <c r="U294" s="121">
        <f t="shared" ref="U294:U302" si="267">IFERROR(IF(T294="","",YEAR(T294)),"")</f>
        <v>2017</v>
      </c>
      <c r="V294" s="124">
        <f>IF(U294=2023,1160000,IFERROR(INDEX(SMMLV!$B$2:$B$101,MATCH(U294,SMMLV!$A$2:$A$101,0)),""))</f>
        <v>737717</v>
      </c>
      <c r="W294" s="342" t="s">
        <v>670</v>
      </c>
      <c r="X294" s="286" t="s">
        <v>671</v>
      </c>
      <c r="Y294" s="283">
        <v>114</v>
      </c>
      <c r="Z294" s="509" t="s">
        <v>74</v>
      </c>
      <c r="AA294" s="510"/>
      <c r="AB294" s="511"/>
      <c r="AC294" s="125" t="str">
        <f t="shared" ref="AC294:AC302" si="268">IFERROR(IF(Y294="","",IF(ISNUMBER(Y294),IF(COUNTIF(Z294,"SI")&gt;0,"SI","NO"),Y294)),"")</f>
        <v>SI</v>
      </c>
      <c r="AD294" s="117" t="str">
        <f t="shared" si="239"/>
        <v>N/A</v>
      </c>
      <c r="AE294" s="350">
        <v>5388.75</v>
      </c>
      <c r="AF294" s="117">
        <f t="shared" si="234"/>
        <v>5388.75</v>
      </c>
      <c r="AG294" s="470"/>
      <c r="AH294" s="470"/>
      <c r="AI294" s="125" t="str">
        <f t="shared" si="235"/>
        <v>CUMPLE</v>
      </c>
      <c r="AJ294" s="470"/>
      <c r="AK294" s="470"/>
      <c r="AL294" s="527"/>
      <c r="AM294" s="505"/>
      <c r="AN294" s="382" t="s">
        <v>75</v>
      </c>
      <c r="AO294" s="674"/>
      <c r="AP294" s="382" t="s">
        <v>74</v>
      </c>
      <c r="AQ294" s="498"/>
      <c r="AR294" s="600"/>
      <c r="AS294" s="587"/>
      <c r="AT294" s="204"/>
      <c r="AU294" s="676"/>
      <c r="AV294" s="662"/>
      <c r="AW294" s="561"/>
      <c r="AX294" s="665"/>
      <c r="AY294" s="19"/>
      <c r="CB294" s="29" t="str">
        <f>IFERROR(IF(COUNTIF(AF293:AF302,"")=10,"",IF(COUNTIF(E293:E302,"N/A")&gt;0,IF(AF294&gt;=CMEMM1,AF294,0),"N/A")),"")</f>
        <v>N/A</v>
      </c>
      <c r="CC294" s="4"/>
      <c r="CD294" s="4">
        <f>IFERROR(IF(COUNTIF(AF293:AF302,"")=10,"",IF(AF294="","",IF(AF294&gt;=CMEMM1,1,0))),"")</f>
        <v>1</v>
      </c>
      <c r="CE294" s="4" t="str">
        <f>B293&amp;"-0"&amp;2</f>
        <v>P30-02</v>
      </c>
      <c r="CF294" s="4" t="str">
        <f>IFERROR(INDEX('DESEMPATE Y DISCAPACIDAD'!$D$3:$D$450,MATCH(CE294,'DESEMPATE Y DISCAPACIDAD'!$C$3:$C$450,0)),"")</f>
        <v>INGENIERIA MASTER S.A.S</v>
      </c>
      <c r="CG294" s="4">
        <f>IF(OR(CE294="",CF294=""),"",SUMIF(D293:D302,CF294,CD293:CD302))</f>
        <v>1</v>
      </c>
      <c r="CH294" s="4" t="str">
        <f t="shared" si="264"/>
        <v>CUMPLE</v>
      </c>
      <c r="CI294" s="4">
        <f t="shared" ref="CI294:CI302" si="269">IF(CF294="","",IF(ISTEXT(CF294),1,0))</f>
        <v>1</v>
      </c>
      <c r="CJ294" s="4"/>
      <c r="CK294" s="4"/>
      <c r="CL294" s="4">
        <f t="shared" si="236"/>
        <v>1</v>
      </c>
      <c r="CM294" s="4">
        <f t="shared" si="237"/>
        <v>0</v>
      </c>
      <c r="CN294" s="4" t="str">
        <f t="shared" ref="CN294:CN302" si="270">IF(OR(CL294="",CM294=""),"",IF(AND(CL294=0,CM294=0),"N/A",IF(AND(CL294=1,CM294=0),"COND. A",IF(AND(CL294=0,CM294=1),"COND. B",IF(AND(CL294=1,CM294=1),"COND. A Y B","")))))</f>
        <v>COND. A</v>
      </c>
      <c r="CO294" s="4"/>
      <c r="CP294" s="4"/>
      <c r="CQ294" s="29" t="str">
        <f t="shared" si="225"/>
        <v>N/A</v>
      </c>
      <c r="CR294" s="29">
        <f t="shared" si="248"/>
        <v>5388.75</v>
      </c>
      <c r="CS294" s="4"/>
    </row>
    <row r="295" spans="1:97" ht="45" customHeight="1">
      <c r="B295" s="481"/>
      <c r="C295" s="118" t="s">
        <v>400</v>
      </c>
      <c r="D295" s="126" t="str">
        <f>+IFERROR(INDEX('DESEMPATE Y DISCAPACIDAD'!$D$3:$D$450,MATCH(C295,'DESEMPATE Y DISCAPACIDAD'!$C$3:$C$450,0)),"")</f>
        <v>DIRAC INGENIEROS CONSULTORES SAS</v>
      </c>
      <c r="E295" s="127" t="str">
        <f>IFERROR(IF(D295="","",IF(VLOOKUP(D295,'DESEMPATE Y DISCAPACIDAD'!D$3:$E$450,2,FALSE)=1,"N/A",IF(VLOOKUP(D295,'DESEMPATE Y DISCAPACIDAD'!D$3:$F$450,3,FALSE)="X","SI","NO"))),"")</f>
        <v>NO</v>
      </c>
      <c r="F295" s="282" t="s">
        <v>1258</v>
      </c>
      <c r="G295" s="283" t="s">
        <v>980</v>
      </c>
      <c r="H295" s="283" t="s">
        <v>1259</v>
      </c>
      <c r="I295" s="282" t="s">
        <v>1260</v>
      </c>
      <c r="J295" s="286" t="s">
        <v>74</v>
      </c>
      <c r="K295" s="286" t="s">
        <v>74</v>
      </c>
      <c r="L295" s="286" t="s">
        <v>75</v>
      </c>
      <c r="M295" s="286" t="s">
        <v>74</v>
      </c>
      <c r="N295" s="125" t="str">
        <f t="shared" si="265"/>
        <v>SI</v>
      </c>
      <c r="O295" s="125" t="str">
        <f>IFERROR(IF(OR(J295="",L295=""),"",IF(J295="NO","NO",L295)),"")</f>
        <v>NO</v>
      </c>
      <c r="P295" s="125" t="str">
        <f t="shared" si="266"/>
        <v>SI</v>
      </c>
      <c r="Q295" s="125" t="str">
        <f t="shared" si="238"/>
        <v>SI</v>
      </c>
      <c r="R295" s="328">
        <v>1</v>
      </c>
      <c r="S295" s="311">
        <v>38899</v>
      </c>
      <c r="T295" s="312">
        <v>40847</v>
      </c>
      <c r="U295" s="125">
        <f t="shared" si="267"/>
        <v>2011</v>
      </c>
      <c r="V295" s="117">
        <f>IF(U295=2023,1160000,IFERROR(INDEX(SMMLV!$B$2:$B$101,MATCH(U295,SMMLV!$A$2:$A$101,0)),""))</f>
        <v>535600</v>
      </c>
      <c r="W295" s="343" t="s">
        <v>670</v>
      </c>
      <c r="X295" s="286" t="s">
        <v>1335</v>
      </c>
      <c r="Y295" s="283">
        <v>4</v>
      </c>
      <c r="Z295" s="509" t="s">
        <v>74</v>
      </c>
      <c r="AA295" s="510"/>
      <c r="AB295" s="511"/>
      <c r="AC295" s="125" t="str">
        <f t="shared" si="268"/>
        <v>SI</v>
      </c>
      <c r="AD295" s="117" t="str">
        <f t="shared" si="239"/>
        <v>N/A</v>
      </c>
      <c r="AE295" s="350">
        <v>27460.29</v>
      </c>
      <c r="AF295" s="117">
        <f t="shared" si="234"/>
        <v>27460.29</v>
      </c>
      <c r="AG295" s="470"/>
      <c r="AH295" s="470"/>
      <c r="AI295" s="125" t="str">
        <f t="shared" si="235"/>
        <v>CUMPLE</v>
      </c>
      <c r="AJ295" s="470"/>
      <c r="AK295" s="470"/>
      <c r="AL295" s="527"/>
      <c r="AM295" s="505"/>
      <c r="AN295" s="382" t="s">
        <v>75</v>
      </c>
      <c r="AO295" s="674"/>
      <c r="AP295" s="382" t="s">
        <v>74</v>
      </c>
      <c r="AQ295" s="498"/>
      <c r="AR295" s="600"/>
      <c r="AS295" s="587"/>
      <c r="AT295" s="204"/>
      <c r="AU295" s="676"/>
      <c r="AV295" s="662"/>
      <c r="AW295" s="561"/>
      <c r="AX295" s="665"/>
      <c r="AY295" s="19"/>
      <c r="CB295" s="29" t="str">
        <f>IFERROR(IF(COUNTIF(AF293:AF302,"")=10,"",IF(COUNTIF(E293:E302,"N/A")&gt;0,IF(AF295&gt;=CMEMM1,AF295,0),"N/A")),"")</f>
        <v>N/A</v>
      </c>
      <c r="CC295" s="4"/>
      <c r="CD295" s="4">
        <f>IFERROR(IF(COUNTIF(AF293:AF302,"")=10,"",IF(AF295="","",IF(AF295&gt;=CMEMM1,1,0))),"")</f>
        <v>1</v>
      </c>
      <c r="CE295" s="4" t="str">
        <f>B293&amp;"-0"&amp;3</f>
        <v>P30-03</v>
      </c>
      <c r="CF295" s="4" t="str">
        <f>IFERROR(INDEX('DESEMPATE Y DISCAPACIDAD'!$D$3:$D$450,MATCH(CE295,'DESEMPATE Y DISCAPACIDAD'!$C$3:$C$450,0)),"")</f>
        <v>DIRAC INGENIEROS CONSULTORES SAS</v>
      </c>
      <c r="CG295" s="4">
        <f>IF(OR(CE295="",CF295=""),"",SUMIF(D293:D302,CF295,CD293:CD302))</f>
        <v>2</v>
      </c>
      <c r="CH295" s="4" t="str">
        <f t="shared" si="264"/>
        <v>CUMPLE</v>
      </c>
      <c r="CI295" s="4">
        <f t="shared" si="269"/>
        <v>1</v>
      </c>
      <c r="CJ295" s="4"/>
      <c r="CK295" s="4"/>
      <c r="CL295" s="4">
        <f t="shared" si="236"/>
        <v>1</v>
      </c>
      <c r="CM295" s="4">
        <f t="shared" si="237"/>
        <v>0</v>
      </c>
      <c r="CN295" s="4" t="str">
        <f t="shared" si="270"/>
        <v>COND. A</v>
      </c>
      <c r="CO295" s="4"/>
      <c r="CP295" s="4"/>
      <c r="CQ295" s="29" t="str">
        <f t="shared" si="225"/>
        <v>N/A</v>
      </c>
      <c r="CR295" s="29">
        <f t="shared" si="248"/>
        <v>27460.29</v>
      </c>
      <c r="CS295" s="4"/>
    </row>
    <row r="296" spans="1:97" ht="45" customHeight="1">
      <c r="B296" s="481"/>
      <c r="C296" s="118" t="s">
        <v>400</v>
      </c>
      <c r="D296" s="126" t="str">
        <f>+IFERROR(INDEX('DESEMPATE Y DISCAPACIDAD'!$D$3:$D$450,MATCH(C296,'DESEMPATE Y DISCAPACIDAD'!$C$3:$C$450,0)),"")</f>
        <v>DIRAC INGENIEROS CONSULTORES SAS</v>
      </c>
      <c r="E296" s="127" t="str">
        <f>IFERROR(IF(D296="","",IF(VLOOKUP(D296,'DESEMPATE Y DISCAPACIDAD'!D$3:$E$450,2,FALSE)=1,"N/A",IF(VLOOKUP(D296,'DESEMPATE Y DISCAPACIDAD'!D$3:$F$450,3,FALSE)="X","SI","NO"))),"")</f>
        <v>NO</v>
      </c>
      <c r="F296" s="282" t="s">
        <v>1258</v>
      </c>
      <c r="G296" s="283" t="s">
        <v>980</v>
      </c>
      <c r="H296" s="283" t="s">
        <v>1259</v>
      </c>
      <c r="I296" s="297" t="s">
        <v>1261</v>
      </c>
      <c r="J296" s="286" t="s">
        <v>74</v>
      </c>
      <c r="K296" s="286" t="s">
        <v>74</v>
      </c>
      <c r="L296" s="286" t="s">
        <v>75</v>
      </c>
      <c r="M296" s="286" t="s">
        <v>74</v>
      </c>
      <c r="N296" s="125" t="str">
        <f t="shared" si="265"/>
        <v>SI</v>
      </c>
      <c r="O296" s="125" t="str">
        <f>IFERROR(IF(OR(J296="",L296=""),"",IF(J296="NO","NO",L296)),"")</f>
        <v>NO</v>
      </c>
      <c r="P296" s="125" t="str">
        <f t="shared" si="266"/>
        <v>SI</v>
      </c>
      <c r="Q296" s="125" t="str">
        <f t="shared" si="238"/>
        <v>SI</v>
      </c>
      <c r="R296" s="328">
        <v>1</v>
      </c>
      <c r="S296" s="329">
        <v>37935</v>
      </c>
      <c r="T296" s="312">
        <v>38929</v>
      </c>
      <c r="U296" s="125">
        <f t="shared" si="267"/>
        <v>2006</v>
      </c>
      <c r="V296" s="117">
        <f>IF(U296=2023,1160000,IFERROR(INDEX(SMMLV!$B$2:$B$101,MATCH(U296,SMMLV!$A$2:$A$101,0)),""))</f>
        <v>408000</v>
      </c>
      <c r="W296" s="343" t="s">
        <v>670</v>
      </c>
      <c r="X296" s="286" t="s">
        <v>1335</v>
      </c>
      <c r="Y296" s="283">
        <v>5</v>
      </c>
      <c r="Z296" s="509" t="s">
        <v>74</v>
      </c>
      <c r="AA296" s="510"/>
      <c r="AB296" s="511"/>
      <c r="AC296" s="125" t="str">
        <f t="shared" si="268"/>
        <v>SI</v>
      </c>
      <c r="AD296" s="117" t="str">
        <f t="shared" si="239"/>
        <v>N/A</v>
      </c>
      <c r="AE296" s="350">
        <v>31009.94</v>
      </c>
      <c r="AF296" s="117">
        <f t="shared" si="234"/>
        <v>31009.94</v>
      </c>
      <c r="AG296" s="470"/>
      <c r="AH296" s="470"/>
      <c r="AI296" s="125" t="str">
        <f t="shared" si="235"/>
        <v>CUMPLE</v>
      </c>
      <c r="AJ296" s="470"/>
      <c r="AK296" s="470"/>
      <c r="AL296" s="527"/>
      <c r="AM296" s="505"/>
      <c r="AN296" s="382" t="s">
        <v>75</v>
      </c>
      <c r="AO296" s="674"/>
      <c r="AP296" s="382" t="s">
        <v>74</v>
      </c>
      <c r="AQ296" s="498"/>
      <c r="AR296" s="600"/>
      <c r="AS296" s="587"/>
      <c r="AT296" s="204"/>
      <c r="AU296" s="676"/>
      <c r="AV296" s="662"/>
      <c r="AW296" s="561"/>
      <c r="AX296" s="665"/>
      <c r="AY296" s="19"/>
      <c r="CB296" s="29" t="str">
        <f>IFERROR(IF(COUNTIF(AF293:AF302,"")=10,"",IF(COUNTIF(E293:E302,"N/A")&gt;0,IF(AF296&gt;=CMEMM1,AF296,0),"N/A")),"")</f>
        <v>N/A</v>
      </c>
      <c r="CC296" s="4"/>
      <c r="CD296" s="4">
        <f>IFERROR(IF(COUNTIF(AF293:AF302,"")=10,"",IF(AF296="","",IF(AF296&gt;=CMEMM1,1,0))),"")</f>
        <v>1</v>
      </c>
      <c r="CE296" s="4" t="str">
        <f>B293&amp;"-0"&amp;4</f>
        <v>P30-04</v>
      </c>
      <c r="CF296" s="4">
        <f>IFERROR(INDEX('DESEMPATE Y DISCAPACIDAD'!$D$3:$D$450,MATCH(CE296,'DESEMPATE Y DISCAPACIDAD'!$C$3:$C$450,0)),"")</f>
        <v>0</v>
      </c>
      <c r="CG296" s="4">
        <f>IF(OR(CE296="",CF296=""),"",SUMIF(D293:D302,CF296,CD293:CD302))</f>
        <v>0</v>
      </c>
      <c r="CH296" s="4" t="str">
        <f t="shared" si="264"/>
        <v>NO CUMPLE</v>
      </c>
      <c r="CI296" s="4">
        <f t="shared" si="269"/>
        <v>0</v>
      </c>
      <c r="CJ296" s="4"/>
      <c r="CK296" s="4"/>
      <c r="CL296" s="4">
        <f t="shared" si="236"/>
        <v>1</v>
      </c>
      <c r="CM296" s="4">
        <f t="shared" si="237"/>
        <v>0</v>
      </c>
      <c r="CN296" s="4" t="str">
        <f t="shared" si="270"/>
        <v>COND. A</v>
      </c>
      <c r="CO296" s="4"/>
      <c r="CP296" s="4"/>
      <c r="CQ296" s="29" t="str">
        <f t="shared" si="225"/>
        <v>N/A</v>
      </c>
      <c r="CR296" s="29">
        <f t="shared" si="248"/>
        <v>31009.94</v>
      </c>
      <c r="CS296" s="4"/>
    </row>
    <row r="297" spans="1:97" ht="45" customHeight="1">
      <c r="B297" s="481"/>
      <c r="C297" s="118"/>
      <c r="D297" s="126" t="str">
        <f>+IFERROR(INDEX('DESEMPATE Y DISCAPACIDAD'!$D$3:$D$450,MATCH(C297,'DESEMPATE Y DISCAPACIDAD'!$C$3:$C$450,0)),"")</f>
        <v/>
      </c>
      <c r="E297" s="127" t="str">
        <f>IFERROR(IF(D297="","",IF(VLOOKUP(D297,'DESEMPATE Y DISCAPACIDAD'!D$3:$E$450,2,FALSE)=1,"N/A",IF(VLOOKUP(D297,'DESEMPATE Y DISCAPACIDAD'!D$3:$F$450,3,FALSE)="X","SI","NO"))),"")</f>
        <v/>
      </c>
      <c r="F297" s="286"/>
      <c r="G297" s="286"/>
      <c r="H297" s="286"/>
      <c r="I297" s="290"/>
      <c r="J297" s="286"/>
      <c r="K297" s="286"/>
      <c r="L297" s="286"/>
      <c r="M297" s="286"/>
      <c r="N297" s="125" t="str">
        <f t="shared" si="265"/>
        <v/>
      </c>
      <c r="O297" s="125" t="str">
        <f t="shared" ref="O297:O302" si="271">IFERROR(IF(OR(J297="",L297=""),"",IF(J297="NO","NO",L297)),"")</f>
        <v/>
      </c>
      <c r="P297" s="125" t="str">
        <f t="shared" si="266"/>
        <v/>
      </c>
      <c r="Q297" s="125" t="str">
        <f t="shared" si="238"/>
        <v/>
      </c>
      <c r="R297" s="316"/>
      <c r="S297" s="317"/>
      <c r="T297" s="317"/>
      <c r="U297" s="125" t="str">
        <f t="shared" si="267"/>
        <v/>
      </c>
      <c r="V297" s="117" t="str">
        <f>IF(U297=2023,1160000,IFERROR(INDEX(SMMLV!$B$2:$B$101,MATCH(U297,SMMLV!$A$2:$A$101,0)),""))</f>
        <v/>
      </c>
      <c r="W297" s="343"/>
      <c r="X297" s="286"/>
      <c r="Y297" s="286"/>
      <c r="Z297" s="509"/>
      <c r="AA297" s="510"/>
      <c r="AB297" s="511"/>
      <c r="AC297" s="125" t="str">
        <f t="shared" si="268"/>
        <v/>
      </c>
      <c r="AD297" s="117" t="str">
        <f t="shared" si="239"/>
        <v/>
      </c>
      <c r="AE297" s="343" t="str">
        <f t="shared" si="256"/>
        <v/>
      </c>
      <c r="AF297" s="117" t="str">
        <f t="shared" si="234"/>
        <v/>
      </c>
      <c r="AG297" s="470"/>
      <c r="AH297" s="470"/>
      <c r="AI297" s="125" t="str">
        <f t="shared" si="235"/>
        <v/>
      </c>
      <c r="AJ297" s="470"/>
      <c r="AK297" s="470"/>
      <c r="AL297" s="527"/>
      <c r="AM297" s="505"/>
      <c r="AN297" s="381"/>
      <c r="AO297" s="674"/>
      <c r="AP297" s="381"/>
      <c r="AQ297" s="498"/>
      <c r="AR297" s="600"/>
      <c r="AS297" s="587"/>
      <c r="AT297" s="204"/>
      <c r="AU297" s="676"/>
      <c r="AV297" s="662"/>
      <c r="AW297" s="561"/>
      <c r="AX297" s="665"/>
      <c r="AY297" s="19"/>
      <c r="CB297" s="29" t="str">
        <f>IFERROR(IF(COUNTIF(AF293:AF302,"")=10,"",IF(COUNTIF(E293:E302,"N/A")&gt;0,IF(AF297&gt;=CMEMM1,AF297,0),"N/A")),"")</f>
        <v>N/A</v>
      </c>
      <c r="CC297" s="4"/>
      <c r="CD297" s="4" t="str">
        <f>IFERROR(IF(COUNTIF(AF293:AF302,"")=10,"",IF(AF297="","",IF(AF297&gt;=CMEMM1,1,0))),"")</f>
        <v/>
      </c>
      <c r="CE297" s="4" t="str">
        <f>B293&amp;"-0"&amp;5</f>
        <v>P30-05</v>
      </c>
      <c r="CF297" s="4">
        <f>IFERROR(INDEX('DESEMPATE Y DISCAPACIDAD'!$D$3:$D$450,MATCH(CE297,'DESEMPATE Y DISCAPACIDAD'!$C$3:$C$450,0)),"")</f>
        <v>0</v>
      </c>
      <c r="CG297" s="4">
        <f>IF(OR(CE297="",CF297=""),"",SUMIF(D293:D302,CF297,CD293:CD302))</f>
        <v>0</v>
      </c>
      <c r="CH297" s="4" t="str">
        <f t="shared" si="264"/>
        <v>NO CUMPLE</v>
      </c>
      <c r="CI297" s="4">
        <f t="shared" si="269"/>
        <v>0</v>
      </c>
      <c r="CJ297" s="4"/>
      <c r="CK297" s="4"/>
      <c r="CL297" s="4" t="str">
        <f t="shared" si="236"/>
        <v/>
      </c>
      <c r="CM297" s="4" t="str">
        <f t="shared" si="237"/>
        <v/>
      </c>
      <c r="CN297" s="4" t="str">
        <f t="shared" si="270"/>
        <v/>
      </c>
      <c r="CO297" s="4"/>
      <c r="CP297" s="4"/>
      <c r="CQ297" s="29" t="str">
        <f t="shared" si="225"/>
        <v/>
      </c>
      <c r="CR297" s="29" t="str">
        <f t="shared" si="248"/>
        <v/>
      </c>
      <c r="CS297" s="4"/>
    </row>
    <row r="298" spans="1:97" ht="45" customHeight="1">
      <c r="B298" s="481"/>
      <c r="C298" s="118"/>
      <c r="D298" s="126" t="str">
        <f>+IFERROR(INDEX('DESEMPATE Y DISCAPACIDAD'!$D$3:$D$450,MATCH(C298,'DESEMPATE Y DISCAPACIDAD'!$C$3:$C$450,0)),"")</f>
        <v/>
      </c>
      <c r="E298" s="127" t="str">
        <f>IFERROR(IF(D298="","",IF(VLOOKUP(D298,'DESEMPATE Y DISCAPACIDAD'!D$3:$E$450,2,FALSE)=1,"N/A",IF(VLOOKUP(D298,'DESEMPATE Y DISCAPACIDAD'!D$3:$F$450,3,FALSE)="X","SI","NO"))),"")</f>
        <v/>
      </c>
      <c r="F298" s="286"/>
      <c r="G298" s="286"/>
      <c r="H298" s="286"/>
      <c r="I298" s="290"/>
      <c r="J298" s="286"/>
      <c r="K298" s="286"/>
      <c r="L298" s="286"/>
      <c r="M298" s="286"/>
      <c r="N298" s="125" t="str">
        <f t="shared" si="265"/>
        <v/>
      </c>
      <c r="O298" s="125" t="str">
        <f t="shared" si="271"/>
        <v/>
      </c>
      <c r="P298" s="125" t="str">
        <f t="shared" si="266"/>
        <v/>
      </c>
      <c r="Q298" s="125" t="str">
        <f t="shared" si="238"/>
        <v/>
      </c>
      <c r="R298" s="316"/>
      <c r="S298" s="317"/>
      <c r="T298" s="317"/>
      <c r="U298" s="125" t="str">
        <f t="shared" si="267"/>
        <v/>
      </c>
      <c r="V298" s="117" t="str">
        <f>IF(U298=2023,1160000,IFERROR(INDEX(SMMLV!$B$2:$B$101,MATCH(U298,SMMLV!$A$2:$A$101,0)),""))</f>
        <v/>
      </c>
      <c r="W298" s="343"/>
      <c r="X298" s="286"/>
      <c r="Y298" s="286"/>
      <c r="Z298" s="509"/>
      <c r="AA298" s="510"/>
      <c r="AB298" s="511"/>
      <c r="AC298" s="125" t="str">
        <f t="shared" si="268"/>
        <v/>
      </c>
      <c r="AD298" s="117" t="str">
        <f t="shared" si="239"/>
        <v/>
      </c>
      <c r="AE298" s="343" t="str">
        <f t="shared" si="256"/>
        <v/>
      </c>
      <c r="AF298" s="117" t="str">
        <f t="shared" si="234"/>
        <v/>
      </c>
      <c r="AG298" s="470"/>
      <c r="AH298" s="470"/>
      <c r="AI298" s="125" t="str">
        <f t="shared" si="235"/>
        <v/>
      </c>
      <c r="AJ298" s="470"/>
      <c r="AK298" s="470"/>
      <c r="AL298" s="527"/>
      <c r="AM298" s="505"/>
      <c r="AN298" s="381"/>
      <c r="AO298" s="674"/>
      <c r="AP298" s="381"/>
      <c r="AQ298" s="498"/>
      <c r="AR298" s="600"/>
      <c r="AS298" s="587"/>
      <c r="AT298" s="204"/>
      <c r="AU298" s="676"/>
      <c r="AV298" s="662"/>
      <c r="AW298" s="561"/>
      <c r="AX298" s="665"/>
      <c r="AY298" s="19"/>
      <c r="CB298" s="29" t="str">
        <f>IFERROR(IF(COUNTIF(AF293:AF302,"")=10,"",IF(COUNTIF(E293:E302,"N/A")&gt;0,IF(AF298&gt;=CMEMM1,AF298,0),"N/A")),"")</f>
        <v>N/A</v>
      </c>
      <c r="CC298" s="4"/>
      <c r="CD298" s="4" t="str">
        <f>IFERROR(IF(COUNTIF(AF293:AF302,"")=10,"",IF(AF298="","",IF(AF298&gt;=CMEMM1,1,0))),"")</f>
        <v/>
      </c>
      <c r="CE298" s="4" t="str">
        <f>B293&amp;"-0"&amp;6</f>
        <v>P30-06</v>
      </c>
      <c r="CF298" s="4">
        <f>IFERROR(INDEX('DESEMPATE Y DISCAPACIDAD'!$D$3:$D$450,MATCH(CE298,'DESEMPATE Y DISCAPACIDAD'!$C$3:$C$450,0)),"")</f>
        <v>0</v>
      </c>
      <c r="CG298" s="4">
        <f>IF(OR(CE298="",CF298=""),"",SUMIF(D293:D302,CF298,CD293:CD302))</f>
        <v>0</v>
      </c>
      <c r="CH298" s="4" t="str">
        <f t="shared" si="264"/>
        <v>NO CUMPLE</v>
      </c>
      <c r="CI298" s="4">
        <f t="shared" si="269"/>
        <v>0</v>
      </c>
      <c r="CJ298" s="4"/>
      <c r="CK298" s="4"/>
      <c r="CL298" s="4" t="str">
        <f t="shared" si="236"/>
        <v/>
      </c>
      <c r="CM298" s="4" t="str">
        <f t="shared" si="237"/>
        <v/>
      </c>
      <c r="CN298" s="4" t="str">
        <f t="shared" si="270"/>
        <v/>
      </c>
      <c r="CO298" s="4"/>
      <c r="CP298" s="4"/>
      <c r="CQ298" s="29" t="str">
        <f t="shared" si="225"/>
        <v/>
      </c>
      <c r="CR298" s="29" t="str">
        <f t="shared" si="248"/>
        <v/>
      </c>
      <c r="CS298" s="4"/>
    </row>
    <row r="299" spans="1:97" ht="45" customHeight="1">
      <c r="B299" s="481"/>
      <c r="C299" s="118"/>
      <c r="D299" s="126" t="str">
        <f>+IFERROR(INDEX('DESEMPATE Y DISCAPACIDAD'!$D$3:$D$450,MATCH(C299,'DESEMPATE Y DISCAPACIDAD'!$C$3:$C$450,0)),"")</f>
        <v/>
      </c>
      <c r="E299" s="127" t="str">
        <f>IFERROR(IF(D299="","",IF(VLOOKUP(D299,'DESEMPATE Y DISCAPACIDAD'!D$3:$E$450,2,FALSE)=1,"N/A",IF(VLOOKUP(D299,'DESEMPATE Y DISCAPACIDAD'!D$3:$F$450,3,FALSE)="X","SI","NO"))),"")</f>
        <v/>
      </c>
      <c r="F299" s="286"/>
      <c r="G299" s="286"/>
      <c r="H299" s="286"/>
      <c r="I299" s="290"/>
      <c r="J299" s="286"/>
      <c r="K299" s="286"/>
      <c r="L299" s="286"/>
      <c r="M299" s="286"/>
      <c r="N299" s="125" t="str">
        <f t="shared" si="265"/>
        <v/>
      </c>
      <c r="O299" s="125" t="str">
        <f t="shared" si="271"/>
        <v/>
      </c>
      <c r="P299" s="125" t="str">
        <f t="shared" si="266"/>
        <v/>
      </c>
      <c r="Q299" s="125" t="str">
        <f t="shared" si="238"/>
        <v/>
      </c>
      <c r="R299" s="316"/>
      <c r="S299" s="317"/>
      <c r="T299" s="317"/>
      <c r="U299" s="125" t="str">
        <f t="shared" si="267"/>
        <v/>
      </c>
      <c r="V299" s="117" t="str">
        <f>IF(U299=2023,1160000,IFERROR(INDEX(SMMLV!$B$2:$B$101,MATCH(U299,SMMLV!$A$2:$A$101,0)),""))</f>
        <v/>
      </c>
      <c r="W299" s="343"/>
      <c r="X299" s="286"/>
      <c r="Y299" s="286"/>
      <c r="Z299" s="509"/>
      <c r="AA299" s="510"/>
      <c r="AB299" s="511"/>
      <c r="AC299" s="125" t="str">
        <f t="shared" si="268"/>
        <v/>
      </c>
      <c r="AD299" s="117" t="str">
        <f t="shared" si="239"/>
        <v/>
      </c>
      <c r="AE299" s="343" t="str">
        <f t="shared" si="256"/>
        <v/>
      </c>
      <c r="AF299" s="117" t="str">
        <f t="shared" si="234"/>
        <v/>
      </c>
      <c r="AG299" s="470"/>
      <c r="AH299" s="470"/>
      <c r="AI299" s="125" t="str">
        <f t="shared" si="235"/>
        <v/>
      </c>
      <c r="AJ299" s="470"/>
      <c r="AK299" s="470"/>
      <c r="AL299" s="527"/>
      <c r="AM299" s="505"/>
      <c r="AN299" s="381"/>
      <c r="AO299" s="674"/>
      <c r="AP299" s="381"/>
      <c r="AQ299" s="498"/>
      <c r="AR299" s="600"/>
      <c r="AS299" s="587"/>
      <c r="AT299" s="204"/>
      <c r="AU299" s="676"/>
      <c r="AV299" s="662"/>
      <c r="AW299" s="561"/>
      <c r="AX299" s="665"/>
      <c r="AY299" s="19"/>
      <c r="CB299" s="29" t="str">
        <f>IFERROR(IF(COUNTIF(AF293:AF302,"")=10,"",IF(COUNTIF(E293:E302,"N/A")&gt;0,IF(AF299&gt;=CMEMM1,AF299,0),"N/A")),"")</f>
        <v>N/A</v>
      </c>
      <c r="CC299" s="4"/>
      <c r="CD299" s="4" t="str">
        <f>IFERROR(IF(COUNTIF(AF293:AF302,"")=10,"",IF(AF299="","",IF(AF299&gt;=CMEMM1,1,0))),"")</f>
        <v/>
      </c>
      <c r="CE299" s="4" t="str">
        <f>B293&amp;"-0"&amp;7</f>
        <v>P30-07</v>
      </c>
      <c r="CF299" s="4" t="str">
        <f>IFERROR(INDEX('DESEMPATE Y DISCAPACIDAD'!$D$3:$D$450,MATCH(CE299,'DESEMPATE Y DISCAPACIDAD'!$C$3:$C$450,0)),"")</f>
        <v/>
      </c>
      <c r="CG299" s="4" t="str">
        <f>IF(OR(CE299="",CF299=""),"",SUMIF(D293:D302,CF299,CD293:CD302))</f>
        <v/>
      </c>
      <c r="CH299" s="4" t="str">
        <f t="shared" si="264"/>
        <v/>
      </c>
      <c r="CI299" s="4" t="str">
        <f t="shared" si="269"/>
        <v/>
      </c>
      <c r="CJ299" s="4"/>
      <c r="CK299" s="4"/>
      <c r="CL299" s="4" t="str">
        <f t="shared" si="236"/>
        <v/>
      </c>
      <c r="CM299" s="4" t="str">
        <f t="shared" si="237"/>
        <v/>
      </c>
      <c r="CN299" s="4" t="str">
        <f t="shared" si="270"/>
        <v/>
      </c>
      <c r="CO299" s="4"/>
      <c r="CP299" s="4"/>
      <c r="CQ299" s="29" t="str">
        <f t="shared" si="225"/>
        <v/>
      </c>
      <c r="CR299" s="29" t="str">
        <f t="shared" ref="CR299:CR330" si="272">IF(OR(AN299="",AF299=""),"",IF(AN299="NO",AF299,0))</f>
        <v/>
      </c>
      <c r="CS299" s="4"/>
    </row>
    <row r="300" spans="1:97" ht="45" customHeight="1">
      <c r="B300" s="481"/>
      <c r="C300" s="118"/>
      <c r="D300" s="126" t="str">
        <f>+IFERROR(INDEX('DESEMPATE Y DISCAPACIDAD'!$D$3:$D$450,MATCH(C300,'DESEMPATE Y DISCAPACIDAD'!$C$3:$C$450,0)),"")</f>
        <v/>
      </c>
      <c r="E300" s="127" t="str">
        <f>IFERROR(IF(D300="","",IF(VLOOKUP(D300,'DESEMPATE Y DISCAPACIDAD'!D$3:$E$450,2,FALSE)=1,"N/A",IF(VLOOKUP(D300,'DESEMPATE Y DISCAPACIDAD'!D$3:$F$450,3,FALSE)="X","SI","NO"))),"")</f>
        <v/>
      </c>
      <c r="F300" s="286"/>
      <c r="G300" s="286"/>
      <c r="H300" s="286"/>
      <c r="I300" s="290"/>
      <c r="J300" s="286"/>
      <c r="K300" s="286"/>
      <c r="L300" s="286"/>
      <c r="M300" s="286"/>
      <c r="N300" s="125" t="str">
        <f t="shared" si="265"/>
        <v/>
      </c>
      <c r="O300" s="125" t="str">
        <f t="shared" si="271"/>
        <v/>
      </c>
      <c r="P300" s="125" t="str">
        <f t="shared" si="266"/>
        <v/>
      </c>
      <c r="Q300" s="125" t="str">
        <f t="shared" si="238"/>
        <v/>
      </c>
      <c r="R300" s="316"/>
      <c r="S300" s="317"/>
      <c r="T300" s="317"/>
      <c r="U300" s="125" t="str">
        <f t="shared" si="267"/>
        <v/>
      </c>
      <c r="V300" s="117" t="str">
        <f>IF(U300=2023,1160000,IFERROR(INDEX(SMMLV!$B$2:$B$101,MATCH(U300,SMMLV!$A$2:$A$101,0)),""))</f>
        <v/>
      </c>
      <c r="W300" s="343"/>
      <c r="X300" s="286"/>
      <c r="Y300" s="286"/>
      <c r="Z300" s="509"/>
      <c r="AA300" s="510"/>
      <c r="AB300" s="511"/>
      <c r="AC300" s="125" t="str">
        <f t="shared" si="268"/>
        <v/>
      </c>
      <c r="AD300" s="117" t="str">
        <f t="shared" si="239"/>
        <v/>
      </c>
      <c r="AE300" s="343" t="str">
        <f t="shared" si="256"/>
        <v/>
      </c>
      <c r="AF300" s="117" t="str">
        <f t="shared" si="234"/>
        <v/>
      </c>
      <c r="AG300" s="470"/>
      <c r="AH300" s="470"/>
      <c r="AI300" s="125" t="str">
        <f t="shared" si="235"/>
        <v/>
      </c>
      <c r="AJ300" s="470"/>
      <c r="AK300" s="470"/>
      <c r="AL300" s="527"/>
      <c r="AM300" s="505"/>
      <c r="AN300" s="381"/>
      <c r="AO300" s="674"/>
      <c r="AP300" s="381"/>
      <c r="AQ300" s="498"/>
      <c r="AR300" s="600"/>
      <c r="AS300" s="587"/>
      <c r="AT300" s="204"/>
      <c r="AU300" s="676"/>
      <c r="AV300" s="662"/>
      <c r="AW300" s="561"/>
      <c r="AX300" s="665"/>
      <c r="AY300" s="19"/>
      <c r="CB300" s="29" t="str">
        <f>IFERROR(IF(COUNTIF(AF293:AF302,"")=10,"",IF(COUNTIF(E293:E302,"N/A")&gt;0,IF(AF300&gt;=CMEMM1,AF300,0),"N/A")),"")</f>
        <v>N/A</v>
      </c>
      <c r="CC300" s="4"/>
      <c r="CD300" s="4" t="str">
        <f>IFERROR(IF(COUNTIF(AF293:AF302,"")=10,"",IF(AF300="","",IF(AF300&gt;=CMEMM1,1,0))),"")</f>
        <v/>
      </c>
      <c r="CE300" s="4" t="str">
        <f>B293&amp;"-0"&amp;8</f>
        <v>P30-08</v>
      </c>
      <c r="CF300" s="4" t="str">
        <f>IFERROR(INDEX('DESEMPATE Y DISCAPACIDAD'!$D$3:$D$450,MATCH(CE300,'DESEMPATE Y DISCAPACIDAD'!$C$3:$C$450,0)),"")</f>
        <v/>
      </c>
      <c r="CG300" s="4" t="str">
        <f>IF(OR(CE300="",CF300=""),"",SUMIF(D293:D302,CF300,CD293:CD302))</f>
        <v/>
      </c>
      <c r="CH300" s="4" t="str">
        <f t="shared" si="264"/>
        <v/>
      </c>
      <c r="CI300" s="4" t="str">
        <f t="shared" si="269"/>
        <v/>
      </c>
      <c r="CJ300" s="4"/>
      <c r="CK300" s="4"/>
      <c r="CL300" s="4" t="str">
        <f t="shared" si="236"/>
        <v/>
      </c>
      <c r="CM300" s="4" t="str">
        <f t="shared" si="237"/>
        <v/>
      </c>
      <c r="CN300" s="4" t="str">
        <f t="shared" si="270"/>
        <v/>
      </c>
      <c r="CO300" s="4"/>
      <c r="CP300" s="4"/>
      <c r="CQ300" s="29" t="str">
        <f t="shared" si="225"/>
        <v/>
      </c>
      <c r="CR300" s="29" t="str">
        <f t="shared" si="272"/>
        <v/>
      </c>
      <c r="CS300" s="4"/>
    </row>
    <row r="301" spans="1:97" ht="45" customHeight="1">
      <c r="B301" s="481"/>
      <c r="C301" s="118"/>
      <c r="D301" s="126" t="str">
        <f>+IFERROR(INDEX('DESEMPATE Y DISCAPACIDAD'!$D$3:$D$450,MATCH(C301,'DESEMPATE Y DISCAPACIDAD'!$C$3:$C$450,0)),"")</f>
        <v/>
      </c>
      <c r="E301" s="127" t="str">
        <f>IFERROR(IF(D301="","",IF(VLOOKUP(D301,'DESEMPATE Y DISCAPACIDAD'!D$3:$E$450,2,FALSE)=1,"N/A",IF(VLOOKUP(D301,'DESEMPATE Y DISCAPACIDAD'!D$3:$F$450,3,FALSE)="X","SI","NO"))),"")</f>
        <v/>
      </c>
      <c r="F301" s="286"/>
      <c r="G301" s="286"/>
      <c r="H301" s="286"/>
      <c r="I301" s="290"/>
      <c r="J301" s="286"/>
      <c r="K301" s="286"/>
      <c r="L301" s="286"/>
      <c r="M301" s="286"/>
      <c r="N301" s="125" t="str">
        <f t="shared" si="265"/>
        <v/>
      </c>
      <c r="O301" s="125" t="str">
        <f t="shared" si="271"/>
        <v/>
      </c>
      <c r="P301" s="125" t="str">
        <f t="shared" si="266"/>
        <v/>
      </c>
      <c r="Q301" s="125" t="str">
        <f t="shared" si="238"/>
        <v/>
      </c>
      <c r="R301" s="316"/>
      <c r="S301" s="317"/>
      <c r="T301" s="317"/>
      <c r="U301" s="125" t="str">
        <f t="shared" si="267"/>
        <v/>
      </c>
      <c r="V301" s="117" t="str">
        <f>IF(U301=2023,1160000,IFERROR(INDEX(SMMLV!$B$2:$B$101,MATCH(U301,SMMLV!$A$2:$A$101,0)),""))</f>
        <v/>
      </c>
      <c r="W301" s="343"/>
      <c r="X301" s="286"/>
      <c r="Y301" s="286"/>
      <c r="Z301" s="509"/>
      <c r="AA301" s="510"/>
      <c r="AB301" s="511"/>
      <c r="AC301" s="125" t="str">
        <f t="shared" si="268"/>
        <v/>
      </c>
      <c r="AD301" s="117" t="str">
        <f t="shared" si="239"/>
        <v/>
      </c>
      <c r="AE301" s="343" t="str">
        <f t="shared" si="256"/>
        <v/>
      </c>
      <c r="AF301" s="117" t="str">
        <f t="shared" si="234"/>
        <v/>
      </c>
      <c r="AG301" s="470"/>
      <c r="AH301" s="470"/>
      <c r="AI301" s="125" t="str">
        <f t="shared" si="235"/>
        <v/>
      </c>
      <c r="AJ301" s="470"/>
      <c r="AK301" s="470"/>
      <c r="AL301" s="527"/>
      <c r="AM301" s="505"/>
      <c r="AN301" s="381"/>
      <c r="AO301" s="674"/>
      <c r="AP301" s="381"/>
      <c r="AQ301" s="498"/>
      <c r="AR301" s="600"/>
      <c r="AS301" s="587"/>
      <c r="AT301" s="204"/>
      <c r="AU301" s="676"/>
      <c r="AV301" s="662"/>
      <c r="AW301" s="561"/>
      <c r="AX301" s="665"/>
      <c r="AY301" s="19"/>
      <c r="CB301" s="29" t="str">
        <f>IFERROR(IF(COUNTIF(AF293:AF302,"")=10,"",IF(COUNTIF(E293:E302,"N/A")&gt;0,IF(AF301&gt;=CMEMM1,AF301,0),"N/A")),"")</f>
        <v>N/A</v>
      </c>
      <c r="CC301" s="4"/>
      <c r="CD301" s="4" t="str">
        <f>IFERROR(IF(COUNTIF(AF293:AF302,"")=10,"",IF(AF301="","",IF(AF301&gt;=CMEMM1,1,0))),"")</f>
        <v/>
      </c>
      <c r="CE301" s="4" t="str">
        <f>B293&amp;"-0"&amp;9</f>
        <v>P30-09</v>
      </c>
      <c r="CF301" s="4" t="str">
        <f>IFERROR(INDEX('DESEMPATE Y DISCAPACIDAD'!$D$3:$D$450,MATCH(CE301,'DESEMPATE Y DISCAPACIDAD'!$C$3:$C$450,0)),"")</f>
        <v/>
      </c>
      <c r="CG301" s="4" t="str">
        <f>IF(OR(CE301="",CF301=""),"",SUMIF(D293:D302,CF301,CD293:CD302))</f>
        <v/>
      </c>
      <c r="CH301" s="4" t="str">
        <f t="shared" si="264"/>
        <v/>
      </c>
      <c r="CI301" s="4" t="str">
        <f t="shared" si="269"/>
        <v/>
      </c>
      <c r="CJ301" s="4"/>
      <c r="CK301" s="4"/>
      <c r="CL301" s="4" t="str">
        <f t="shared" si="236"/>
        <v/>
      </c>
      <c r="CM301" s="4" t="str">
        <f t="shared" si="237"/>
        <v/>
      </c>
      <c r="CN301" s="4" t="str">
        <f t="shared" si="270"/>
        <v/>
      </c>
      <c r="CO301" s="4"/>
      <c r="CP301" s="4"/>
      <c r="CQ301" s="29" t="str">
        <f t="shared" si="225"/>
        <v/>
      </c>
      <c r="CR301" s="29" t="str">
        <f t="shared" si="272"/>
        <v/>
      </c>
      <c r="CS301" s="4"/>
    </row>
    <row r="302" spans="1:97" ht="45" customHeight="1" thickBot="1">
      <c r="B302" s="482"/>
      <c r="C302" s="130"/>
      <c r="D302" s="131" t="str">
        <f>+IFERROR(INDEX('DESEMPATE Y DISCAPACIDAD'!$D$3:$D$450,MATCH(C302,'DESEMPATE Y DISCAPACIDAD'!$C$3:$C$450,0)),"")</f>
        <v/>
      </c>
      <c r="E302" s="132" t="str">
        <f>IFERROR(IF(D302="","",IF(VLOOKUP(D302,'DESEMPATE Y DISCAPACIDAD'!D$3:$E$450,2,FALSE)=1,"N/A",IF(VLOOKUP(D302,'DESEMPATE Y DISCAPACIDAD'!D$3:$F$450,3,FALSE)="X","SI","NO"))),"")</f>
        <v/>
      </c>
      <c r="F302" s="291"/>
      <c r="G302" s="291"/>
      <c r="H302" s="291"/>
      <c r="I302" s="292"/>
      <c r="J302" s="291"/>
      <c r="K302" s="291"/>
      <c r="L302" s="291"/>
      <c r="M302" s="291"/>
      <c r="N302" s="133" t="str">
        <f t="shared" si="265"/>
        <v/>
      </c>
      <c r="O302" s="133" t="str">
        <f t="shared" si="271"/>
        <v/>
      </c>
      <c r="P302" s="133" t="str">
        <f t="shared" si="266"/>
        <v/>
      </c>
      <c r="Q302" s="133" t="str">
        <f t="shared" si="238"/>
        <v/>
      </c>
      <c r="R302" s="318"/>
      <c r="S302" s="319"/>
      <c r="T302" s="319"/>
      <c r="U302" s="133" t="str">
        <f t="shared" si="267"/>
        <v/>
      </c>
      <c r="V302" s="136" t="str">
        <f>IF(U302=2023,1160000,IFERROR(INDEX(SMMLV!$B$2:$B$101,MATCH(U302,SMMLV!$A$2:$A$101,0)),""))</f>
        <v/>
      </c>
      <c r="W302" s="344"/>
      <c r="X302" s="291"/>
      <c r="Y302" s="291"/>
      <c r="Z302" s="512"/>
      <c r="AA302" s="513"/>
      <c r="AB302" s="514"/>
      <c r="AC302" s="133" t="str">
        <f t="shared" si="268"/>
        <v/>
      </c>
      <c r="AD302" s="136" t="str">
        <f t="shared" si="239"/>
        <v/>
      </c>
      <c r="AE302" s="344" t="str">
        <f t="shared" si="239"/>
        <v/>
      </c>
      <c r="AF302" s="136" t="str">
        <f t="shared" si="234"/>
        <v/>
      </c>
      <c r="AG302" s="471"/>
      <c r="AH302" s="471"/>
      <c r="AI302" s="133" t="str">
        <f t="shared" si="235"/>
        <v/>
      </c>
      <c r="AJ302" s="471"/>
      <c r="AK302" s="471"/>
      <c r="AL302" s="528"/>
      <c r="AM302" s="506"/>
      <c r="AN302" s="415"/>
      <c r="AO302" s="675"/>
      <c r="AP302" s="415"/>
      <c r="AQ302" s="499"/>
      <c r="AR302" s="601"/>
      <c r="AS302" s="588"/>
      <c r="AT302" s="206"/>
      <c r="AU302" s="677"/>
      <c r="AV302" s="663"/>
      <c r="AW302" s="562"/>
      <c r="AX302" s="666"/>
      <c r="AY302" s="19"/>
      <c r="CB302" s="29" t="str">
        <f>IFERROR(IF(COUNTIF(AF293:AF302,"")=10,"",IF(COUNTIF(E293:E302,"N/A")&gt;0,IF(AF302&gt;=CMEMM1,AF302,0),"N/A")),"")</f>
        <v>N/A</v>
      </c>
      <c r="CC302" s="4"/>
      <c r="CD302" s="4" t="str">
        <f>IFERROR(IF(COUNTIF(AF293:AF302,"")=10,"",IF(AF302="","",IF(AF302&gt;=CMEMM1,1,0))),"")</f>
        <v/>
      </c>
      <c r="CE302" s="4" t="str">
        <f>B293&amp;"-"&amp;10</f>
        <v>P30-10</v>
      </c>
      <c r="CF302" s="4" t="str">
        <f>IFERROR(INDEX('DESEMPATE Y DISCAPACIDAD'!$D$3:$D$450,MATCH(CE302,'DESEMPATE Y DISCAPACIDAD'!$C$3:$C$450,0)),"")</f>
        <v/>
      </c>
      <c r="CG302" s="4" t="str">
        <f>IF(OR(CE302="",CF302=""),"",SUMIF(D293:D302,CF302,CD293:CD302))</f>
        <v/>
      </c>
      <c r="CH302" s="4" t="str">
        <f t="shared" si="264"/>
        <v/>
      </c>
      <c r="CI302" s="4" t="str">
        <f t="shared" si="269"/>
        <v/>
      </c>
      <c r="CJ302" s="4"/>
      <c r="CK302" s="4"/>
      <c r="CL302" s="4" t="str">
        <f t="shared" si="236"/>
        <v/>
      </c>
      <c r="CM302" s="4" t="str">
        <f t="shared" si="237"/>
        <v/>
      </c>
      <c r="CN302" s="4" t="str">
        <f t="shared" si="270"/>
        <v/>
      </c>
      <c r="CO302" s="4"/>
      <c r="CP302" s="4"/>
      <c r="CQ302" s="29" t="str">
        <f t="shared" si="225"/>
        <v/>
      </c>
      <c r="CR302" s="29" t="str">
        <f t="shared" si="272"/>
        <v/>
      </c>
      <c r="CS302" s="4"/>
    </row>
    <row r="303" spans="1:97" ht="34.25" customHeight="1">
      <c r="A303" s="4" t="str">
        <f>"A"&amp;B303</f>
        <v>AP31</v>
      </c>
      <c r="B303" s="480" t="s">
        <v>292</v>
      </c>
      <c r="C303" s="108" t="s">
        <v>404</v>
      </c>
      <c r="D303" s="119" t="str">
        <f>+IFERROR(INDEX('DESEMPATE Y DISCAPACIDAD'!$D$3:$D$450,MATCH(C303,'DESEMPATE Y DISCAPACIDAD'!$C$3:$C$450,0)),"")</f>
        <v>SEDIC S.A.</v>
      </c>
      <c r="E303" s="120" t="str">
        <f>IFERROR(IF(D303="","",IF(VLOOKUP(D303,'DESEMPATE Y DISCAPACIDAD'!D$3:$E$450,2,FALSE)=1,"N/A",IF(VLOOKUP(D303,'DESEMPATE Y DISCAPACIDAD'!D$3:$F$450,3,FALSE)="X","SI","NO"))),"")</f>
        <v>NO</v>
      </c>
      <c r="F303" s="282" t="s">
        <v>1262</v>
      </c>
      <c r="G303" s="283" t="s">
        <v>660</v>
      </c>
      <c r="H303" s="283" t="s">
        <v>1263</v>
      </c>
      <c r="I303" s="282" t="s">
        <v>1264</v>
      </c>
      <c r="J303" s="284" t="s">
        <v>74</v>
      </c>
      <c r="K303" s="284" t="s">
        <v>74</v>
      </c>
      <c r="L303" s="284" t="s">
        <v>75</v>
      </c>
      <c r="M303" s="284" t="s">
        <v>74</v>
      </c>
      <c r="N303" s="121" t="str">
        <f>IFERROR(IF(OR(J303="",K303=""),"",IF(J303="NO","NO",K303)),"")</f>
        <v>SI</v>
      </c>
      <c r="O303" s="121" t="str">
        <f>IFERROR(IF(OR(J303="",L303=""),"",IF(J303="NO","NO",L303)),"")</f>
        <v>NO</v>
      </c>
      <c r="P303" s="121" t="str">
        <f>IFERROR(IF(OR(J303="",M303=""),"",IF(J303="NO","NO",M303)),"")</f>
        <v>SI</v>
      </c>
      <c r="Q303" s="121" t="str">
        <f t="shared" si="238"/>
        <v>SI</v>
      </c>
      <c r="R303" s="327">
        <v>0.5</v>
      </c>
      <c r="S303" s="311">
        <v>40058</v>
      </c>
      <c r="T303" s="312">
        <v>41639</v>
      </c>
      <c r="U303" s="121">
        <f>IFERROR(IF(T303="","",YEAR(T303)),"")</f>
        <v>2013</v>
      </c>
      <c r="V303" s="124">
        <f>IF(U303=2023,1160000,IFERROR(INDEX(SMMLV!$B$2:$B$101,MATCH(U303,SMMLV!$A$2:$A$101,0)),""))</f>
        <v>589500</v>
      </c>
      <c r="W303" s="342" t="s">
        <v>670</v>
      </c>
      <c r="X303" s="284" t="s">
        <v>671</v>
      </c>
      <c r="Y303" s="283">
        <v>17</v>
      </c>
      <c r="Z303" s="667" t="s">
        <v>74</v>
      </c>
      <c r="AA303" s="668"/>
      <c r="AB303" s="669"/>
      <c r="AC303" s="121" t="str">
        <f>IFERROR(IF(Y303="","",IF(ISNUMBER(Y303),IF(COUNTIF(Z303,"SI")&gt;0,"SI","NO"),Y303)),"")</f>
        <v>SI</v>
      </c>
      <c r="AD303" s="124" t="str">
        <f t="shared" si="239"/>
        <v>N/A</v>
      </c>
      <c r="AE303" s="350">
        <v>58190.23</v>
      </c>
      <c r="AF303" s="124">
        <f t="shared" si="234"/>
        <v>29095.115000000002</v>
      </c>
      <c r="AG303" s="486" t="str">
        <f>IFERROR(IF(COUNTIF(AF303:AF312,"")=10,"",IF(COUNTIF(E303:E312,"N/A")&gt;0,IF(SUM(CB303:CB312)&gt;=CMEM1,"CUMPLE","NO CUMPLE"),IF(SUM(AF303:AF312)&gt;=CMEM1,"CUMPLE","NO CUMPLE"))),"")</f>
        <v>CUMPLE</v>
      </c>
      <c r="AH303" s="486" t="str">
        <f>IF(COUNTIF(AF303:AF312,"")=10,"",IF(SUMIF(C303:C312,C303,AF303:AF312)&gt;=CMLM1,"CUMPLE",IF(SUMIF(C303:C312,C304,AF303:AF312)&gt;=CMLM1,"CUMPLE",IF(SUMIF(C303:C312,C305,AF303:AF312)&gt;=CMLM1,"CUMPLE",IF(SUMIF(C303:C312,C306,AF303:AF312)&gt;=CMLM1,"CUMPLE",IF(SUMIF(C303:C312,C307,AF303:AF312)&gt;=CMLM1,"CUMPLE",IF(SUMIF(C303:C312,C308,AF303:AF312)&gt;=CMLM1,"CUMPLE",IF(SUMIF(C303:C312,C309,AF303:AF312)&gt;=CMLM1,"CUMPLE",IF(SUMIF(C303:C312,C310,AF303:AF312)&gt;=CMLM1,"CUMPLE",IF(SUMIF(C303:C312,C311,AF303:AF312)&gt;=CMLM1,"CUMPLE",IF(SUMIF(C303:C312,C312,AF303:AF312)&gt;=CMLM1,"CUMPLE","NO CUMPLE")))))))))))</f>
        <v>CUMPLE</v>
      </c>
      <c r="AI303" s="121" t="str">
        <f t="shared" si="235"/>
        <v>CUMPLE</v>
      </c>
      <c r="AJ303" s="469" t="str">
        <f>IFERROR(IF(COUNTIF(AF303:AF312,"")=10,"",IF(COUNTIF(E303:E312,"N/A")&gt;0,"N/A",CJ303)),"")</f>
        <v>CUMPLE</v>
      </c>
      <c r="AK303" s="469" t="str">
        <f>IFERROR(IF(AND(COUNTIF(N303:N312,"SI")&gt;=1,COUNTIF(O303:O312,"SI")&gt;=1,COUNTIF(P303:P312,"SI")&gt;=1,COUNTIF(J303:J312,"SI")&lt;=10,CO303="CUMPLE"),"CUMPLE","NO CUMPLE"),"")</f>
        <v>CUMPLE</v>
      </c>
      <c r="AL303" s="472" t="s">
        <v>77</v>
      </c>
      <c r="AM303" s="495">
        <f>IFERROR(IF(B303&lt;&gt;"",IF(VLOOKUP(B303,'DESEMPATE Y DISCAPACIDAD'!$A$3:$Q$450,10,FALSE)="","",VLOOKUP(B303,'DESEMPATE Y DISCAPACIDAD'!$A$3:$Q$450,10,FALSE)+6),""),"")</f>
        <v>8</v>
      </c>
      <c r="AN303" s="284" t="s">
        <v>75</v>
      </c>
      <c r="AO303" s="507" t="s">
        <v>74</v>
      </c>
      <c r="AP303" s="284" t="s">
        <v>74</v>
      </c>
      <c r="AQ303" s="490">
        <f>IFERROR(IF(COUNTIF(AP303:AP312,"")=10,"",IF(AO303="NO",0,COUNTIF(AP303:AP312,"SI"))),"")</f>
        <v>5</v>
      </c>
      <c r="AR303" s="521">
        <f>IFERROR(IF(COUNTIF(AF303:AF312,"")=10,"",IF(AO303="NO",0,IF(COUNTIF(E303:E312,"N/A")&gt;0,SUM(CQ303:CQ312),SUM(CR303:CR312)))),"")</f>
        <v>74221.152999999991</v>
      </c>
      <c r="AS303" s="518">
        <f>IFERROR(IF(OR(COUNTIF(AF303:AF312,"")=10,AQ303="",AR303=""),"",IF(AO303="NO",0,AR303/AQ303)),"")</f>
        <v>14844.230599999999</v>
      </c>
      <c r="AT303" s="207"/>
      <c r="AU303" s="658" t="s">
        <v>1180</v>
      </c>
      <c r="AV303" s="670" t="s">
        <v>747</v>
      </c>
      <c r="AW303" s="560" t="s">
        <v>1357</v>
      </c>
      <c r="AX303" s="560" t="s">
        <v>1357</v>
      </c>
      <c r="AY303" s="19"/>
      <c r="CB303" s="29" t="str">
        <f>IFERROR(IF(COUNTIF(AF303:AF312,"")=10,"",IF(COUNTIF(E303:E312,"N/A")&gt;0,IF(AF303&gt;=CMEMM1,AF303,0),"N/A")),"")</f>
        <v>N/A</v>
      </c>
      <c r="CC303" s="4"/>
      <c r="CD303" s="4">
        <f>IFERROR(IF(COUNTIF(AF303:AF312,"")=10,"",IF(AF303="","",IF(AF303&gt;=CMEMM1,1,0))),"")</f>
        <v>1</v>
      </c>
      <c r="CE303" s="4" t="str">
        <f>B303&amp;"-0"&amp;1</f>
        <v>P31-01</v>
      </c>
      <c r="CF303" s="4" t="str">
        <f>IFERROR(INDEX('DESEMPATE Y DISCAPACIDAD'!$D$3:$D$450,MATCH(CE303,'DESEMPATE Y DISCAPACIDAD'!$C$3:$C$450,0)),"")</f>
        <v>SEDIC S.A.</v>
      </c>
      <c r="CG303" s="4">
        <f>IF(OR(CE303="",CF303=""),"",SUMIF(D303:D312,CF303,CD303:CD312))</f>
        <v>1</v>
      </c>
      <c r="CH303" s="4" t="str">
        <f t="shared" si="264"/>
        <v>CUMPLE</v>
      </c>
      <c r="CI303" s="4">
        <f>IF(CF303="","",IF(ISTEXT(CF303),1,0))</f>
        <v>1</v>
      </c>
      <c r="CJ303" s="4" t="str">
        <f>IF(OR(CE303="",CF303="",CG303="",CH303="",CI303=""),"",IF(COUNTIF(CH303:CH312,"CUMPLE")=COUNTIF(CI303:CI312,1),"CUMPLE","NO CUMPLE"))</f>
        <v>CUMPLE</v>
      </c>
      <c r="CK303" s="4"/>
      <c r="CL303" s="4">
        <f t="shared" si="236"/>
        <v>1</v>
      </c>
      <c r="CM303" s="4">
        <f t="shared" si="237"/>
        <v>0</v>
      </c>
      <c r="CN303" s="4" t="str">
        <f>IF(OR(CL303="",CM303=""),"",IF(AND(CL303=0,CM303=0),"N/A",IF(AND(CL303=1,CM303=0),"COND. A",IF(AND(CL303=0,CM303=1),"COND. B",IF(AND(CL303=1,CM303=1),"COND. A Y B","")))))</f>
        <v>COND. A</v>
      </c>
      <c r="CO303" s="4" t="str">
        <f>IF(COUNTIF(CN303:CN312,"N/A")=10,"NO CUMPLE",IF(COUNTIF(CN303:CN312,"COND. A Y B")&gt;1,"CUMPLE",IF(AND(COUNTIF(CN303:CN312,"COND. A")&gt;0,COUNTIF(CN303:CN312,"COND. B")&gt;0),"CUMPLE",IF(AND(COUNTIF(CN303:CN312,"COND. A Y B")&gt;0,COUNTIF(CN303:CN312,"COND. A")&gt;0),"CUMPLE",IF(AND(COUNTIF(CN303:CN312,"COND. A Y B")&gt;0,COUNTIF(CN303:CN312,"COND. B")&gt;0),"CUMPLE","NO CUMPLE")))))</f>
        <v>CUMPLE</v>
      </c>
      <c r="CP303" s="4"/>
      <c r="CQ303" s="29" t="str">
        <f t="shared" si="225"/>
        <v>N/A</v>
      </c>
      <c r="CR303" s="29">
        <f t="shared" si="272"/>
        <v>29095.115000000002</v>
      </c>
      <c r="CS303" s="4"/>
    </row>
    <row r="304" spans="1:97" ht="34.25" customHeight="1">
      <c r="B304" s="481"/>
      <c r="C304" s="118" t="s">
        <v>405</v>
      </c>
      <c r="D304" s="119" t="str">
        <f>+IFERROR(INDEX('DESEMPATE Y DISCAPACIDAD'!$D$3:$D$450,MATCH(C304,'DESEMPATE Y DISCAPACIDAD'!$C$3:$C$450,0)),"")</f>
        <v>SEDIC CONSULTING S.A.S</v>
      </c>
      <c r="E304" s="120" t="str">
        <f>IFERROR(IF(D304="","",IF(VLOOKUP(D304,'DESEMPATE Y DISCAPACIDAD'!D$3:$E$450,2,FALSE)=1,"N/A",IF(VLOOKUP(D304,'DESEMPATE Y DISCAPACIDAD'!D$3:$F$450,3,FALSE)="X","SI","NO"))),"")</f>
        <v>NO</v>
      </c>
      <c r="F304" s="282" t="s">
        <v>1262</v>
      </c>
      <c r="G304" s="283" t="s">
        <v>660</v>
      </c>
      <c r="H304" s="283" t="s">
        <v>1265</v>
      </c>
      <c r="I304" s="282" t="s">
        <v>1266</v>
      </c>
      <c r="J304" s="284" t="s">
        <v>74</v>
      </c>
      <c r="K304" s="284" t="s">
        <v>74</v>
      </c>
      <c r="L304" s="284" t="s">
        <v>75</v>
      </c>
      <c r="M304" s="284" t="s">
        <v>74</v>
      </c>
      <c r="N304" s="121" t="str">
        <f t="shared" ref="N304:N312" si="273">IFERROR(IF(OR(J304="",K304=""),"",IF(J304="NO","NO",K304)),"")</f>
        <v>SI</v>
      </c>
      <c r="O304" s="121" t="str">
        <f>IFERROR(IF(OR(J304="",L304=""),"",IF(J304="NO","NO",L304)),"")</f>
        <v>NO</v>
      </c>
      <c r="P304" s="121" t="str">
        <f t="shared" ref="P304:P312" si="274">IFERROR(IF(OR(J304="",M304=""),"",IF(J304="NO","NO",M304)),"")</f>
        <v>SI</v>
      </c>
      <c r="Q304" s="121" t="str">
        <f t="shared" si="238"/>
        <v>SI</v>
      </c>
      <c r="R304" s="327">
        <v>1</v>
      </c>
      <c r="S304" s="311">
        <v>33217</v>
      </c>
      <c r="T304" s="312">
        <v>35519</v>
      </c>
      <c r="U304" s="121">
        <f t="shared" ref="U304:U312" si="275">IFERROR(IF(T304="","",YEAR(T304)),"")</f>
        <v>1997</v>
      </c>
      <c r="V304" s="124">
        <f>IF(U304=2023,1160000,IFERROR(INDEX(SMMLV!$B$2:$B$101,MATCH(U304,SMMLV!$A$2:$A$101,0)),""))</f>
        <v>172005</v>
      </c>
      <c r="W304" s="342" t="s">
        <v>670</v>
      </c>
      <c r="X304" s="286" t="s">
        <v>671</v>
      </c>
      <c r="Y304" s="283">
        <v>3</v>
      </c>
      <c r="Z304" s="509" t="s">
        <v>74</v>
      </c>
      <c r="AA304" s="510"/>
      <c r="AB304" s="511"/>
      <c r="AC304" s="125" t="str">
        <f t="shared" ref="AC304:AC312" si="276">IFERROR(IF(Y304="","",IF(ISNUMBER(Y304),IF(COUNTIF(Z304,"SI")&gt;0,"SI","NO"),Y304)),"")</f>
        <v>SI</v>
      </c>
      <c r="AD304" s="117" t="str">
        <f t="shared" si="239"/>
        <v>N/A</v>
      </c>
      <c r="AE304" s="350">
        <v>26228.57</v>
      </c>
      <c r="AF304" s="117">
        <f t="shared" si="234"/>
        <v>26228.57</v>
      </c>
      <c r="AG304" s="470"/>
      <c r="AH304" s="470"/>
      <c r="AI304" s="125" t="str">
        <f t="shared" si="235"/>
        <v>CUMPLE</v>
      </c>
      <c r="AJ304" s="470"/>
      <c r="AK304" s="470"/>
      <c r="AL304" s="472"/>
      <c r="AM304" s="496"/>
      <c r="AN304" s="284" t="s">
        <v>75</v>
      </c>
      <c r="AO304" s="507"/>
      <c r="AP304" s="284" t="s">
        <v>74</v>
      </c>
      <c r="AQ304" s="490"/>
      <c r="AR304" s="522"/>
      <c r="AS304" s="519"/>
      <c r="AT304" s="204"/>
      <c r="AU304" s="659"/>
      <c r="AV304" s="671"/>
      <c r="AW304" s="561"/>
      <c r="AX304" s="561"/>
      <c r="AY304" s="19"/>
      <c r="CB304" s="29" t="str">
        <f>IFERROR(IF(COUNTIF(AF303:AF312,"")=10,"",IF(COUNTIF(E303:E312,"N/A")&gt;0,IF(AF304&gt;=CMEMM1,AF304,0),"N/A")),"")</f>
        <v>N/A</v>
      </c>
      <c r="CC304" s="4"/>
      <c r="CD304" s="4">
        <f>IFERROR(IF(COUNTIF(AF303:AF312,"")=10,"",IF(AF304="","",IF(AF304&gt;=CMEMM1,1,0))),"")</f>
        <v>1</v>
      </c>
      <c r="CE304" s="4" t="str">
        <f>B303&amp;"-0"&amp;2</f>
        <v>P31-02</v>
      </c>
      <c r="CF304" s="4" t="str">
        <f>IFERROR(INDEX('DESEMPATE Y DISCAPACIDAD'!$D$3:$D$450,MATCH(CE304,'DESEMPATE Y DISCAPACIDAD'!$C$3:$C$450,0)),"")</f>
        <v>SEDIC CONSULTING S.A.S</v>
      </c>
      <c r="CG304" s="4">
        <f>IF(OR(CE304="",CF304=""),"",SUMIF(D303:D312,CF304,CD303:CD312))</f>
        <v>2</v>
      </c>
      <c r="CH304" s="4" t="str">
        <f t="shared" si="264"/>
        <v>CUMPLE</v>
      </c>
      <c r="CI304" s="4">
        <f t="shared" ref="CI304:CI312" si="277">IF(CF304="","",IF(ISTEXT(CF304),1,0))</f>
        <v>1</v>
      </c>
      <c r="CJ304" s="4"/>
      <c r="CK304" s="4"/>
      <c r="CL304" s="4">
        <f t="shared" si="236"/>
        <v>1</v>
      </c>
      <c r="CM304" s="4">
        <f t="shared" si="237"/>
        <v>0</v>
      </c>
      <c r="CN304" s="4" t="str">
        <f t="shared" ref="CN304:CN312" si="278">IF(OR(CL304="",CM304=""),"",IF(AND(CL304=0,CM304=0),"N/A",IF(AND(CL304=1,CM304=0),"COND. A",IF(AND(CL304=0,CM304=1),"COND. B",IF(AND(CL304=1,CM304=1),"COND. A Y B","")))))</f>
        <v>COND. A</v>
      </c>
      <c r="CO304" s="4"/>
      <c r="CP304" s="4"/>
      <c r="CQ304" s="29" t="str">
        <f t="shared" si="225"/>
        <v>N/A</v>
      </c>
      <c r="CR304" s="29">
        <f t="shared" si="272"/>
        <v>26228.57</v>
      </c>
      <c r="CS304" s="4"/>
    </row>
    <row r="305" spans="1:97" ht="34.25" customHeight="1">
      <c r="B305" s="481"/>
      <c r="C305" s="118" t="s">
        <v>405</v>
      </c>
      <c r="D305" s="126" t="str">
        <f>+IFERROR(INDEX('DESEMPATE Y DISCAPACIDAD'!$D$3:$D$450,MATCH(C305,'DESEMPATE Y DISCAPACIDAD'!$C$3:$C$450,0)),"")</f>
        <v>SEDIC CONSULTING S.A.S</v>
      </c>
      <c r="E305" s="127" t="str">
        <f>IFERROR(IF(D305="","",IF(VLOOKUP(D305,'DESEMPATE Y DISCAPACIDAD'!D$3:$E$450,2,FALSE)=1,"N/A",IF(VLOOKUP(D305,'DESEMPATE Y DISCAPACIDAD'!D$3:$F$450,3,FALSE)="X","SI","NO"))),"")</f>
        <v>NO</v>
      </c>
      <c r="F305" s="282" t="s">
        <v>1267</v>
      </c>
      <c r="G305" s="283" t="s">
        <v>660</v>
      </c>
      <c r="H305" s="283" t="s">
        <v>1268</v>
      </c>
      <c r="I305" s="282" t="s">
        <v>1269</v>
      </c>
      <c r="J305" s="286" t="s">
        <v>74</v>
      </c>
      <c r="K305" s="286" t="s">
        <v>74</v>
      </c>
      <c r="L305" s="286" t="s">
        <v>75</v>
      </c>
      <c r="M305" s="286" t="s">
        <v>74</v>
      </c>
      <c r="N305" s="125" t="str">
        <f t="shared" si="273"/>
        <v>SI</v>
      </c>
      <c r="O305" s="125" t="str">
        <f>IFERROR(IF(OR(J305="",L305=""),"",IF(J305="NO","NO",L305)),"")</f>
        <v>NO</v>
      </c>
      <c r="P305" s="125" t="str">
        <f t="shared" si="274"/>
        <v>SI</v>
      </c>
      <c r="Q305" s="125" t="str">
        <f t="shared" si="238"/>
        <v>SI</v>
      </c>
      <c r="R305" s="327">
        <v>1</v>
      </c>
      <c r="S305" s="311">
        <v>36298</v>
      </c>
      <c r="T305" s="312">
        <v>37425</v>
      </c>
      <c r="U305" s="125">
        <f t="shared" si="275"/>
        <v>2002</v>
      </c>
      <c r="V305" s="117">
        <f>IF(U305=2023,1160000,IFERROR(INDEX(SMMLV!$B$2:$B$101,MATCH(U305,SMMLV!$A$2:$A$101,0)),""))</f>
        <v>309000</v>
      </c>
      <c r="W305" s="343" t="s">
        <v>670</v>
      </c>
      <c r="X305" s="286" t="s">
        <v>671</v>
      </c>
      <c r="Y305" s="283">
        <v>11</v>
      </c>
      <c r="Z305" s="509" t="s">
        <v>74</v>
      </c>
      <c r="AA305" s="510"/>
      <c r="AB305" s="511"/>
      <c r="AC305" s="125" t="str">
        <f t="shared" si="276"/>
        <v>SI</v>
      </c>
      <c r="AD305" s="117" t="str">
        <f t="shared" si="239"/>
        <v>N/A</v>
      </c>
      <c r="AE305" s="350">
        <v>12298.96</v>
      </c>
      <c r="AF305" s="117">
        <f t="shared" si="234"/>
        <v>12298.96</v>
      </c>
      <c r="AG305" s="470"/>
      <c r="AH305" s="470"/>
      <c r="AI305" s="125" t="str">
        <f t="shared" si="235"/>
        <v>CUMPLE</v>
      </c>
      <c r="AJ305" s="470"/>
      <c r="AK305" s="470"/>
      <c r="AL305" s="472"/>
      <c r="AM305" s="496"/>
      <c r="AN305" s="284" t="s">
        <v>75</v>
      </c>
      <c r="AO305" s="507"/>
      <c r="AP305" s="284" t="s">
        <v>74</v>
      </c>
      <c r="AQ305" s="490"/>
      <c r="AR305" s="522"/>
      <c r="AS305" s="519"/>
      <c r="AT305" s="204"/>
      <c r="AU305" s="659"/>
      <c r="AV305" s="671"/>
      <c r="AW305" s="561"/>
      <c r="AX305" s="561"/>
      <c r="AY305" s="19"/>
      <c r="CB305" s="29" t="str">
        <f>IFERROR(IF(COUNTIF(AF303:AF312,"")=10,"",IF(COUNTIF(E303:E312,"N/A")&gt;0,IF(AF305&gt;=CMEMM1,AF305,0),"N/A")),"")</f>
        <v>N/A</v>
      </c>
      <c r="CC305" s="4"/>
      <c r="CD305" s="4">
        <f>IFERROR(IF(COUNTIF(AF303:AF312,"")=10,"",IF(AF305="","",IF(AF305&gt;=CMEMM1,1,0))),"")</f>
        <v>1</v>
      </c>
      <c r="CE305" s="4" t="str">
        <f>B303&amp;"-0"&amp;3</f>
        <v>P31-03</v>
      </c>
      <c r="CF305" s="4" t="str">
        <f>IFERROR(INDEX('DESEMPATE Y DISCAPACIDAD'!$D$3:$D$450,MATCH(CE305,'DESEMPATE Y DISCAPACIDAD'!$C$3:$C$450,0)),"")</f>
        <v>GAB INGENIERÍA S.A.S.</v>
      </c>
      <c r="CG305" s="4">
        <f>IF(OR(CE305="",CF305=""),"",SUMIF(D303:D312,CF305,CD303:CD312))</f>
        <v>1</v>
      </c>
      <c r="CH305" s="4" t="str">
        <f t="shared" si="264"/>
        <v>CUMPLE</v>
      </c>
      <c r="CI305" s="4">
        <f t="shared" si="277"/>
        <v>1</v>
      </c>
      <c r="CJ305" s="4"/>
      <c r="CK305" s="4"/>
      <c r="CL305" s="4">
        <f t="shared" si="236"/>
        <v>1</v>
      </c>
      <c r="CM305" s="4">
        <f t="shared" si="237"/>
        <v>0</v>
      </c>
      <c r="CN305" s="4" t="str">
        <f t="shared" si="278"/>
        <v>COND. A</v>
      </c>
      <c r="CO305" s="4"/>
      <c r="CP305" s="4"/>
      <c r="CQ305" s="29" t="str">
        <f t="shared" si="225"/>
        <v>N/A</v>
      </c>
      <c r="CR305" s="29">
        <f t="shared" si="272"/>
        <v>12298.96</v>
      </c>
      <c r="CS305" s="4"/>
    </row>
    <row r="306" spans="1:97" ht="40" customHeight="1">
      <c r="B306" s="481"/>
      <c r="C306" s="118" t="s">
        <v>406</v>
      </c>
      <c r="D306" s="126" t="str">
        <f>+IFERROR(INDEX('DESEMPATE Y DISCAPACIDAD'!$D$3:$D$450,MATCH(C306,'DESEMPATE Y DISCAPACIDAD'!$C$3:$C$450,0)),"")</f>
        <v>GAB INGENIERÍA S.A.S.</v>
      </c>
      <c r="E306" s="127" t="str">
        <f>IFERROR(IF(D306="","",IF(VLOOKUP(D306,'DESEMPATE Y DISCAPACIDAD'!D$3:$E$450,2,FALSE)=1,"N/A",IF(VLOOKUP(D306,'DESEMPATE Y DISCAPACIDAD'!D$3:$F$450,3,FALSE)="X","SI","NO"))),"")</f>
        <v>NO</v>
      </c>
      <c r="F306" s="282" t="s">
        <v>1270</v>
      </c>
      <c r="G306" s="283" t="s">
        <v>660</v>
      </c>
      <c r="H306" s="283" t="s">
        <v>1271</v>
      </c>
      <c r="I306" s="282" t="s">
        <v>1272</v>
      </c>
      <c r="J306" s="286" t="s">
        <v>74</v>
      </c>
      <c r="K306" s="286" t="s">
        <v>74</v>
      </c>
      <c r="L306" s="286" t="s">
        <v>75</v>
      </c>
      <c r="M306" s="286" t="s">
        <v>74</v>
      </c>
      <c r="N306" s="125" t="str">
        <f t="shared" si="273"/>
        <v>SI</v>
      </c>
      <c r="O306" s="125" t="str">
        <f>IFERROR(IF(OR(J306="",L306=""),"",IF(J306="NO","NO",L306)),"")</f>
        <v>NO</v>
      </c>
      <c r="P306" s="125" t="str">
        <f t="shared" si="274"/>
        <v>SI</v>
      </c>
      <c r="Q306" s="125" t="str">
        <f t="shared" si="238"/>
        <v>SI</v>
      </c>
      <c r="R306" s="411">
        <v>0.4</v>
      </c>
      <c r="S306" s="311">
        <v>43538</v>
      </c>
      <c r="T306" s="311">
        <v>45397</v>
      </c>
      <c r="U306" s="125">
        <f t="shared" si="275"/>
        <v>2024</v>
      </c>
      <c r="V306" s="117" t="str">
        <f>IF(U306=2023,1160000,IFERROR(INDEX(SMMLV!$B$2:$B$101,MATCH(U306,SMMLV!$A$2:$A$101,0)),""))</f>
        <v/>
      </c>
      <c r="W306" s="343" t="s">
        <v>670</v>
      </c>
      <c r="X306" s="286" t="s">
        <v>671</v>
      </c>
      <c r="Y306" s="283">
        <v>6</v>
      </c>
      <c r="Z306" s="509" t="s">
        <v>74</v>
      </c>
      <c r="AA306" s="510"/>
      <c r="AB306" s="511"/>
      <c r="AC306" s="125" t="str">
        <f t="shared" si="276"/>
        <v>SI</v>
      </c>
      <c r="AD306" s="117" t="str">
        <f t="shared" si="239"/>
        <v>N/A</v>
      </c>
      <c r="AE306" s="350">
        <v>11277.77</v>
      </c>
      <c r="AF306" s="117">
        <f t="shared" si="234"/>
        <v>4511.1080000000002</v>
      </c>
      <c r="AG306" s="470"/>
      <c r="AH306" s="470"/>
      <c r="AI306" s="125" t="str">
        <f t="shared" si="235"/>
        <v>CUMPLE</v>
      </c>
      <c r="AJ306" s="470"/>
      <c r="AK306" s="470"/>
      <c r="AL306" s="472"/>
      <c r="AM306" s="496"/>
      <c r="AN306" s="284" t="s">
        <v>75</v>
      </c>
      <c r="AO306" s="507"/>
      <c r="AP306" s="284" t="s">
        <v>74</v>
      </c>
      <c r="AQ306" s="490"/>
      <c r="AR306" s="522"/>
      <c r="AS306" s="519"/>
      <c r="AT306" s="204"/>
      <c r="AU306" s="659"/>
      <c r="AV306" s="671"/>
      <c r="AW306" s="561"/>
      <c r="AX306" s="561"/>
      <c r="AY306" s="19"/>
      <c r="CB306" s="29" t="str">
        <f>IFERROR(IF(COUNTIF(AF303:AF312,"")=10,"",IF(COUNTIF(E303:E312,"N/A")&gt;0,IF(AF306&gt;=CMEMM1,AF306,0),"N/A")),"")</f>
        <v>N/A</v>
      </c>
      <c r="CC306" s="4"/>
      <c r="CD306" s="4">
        <f>IFERROR(IF(COUNTIF(AF303:AF312,"")=10,"",IF(AF306="","",IF(AF306&gt;=CMEMM1,1,0))),"")</f>
        <v>1</v>
      </c>
      <c r="CE306" s="4" t="str">
        <f>B303&amp;"-0"&amp;4</f>
        <v>P31-04</v>
      </c>
      <c r="CF306" s="4">
        <f>IFERROR(INDEX('DESEMPATE Y DISCAPACIDAD'!$D$3:$D$450,MATCH(CE306,'DESEMPATE Y DISCAPACIDAD'!$C$3:$C$450,0)),"")</f>
        <v>0</v>
      </c>
      <c r="CG306" s="4">
        <f>IF(OR(CE306="",CF306=""),"",SUMIF(D303:D312,CF306,CD303:CD312))</f>
        <v>0</v>
      </c>
      <c r="CH306" s="4" t="str">
        <f t="shared" si="264"/>
        <v>NO CUMPLE</v>
      </c>
      <c r="CI306" s="4">
        <f t="shared" si="277"/>
        <v>0</v>
      </c>
      <c r="CJ306" s="4"/>
      <c r="CK306" s="4"/>
      <c r="CL306" s="4">
        <f t="shared" si="236"/>
        <v>1</v>
      </c>
      <c r="CM306" s="4">
        <f t="shared" si="237"/>
        <v>0</v>
      </c>
      <c r="CN306" s="4" t="str">
        <f t="shared" si="278"/>
        <v>COND. A</v>
      </c>
      <c r="CO306" s="4"/>
      <c r="CP306" s="4"/>
      <c r="CQ306" s="29" t="str">
        <f t="shared" si="225"/>
        <v>N/A</v>
      </c>
      <c r="CR306" s="29">
        <f t="shared" si="272"/>
        <v>4511.1080000000002</v>
      </c>
      <c r="CS306" s="4"/>
    </row>
    <row r="307" spans="1:97" ht="40" customHeight="1">
      <c r="B307" s="481"/>
      <c r="C307" s="118" t="s">
        <v>405</v>
      </c>
      <c r="D307" s="126" t="str">
        <f>+IFERROR(INDEX('DESEMPATE Y DISCAPACIDAD'!$D$3:$D$450,MATCH(C307,'DESEMPATE Y DISCAPACIDAD'!$C$3:$C$450,0)),"")</f>
        <v>SEDIC CONSULTING S.A.S</v>
      </c>
      <c r="E307" s="127" t="str">
        <f>IFERROR(IF(D307="","",IF(VLOOKUP(D307,'DESEMPATE Y DISCAPACIDAD'!D$3:$E$450,2,FALSE)=1,"N/A",IF(VLOOKUP(D307,'DESEMPATE Y DISCAPACIDAD'!D$3:$F$450,3,FALSE)="X","SI","NO"))),"")</f>
        <v>NO</v>
      </c>
      <c r="F307" s="282" t="s">
        <v>1273</v>
      </c>
      <c r="G307" s="283" t="s">
        <v>660</v>
      </c>
      <c r="H307" s="283" t="s">
        <v>1274</v>
      </c>
      <c r="I307" s="282" t="s">
        <v>1275</v>
      </c>
      <c r="J307" s="286" t="s">
        <v>74</v>
      </c>
      <c r="K307" s="286" t="s">
        <v>74</v>
      </c>
      <c r="L307" s="286" t="s">
        <v>74</v>
      </c>
      <c r="M307" s="286" t="s">
        <v>74</v>
      </c>
      <c r="N307" s="125" t="str">
        <f t="shared" si="273"/>
        <v>SI</v>
      </c>
      <c r="O307" s="125" t="str">
        <f t="shared" ref="O307:O312" si="279">IFERROR(IF(OR(J307="",L307=""),"",IF(J307="NO","NO",L307)),"")</f>
        <v>SI</v>
      </c>
      <c r="P307" s="125" t="str">
        <f t="shared" si="274"/>
        <v>SI</v>
      </c>
      <c r="Q307" s="125" t="str">
        <f t="shared" si="238"/>
        <v>SI</v>
      </c>
      <c r="R307" s="327">
        <v>0.2</v>
      </c>
      <c r="S307" s="311">
        <v>41204</v>
      </c>
      <c r="T307" s="312">
        <v>42299</v>
      </c>
      <c r="U307" s="125">
        <f t="shared" si="275"/>
        <v>2015</v>
      </c>
      <c r="V307" s="117">
        <f>IF(U307=2023,1160000,IFERROR(INDEX(SMMLV!$B$2:$B$101,MATCH(U307,SMMLV!$A$2:$A$101,0)),""))</f>
        <v>644350</v>
      </c>
      <c r="W307" s="343" t="s">
        <v>670</v>
      </c>
      <c r="X307" s="286" t="s">
        <v>671</v>
      </c>
      <c r="Y307" s="283">
        <v>300</v>
      </c>
      <c r="Z307" s="509" t="s">
        <v>74</v>
      </c>
      <c r="AA307" s="510"/>
      <c r="AB307" s="511"/>
      <c r="AC307" s="125" t="str">
        <f t="shared" si="276"/>
        <v>SI</v>
      </c>
      <c r="AD307" s="117" t="str">
        <f t="shared" si="239"/>
        <v>N/A</v>
      </c>
      <c r="AE307" s="350">
        <v>10437</v>
      </c>
      <c r="AF307" s="117">
        <f t="shared" si="234"/>
        <v>2087.4</v>
      </c>
      <c r="AG307" s="470"/>
      <c r="AH307" s="470"/>
      <c r="AI307" s="125" t="str">
        <f t="shared" si="235"/>
        <v>NO CUMPLE</v>
      </c>
      <c r="AJ307" s="470"/>
      <c r="AK307" s="470"/>
      <c r="AL307" s="472"/>
      <c r="AM307" s="496"/>
      <c r="AN307" s="284" t="s">
        <v>75</v>
      </c>
      <c r="AO307" s="507"/>
      <c r="AP307" s="284" t="s">
        <v>74</v>
      </c>
      <c r="AQ307" s="490"/>
      <c r="AR307" s="522"/>
      <c r="AS307" s="519"/>
      <c r="AT307" s="204"/>
      <c r="AU307" s="659"/>
      <c r="AV307" s="671"/>
      <c r="AW307" s="561"/>
      <c r="AX307" s="561"/>
      <c r="AY307" s="19"/>
      <c r="CB307" s="29" t="str">
        <f>IFERROR(IF(COUNTIF(AF303:AF312,"")=10,"",IF(COUNTIF(E303:E312,"N/A")&gt;0,IF(AF307&gt;=CMEMM1,AF307,0),"N/A")),"")</f>
        <v>N/A</v>
      </c>
      <c r="CC307" s="4"/>
      <c r="CD307" s="4">
        <f>IFERROR(IF(COUNTIF(AF303:AF312,"")=10,"",IF(AF307="","",IF(AF307&gt;=CMEMM1,1,0))),"")</f>
        <v>0</v>
      </c>
      <c r="CE307" s="4" t="str">
        <f>B303&amp;"-0"&amp;5</f>
        <v>P31-05</v>
      </c>
      <c r="CF307" s="4">
        <f>IFERROR(INDEX('DESEMPATE Y DISCAPACIDAD'!$D$3:$D$450,MATCH(CE307,'DESEMPATE Y DISCAPACIDAD'!$C$3:$C$450,0)),"")</f>
        <v>0</v>
      </c>
      <c r="CG307" s="4">
        <f>IF(OR(CE307="",CF307=""),"",SUMIF(D303:D312,CF307,CD303:CD312))</f>
        <v>0</v>
      </c>
      <c r="CH307" s="4" t="str">
        <f t="shared" si="264"/>
        <v>NO CUMPLE</v>
      </c>
      <c r="CI307" s="4">
        <f t="shared" si="277"/>
        <v>0</v>
      </c>
      <c r="CJ307" s="4"/>
      <c r="CK307" s="4"/>
      <c r="CL307" s="4">
        <f t="shared" si="236"/>
        <v>1</v>
      </c>
      <c r="CM307" s="4">
        <f t="shared" si="237"/>
        <v>1</v>
      </c>
      <c r="CN307" s="4" t="str">
        <f t="shared" si="278"/>
        <v>COND. A Y B</v>
      </c>
      <c r="CO307" s="4"/>
      <c r="CP307" s="4"/>
      <c r="CQ307" s="29" t="str">
        <f t="shared" si="225"/>
        <v>N/A</v>
      </c>
      <c r="CR307" s="29">
        <f t="shared" si="272"/>
        <v>2087.4</v>
      </c>
      <c r="CS307" s="4"/>
    </row>
    <row r="308" spans="1:97" ht="40" customHeight="1">
      <c r="B308" s="481"/>
      <c r="C308" s="118"/>
      <c r="D308" s="126" t="str">
        <f>+IFERROR(INDEX('DESEMPATE Y DISCAPACIDAD'!$D$3:$D$450,MATCH(C308,'DESEMPATE Y DISCAPACIDAD'!$C$3:$C$450,0)),"")</f>
        <v/>
      </c>
      <c r="E308" s="127" t="str">
        <f>IFERROR(IF(D308="","",IF(VLOOKUP(D308,'DESEMPATE Y DISCAPACIDAD'!D$3:$E$450,2,FALSE)=1,"N/A",IF(VLOOKUP(D308,'DESEMPATE Y DISCAPACIDAD'!D$3:$F$450,3,FALSE)="X","SI","NO"))),"")</f>
        <v/>
      </c>
      <c r="F308" s="286"/>
      <c r="G308" s="286"/>
      <c r="H308" s="286"/>
      <c r="I308" s="290"/>
      <c r="J308" s="286"/>
      <c r="K308" s="286"/>
      <c r="L308" s="286"/>
      <c r="M308" s="286"/>
      <c r="N308" s="125" t="str">
        <f t="shared" si="273"/>
        <v/>
      </c>
      <c r="O308" s="125" t="str">
        <f t="shared" si="279"/>
        <v/>
      </c>
      <c r="P308" s="125" t="str">
        <f t="shared" si="274"/>
        <v/>
      </c>
      <c r="Q308" s="125" t="str">
        <f t="shared" si="238"/>
        <v/>
      </c>
      <c r="R308" s="316"/>
      <c r="S308" s="317"/>
      <c r="T308" s="317"/>
      <c r="U308" s="125" t="str">
        <f t="shared" si="275"/>
        <v/>
      </c>
      <c r="V308" s="117" t="str">
        <f>IF(U308=2023,1160000,IFERROR(INDEX(SMMLV!$B$2:$B$101,MATCH(U308,SMMLV!$A$2:$A$101,0)),""))</f>
        <v/>
      </c>
      <c r="W308" s="343"/>
      <c r="X308" s="286"/>
      <c r="Y308" s="286"/>
      <c r="Z308" s="509"/>
      <c r="AA308" s="510"/>
      <c r="AB308" s="511"/>
      <c r="AC308" s="125" t="str">
        <f t="shared" si="276"/>
        <v/>
      </c>
      <c r="AD308" s="117" t="str">
        <f t="shared" si="239"/>
        <v/>
      </c>
      <c r="AE308" s="343" t="str">
        <f t="shared" si="256"/>
        <v/>
      </c>
      <c r="AF308" s="117" t="str">
        <f t="shared" si="234"/>
        <v/>
      </c>
      <c r="AG308" s="470"/>
      <c r="AH308" s="470"/>
      <c r="AI308" s="125" t="str">
        <f t="shared" si="235"/>
        <v/>
      </c>
      <c r="AJ308" s="470"/>
      <c r="AK308" s="470"/>
      <c r="AL308" s="472"/>
      <c r="AM308" s="496"/>
      <c r="AN308" s="286"/>
      <c r="AO308" s="507"/>
      <c r="AP308" s="286"/>
      <c r="AQ308" s="490"/>
      <c r="AR308" s="522"/>
      <c r="AS308" s="519"/>
      <c r="AT308" s="204"/>
      <c r="AU308" s="659"/>
      <c r="AV308" s="671"/>
      <c r="AW308" s="561"/>
      <c r="AX308" s="561"/>
      <c r="AY308" s="19"/>
      <c r="CB308" s="29" t="str">
        <f>IFERROR(IF(COUNTIF(AF303:AF312,"")=10,"",IF(COUNTIF(E303:E312,"N/A")&gt;0,IF(AF308&gt;=CMEMM1,AF308,0),"N/A")),"")</f>
        <v>N/A</v>
      </c>
      <c r="CC308" s="4"/>
      <c r="CD308" s="4" t="str">
        <f>IFERROR(IF(COUNTIF(AF303:AF312,"")=10,"",IF(AF308="","",IF(AF308&gt;=CMEMM1,1,0))),"")</f>
        <v/>
      </c>
      <c r="CE308" s="4" t="str">
        <f>B303&amp;"-0"&amp;6</f>
        <v>P31-06</v>
      </c>
      <c r="CF308" s="4">
        <f>IFERROR(INDEX('DESEMPATE Y DISCAPACIDAD'!$D$3:$D$450,MATCH(CE308,'DESEMPATE Y DISCAPACIDAD'!$C$3:$C$450,0)),"")</f>
        <v>0</v>
      </c>
      <c r="CG308" s="4">
        <f>IF(OR(CE308="",CF308=""),"",SUMIF(D303:D312,CF308,CD303:CD312))</f>
        <v>0</v>
      </c>
      <c r="CH308" s="4" t="str">
        <f t="shared" si="264"/>
        <v>NO CUMPLE</v>
      </c>
      <c r="CI308" s="4">
        <f t="shared" si="277"/>
        <v>0</v>
      </c>
      <c r="CJ308" s="4"/>
      <c r="CK308" s="4"/>
      <c r="CL308" s="4" t="str">
        <f t="shared" si="236"/>
        <v/>
      </c>
      <c r="CM308" s="4" t="str">
        <f t="shared" si="237"/>
        <v/>
      </c>
      <c r="CN308" s="4" t="str">
        <f t="shared" si="278"/>
        <v/>
      </c>
      <c r="CO308" s="4"/>
      <c r="CP308" s="4"/>
      <c r="CQ308" s="29" t="str">
        <f t="shared" ref="CQ308:CQ336" si="280">IF(OR(AN308="",CB308=""),"",IF(AN308="NO",CB308,0))</f>
        <v/>
      </c>
      <c r="CR308" s="29" t="str">
        <f t="shared" si="272"/>
        <v/>
      </c>
      <c r="CS308" s="4"/>
    </row>
    <row r="309" spans="1:97" ht="40" customHeight="1">
      <c r="B309" s="481"/>
      <c r="C309" s="118"/>
      <c r="D309" s="126" t="str">
        <f>+IFERROR(INDEX('DESEMPATE Y DISCAPACIDAD'!$D$3:$D$450,MATCH(C309,'DESEMPATE Y DISCAPACIDAD'!$C$3:$C$450,0)),"")</f>
        <v/>
      </c>
      <c r="E309" s="127" t="str">
        <f>IFERROR(IF(D309="","",IF(VLOOKUP(D309,'DESEMPATE Y DISCAPACIDAD'!D$3:$E$450,2,FALSE)=1,"N/A",IF(VLOOKUP(D309,'DESEMPATE Y DISCAPACIDAD'!D$3:$F$450,3,FALSE)="X","SI","NO"))),"")</f>
        <v/>
      </c>
      <c r="F309" s="286"/>
      <c r="G309" s="286"/>
      <c r="H309" s="286"/>
      <c r="I309" s="290"/>
      <c r="J309" s="286"/>
      <c r="K309" s="286"/>
      <c r="L309" s="286"/>
      <c r="M309" s="286"/>
      <c r="N309" s="125" t="str">
        <f t="shared" si="273"/>
        <v/>
      </c>
      <c r="O309" s="125" t="str">
        <f t="shared" si="279"/>
        <v/>
      </c>
      <c r="P309" s="125" t="str">
        <f t="shared" si="274"/>
        <v/>
      </c>
      <c r="Q309" s="125" t="str">
        <f t="shared" si="238"/>
        <v/>
      </c>
      <c r="R309" s="316"/>
      <c r="S309" s="317"/>
      <c r="T309" s="317"/>
      <c r="U309" s="125" t="str">
        <f t="shared" si="275"/>
        <v/>
      </c>
      <c r="V309" s="117" t="str">
        <f>IF(U309=2023,1160000,IFERROR(INDEX(SMMLV!$B$2:$B$101,MATCH(U309,SMMLV!$A$2:$A$101,0)),""))</f>
        <v/>
      </c>
      <c r="W309" s="343"/>
      <c r="X309" s="286"/>
      <c r="Y309" s="286"/>
      <c r="Z309" s="509"/>
      <c r="AA309" s="510"/>
      <c r="AB309" s="511"/>
      <c r="AC309" s="125" t="str">
        <f t="shared" si="276"/>
        <v/>
      </c>
      <c r="AD309" s="117" t="str">
        <f t="shared" si="239"/>
        <v/>
      </c>
      <c r="AE309" s="343" t="str">
        <f t="shared" si="256"/>
        <v/>
      </c>
      <c r="AF309" s="117" t="str">
        <f t="shared" si="234"/>
        <v/>
      </c>
      <c r="AG309" s="470"/>
      <c r="AH309" s="470"/>
      <c r="AI309" s="125" t="str">
        <f t="shared" si="235"/>
        <v/>
      </c>
      <c r="AJ309" s="470"/>
      <c r="AK309" s="470"/>
      <c r="AL309" s="472"/>
      <c r="AM309" s="496"/>
      <c r="AN309" s="286"/>
      <c r="AO309" s="507"/>
      <c r="AP309" s="286"/>
      <c r="AQ309" s="490"/>
      <c r="AR309" s="522"/>
      <c r="AS309" s="519"/>
      <c r="AT309" s="204"/>
      <c r="AU309" s="659"/>
      <c r="AV309" s="671"/>
      <c r="AW309" s="561"/>
      <c r="AX309" s="561"/>
      <c r="AY309" s="19"/>
      <c r="CB309" s="29" t="str">
        <f>IFERROR(IF(COUNTIF(AF303:AF312,"")=10,"",IF(COUNTIF(E303:E312,"N/A")&gt;0,IF(AF309&gt;=CMEMM1,AF309,0),"N/A")),"")</f>
        <v>N/A</v>
      </c>
      <c r="CC309" s="4"/>
      <c r="CD309" s="4" t="str">
        <f>IFERROR(IF(COUNTIF(AF303:AF312,"")=10,"",IF(AF309="","",IF(AF309&gt;=CMEMM1,1,0))),"")</f>
        <v/>
      </c>
      <c r="CE309" s="4" t="str">
        <f>B303&amp;"-0"&amp;7</f>
        <v>P31-07</v>
      </c>
      <c r="CF309" s="4" t="str">
        <f>IFERROR(INDEX('DESEMPATE Y DISCAPACIDAD'!$D$3:$D$450,MATCH(CE309,'DESEMPATE Y DISCAPACIDAD'!$C$3:$C$450,0)),"")</f>
        <v/>
      </c>
      <c r="CG309" s="4" t="str">
        <f>IF(OR(CE309="",CF309=""),"",SUMIF(D303:D312,CF309,CD303:CD312))</f>
        <v/>
      </c>
      <c r="CH309" s="4" t="str">
        <f t="shared" si="264"/>
        <v/>
      </c>
      <c r="CI309" s="4" t="str">
        <f t="shared" si="277"/>
        <v/>
      </c>
      <c r="CJ309" s="4"/>
      <c r="CK309" s="4"/>
      <c r="CL309" s="4" t="str">
        <f t="shared" si="236"/>
        <v/>
      </c>
      <c r="CM309" s="4" t="str">
        <f t="shared" si="237"/>
        <v/>
      </c>
      <c r="CN309" s="4" t="str">
        <f t="shared" si="278"/>
        <v/>
      </c>
      <c r="CO309" s="4"/>
      <c r="CP309" s="4"/>
      <c r="CQ309" s="29" t="str">
        <f t="shared" si="280"/>
        <v/>
      </c>
      <c r="CR309" s="29" t="str">
        <f t="shared" si="272"/>
        <v/>
      </c>
      <c r="CS309" s="4"/>
    </row>
    <row r="310" spans="1:97" ht="40" customHeight="1">
      <c r="B310" s="481"/>
      <c r="C310" s="118"/>
      <c r="D310" s="126" t="str">
        <f>+IFERROR(INDEX('DESEMPATE Y DISCAPACIDAD'!$D$3:$D$450,MATCH(C310,'DESEMPATE Y DISCAPACIDAD'!$C$3:$C$450,0)),"")</f>
        <v/>
      </c>
      <c r="E310" s="127" t="str">
        <f>IFERROR(IF(D310="","",IF(VLOOKUP(D310,'DESEMPATE Y DISCAPACIDAD'!D$3:$E$450,2,FALSE)=1,"N/A",IF(VLOOKUP(D310,'DESEMPATE Y DISCAPACIDAD'!D$3:$F$450,3,FALSE)="X","SI","NO"))),"")</f>
        <v/>
      </c>
      <c r="F310" s="286"/>
      <c r="G310" s="286"/>
      <c r="H310" s="286"/>
      <c r="I310" s="290"/>
      <c r="J310" s="286"/>
      <c r="K310" s="286"/>
      <c r="L310" s="286"/>
      <c r="M310" s="286"/>
      <c r="N310" s="125" t="str">
        <f t="shared" si="273"/>
        <v/>
      </c>
      <c r="O310" s="125" t="str">
        <f t="shared" si="279"/>
        <v/>
      </c>
      <c r="P310" s="125" t="str">
        <f t="shared" si="274"/>
        <v/>
      </c>
      <c r="Q310" s="125" t="str">
        <f t="shared" si="238"/>
        <v/>
      </c>
      <c r="R310" s="316"/>
      <c r="S310" s="317"/>
      <c r="T310" s="317"/>
      <c r="U310" s="125" t="str">
        <f t="shared" si="275"/>
        <v/>
      </c>
      <c r="V310" s="117" t="str">
        <f>IF(U310=2023,1160000,IFERROR(INDEX(SMMLV!$B$2:$B$101,MATCH(U310,SMMLV!$A$2:$A$101,0)),""))</f>
        <v/>
      </c>
      <c r="W310" s="343"/>
      <c r="X310" s="286"/>
      <c r="Y310" s="286"/>
      <c r="Z310" s="509"/>
      <c r="AA310" s="510"/>
      <c r="AB310" s="511"/>
      <c r="AC310" s="125" t="str">
        <f t="shared" si="276"/>
        <v/>
      </c>
      <c r="AD310" s="117" t="str">
        <f t="shared" si="239"/>
        <v/>
      </c>
      <c r="AE310" s="343" t="str">
        <f t="shared" si="256"/>
        <v/>
      </c>
      <c r="AF310" s="117" t="str">
        <f t="shared" si="234"/>
        <v/>
      </c>
      <c r="AG310" s="470"/>
      <c r="AH310" s="470"/>
      <c r="AI310" s="125" t="str">
        <f t="shared" si="235"/>
        <v/>
      </c>
      <c r="AJ310" s="470"/>
      <c r="AK310" s="470"/>
      <c r="AL310" s="472"/>
      <c r="AM310" s="496"/>
      <c r="AN310" s="286"/>
      <c r="AO310" s="507"/>
      <c r="AP310" s="286"/>
      <c r="AQ310" s="490"/>
      <c r="AR310" s="522"/>
      <c r="AS310" s="519"/>
      <c r="AT310" s="204"/>
      <c r="AU310" s="659"/>
      <c r="AV310" s="671"/>
      <c r="AW310" s="561"/>
      <c r="AX310" s="561"/>
      <c r="AY310" s="19"/>
      <c r="CB310" s="29" t="str">
        <f>IFERROR(IF(COUNTIF(AF303:AF312,"")=10,"",IF(COUNTIF(E303:E312,"N/A")&gt;0,IF(AF310&gt;=CMEMM1,AF310,0),"N/A")),"")</f>
        <v>N/A</v>
      </c>
      <c r="CC310" s="4"/>
      <c r="CD310" s="4" t="str">
        <f>IFERROR(IF(COUNTIF(AF303:AF312,"")=10,"",IF(AF310="","",IF(AF310&gt;=CMEMM1,1,0))),"")</f>
        <v/>
      </c>
      <c r="CE310" s="4" t="str">
        <f>B303&amp;"-0"&amp;8</f>
        <v>P31-08</v>
      </c>
      <c r="CF310" s="4" t="str">
        <f>IFERROR(INDEX('DESEMPATE Y DISCAPACIDAD'!$D$3:$D$450,MATCH(CE310,'DESEMPATE Y DISCAPACIDAD'!$C$3:$C$450,0)),"")</f>
        <v/>
      </c>
      <c r="CG310" s="4" t="str">
        <f>IF(OR(CE310="",CF310=""),"",SUMIF(D303:D312,CF310,CD303:CD312))</f>
        <v/>
      </c>
      <c r="CH310" s="4" t="str">
        <f t="shared" si="264"/>
        <v/>
      </c>
      <c r="CI310" s="4" t="str">
        <f t="shared" si="277"/>
        <v/>
      </c>
      <c r="CJ310" s="4"/>
      <c r="CK310" s="4"/>
      <c r="CL310" s="4" t="str">
        <f t="shared" si="236"/>
        <v/>
      </c>
      <c r="CM310" s="4" t="str">
        <f t="shared" si="237"/>
        <v/>
      </c>
      <c r="CN310" s="4" t="str">
        <f t="shared" si="278"/>
        <v/>
      </c>
      <c r="CO310" s="4"/>
      <c r="CP310" s="4"/>
      <c r="CQ310" s="29" t="str">
        <f t="shared" si="280"/>
        <v/>
      </c>
      <c r="CR310" s="29" t="str">
        <f t="shared" si="272"/>
        <v/>
      </c>
      <c r="CS310" s="4"/>
    </row>
    <row r="311" spans="1:97" ht="40" customHeight="1">
      <c r="B311" s="481"/>
      <c r="C311" s="118"/>
      <c r="D311" s="126" t="str">
        <f>+IFERROR(INDEX('DESEMPATE Y DISCAPACIDAD'!$D$3:$D$450,MATCH(C311,'DESEMPATE Y DISCAPACIDAD'!$C$3:$C$450,0)),"")</f>
        <v/>
      </c>
      <c r="E311" s="127" t="str">
        <f>IFERROR(IF(D311="","",IF(VLOOKUP(D311,'DESEMPATE Y DISCAPACIDAD'!D$3:$E$450,2,FALSE)=1,"N/A",IF(VLOOKUP(D311,'DESEMPATE Y DISCAPACIDAD'!D$3:$F$450,3,FALSE)="X","SI","NO"))),"")</f>
        <v/>
      </c>
      <c r="F311" s="286"/>
      <c r="G311" s="286"/>
      <c r="H311" s="286"/>
      <c r="I311" s="290"/>
      <c r="J311" s="286"/>
      <c r="K311" s="286"/>
      <c r="L311" s="286"/>
      <c r="M311" s="286"/>
      <c r="N311" s="125" t="str">
        <f t="shared" si="273"/>
        <v/>
      </c>
      <c r="O311" s="125" t="str">
        <f t="shared" si="279"/>
        <v/>
      </c>
      <c r="P311" s="125" t="str">
        <f t="shared" si="274"/>
        <v/>
      </c>
      <c r="Q311" s="125" t="str">
        <f t="shared" si="238"/>
        <v/>
      </c>
      <c r="R311" s="316"/>
      <c r="S311" s="317"/>
      <c r="T311" s="317"/>
      <c r="U311" s="125" t="str">
        <f t="shared" si="275"/>
        <v/>
      </c>
      <c r="V311" s="117" t="str">
        <f>IF(U311=2023,1160000,IFERROR(INDEX(SMMLV!$B$2:$B$101,MATCH(U311,SMMLV!$A$2:$A$101,0)),""))</f>
        <v/>
      </c>
      <c r="W311" s="343"/>
      <c r="X311" s="286"/>
      <c r="Y311" s="286"/>
      <c r="Z311" s="509"/>
      <c r="AA311" s="510"/>
      <c r="AB311" s="511"/>
      <c r="AC311" s="125" t="str">
        <f t="shared" si="276"/>
        <v/>
      </c>
      <c r="AD311" s="117" t="str">
        <f t="shared" si="239"/>
        <v/>
      </c>
      <c r="AE311" s="343" t="str">
        <f t="shared" si="256"/>
        <v/>
      </c>
      <c r="AF311" s="117" t="str">
        <f t="shared" si="234"/>
        <v/>
      </c>
      <c r="AG311" s="470"/>
      <c r="AH311" s="470"/>
      <c r="AI311" s="125" t="str">
        <f t="shared" si="235"/>
        <v/>
      </c>
      <c r="AJ311" s="470"/>
      <c r="AK311" s="470"/>
      <c r="AL311" s="472"/>
      <c r="AM311" s="496"/>
      <c r="AN311" s="286"/>
      <c r="AO311" s="507"/>
      <c r="AP311" s="286"/>
      <c r="AQ311" s="490"/>
      <c r="AR311" s="522"/>
      <c r="AS311" s="519"/>
      <c r="AT311" s="204"/>
      <c r="AU311" s="659"/>
      <c r="AV311" s="671"/>
      <c r="AW311" s="561"/>
      <c r="AX311" s="561"/>
      <c r="AY311" s="19"/>
      <c r="CB311" s="29" t="str">
        <f>IFERROR(IF(COUNTIF(AF303:AF312,"")=10,"",IF(COUNTIF(E303:E312,"N/A")&gt;0,IF(AF311&gt;=CMEMM1,AF311,0),"N/A")),"")</f>
        <v>N/A</v>
      </c>
      <c r="CC311" s="4"/>
      <c r="CD311" s="4" t="str">
        <f>IFERROR(IF(COUNTIF(AF303:AF312,"")=10,"",IF(AF311="","",IF(AF311&gt;=CMEMM1,1,0))),"")</f>
        <v/>
      </c>
      <c r="CE311" s="4" t="str">
        <f>B303&amp;"-0"&amp;9</f>
        <v>P31-09</v>
      </c>
      <c r="CF311" s="4" t="str">
        <f>IFERROR(INDEX('DESEMPATE Y DISCAPACIDAD'!$D$3:$D$450,MATCH(CE311,'DESEMPATE Y DISCAPACIDAD'!$C$3:$C$450,0)),"")</f>
        <v/>
      </c>
      <c r="CG311" s="4" t="str">
        <f>IF(OR(CE311="",CF311=""),"",SUMIF(D303:D312,CF311,CD303:CD312))</f>
        <v/>
      </c>
      <c r="CH311" s="4" t="str">
        <f t="shared" si="264"/>
        <v/>
      </c>
      <c r="CI311" s="4" t="str">
        <f t="shared" si="277"/>
        <v/>
      </c>
      <c r="CJ311" s="4"/>
      <c r="CK311" s="4"/>
      <c r="CL311" s="4" t="str">
        <f t="shared" si="236"/>
        <v/>
      </c>
      <c r="CM311" s="4" t="str">
        <f t="shared" si="237"/>
        <v/>
      </c>
      <c r="CN311" s="4" t="str">
        <f t="shared" si="278"/>
        <v/>
      </c>
      <c r="CO311" s="4"/>
      <c r="CP311" s="4"/>
      <c r="CQ311" s="29" t="str">
        <f t="shared" si="280"/>
        <v/>
      </c>
      <c r="CR311" s="29" t="str">
        <f t="shared" si="272"/>
        <v/>
      </c>
      <c r="CS311" s="4"/>
    </row>
    <row r="312" spans="1:97" ht="40" customHeight="1" thickBot="1">
      <c r="B312" s="482"/>
      <c r="C312" s="130"/>
      <c r="D312" s="131" t="str">
        <f>+IFERROR(INDEX('DESEMPATE Y DISCAPACIDAD'!$D$3:$D$450,MATCH(C312,'DESEMPATE Y DISCAPACIDAD'!$C$3:$C$450,0)),"")</f>
        <v/>
      </c>
      <c r="E312" s="132" t="str">
        <f>IFERROR(IF(D312="","",IF(VLOOKUP(D312,'DESEMPATE Y DISCAPACIDAD'!D$3:$E$450,2,FALSE)=1,"N/A",IF(VLOOKUP(D312,'DESEMPATE Y DISCAPACIDAD'!D$3:$F$450,3,FALSE)="X","SI","NO"))),"")</f>
        <v/>
      </c>
      <c r="F312" s="291"/>
      <c r="G312" s="291"/>
      <c r="H312" s="291"/>
      <c r="I312" s="292"/>
      <c r="J312" s="291"/>
      <c r="K312" s="291"/>
      <c r="L312" s="291"/>
      <c r="M312" s="291"/>
      <c r="N312" s="133" t="str">
        <f t="shared" si="273"/>
        <v/>
      </c>
      <c r="O312" s="133" t="str">
        <f t="shared" si="279"/>
        <v/>
      </c>
      <c r="P312" s="133" t="str">
        <f t="shared" si="274"/>
        <v/>
      </c>
      <c r="Q312" s="133" t="str">
        <f t="shared" si="238"/>
        <v/>
      </c>
      <c r="R312" s="318"/>
      <c r="S312" s="319"/>
      <c r="T312" s="319"/>
      <c r="U312" s="133" t="str">
        <f t="shared" si="275"/>
        <v/>
      </c>
      <c r="V312" s="136" t="str">
        <f>IF(U312=2023,1160000,IFERROR(INDEX(SMMLV!$B$2:$B$101,MATCH(U312,SMMLV!$A$2:$A$101,0)),""))</f>
        <v/>
      </c>
      <c r="W312" s="344"/>
      <c r="X312" s="291"/>
      <c r="Y312" s="291"/>
      <c r="Z312" s="512"/>
      <c r="AA312" s="513"/>
      <c r="AB312" s="514"/>
      <c r="AC312" s="133" t="str">
        <f t="shared" si="276"/>
        <v/>
      </c>
      <c r="AD312" s="136" t="str">
        <f t="shared" si="239"/>
        <v/>
      </c>
      <c r="AE312" s="344" t="str">
        <f t="shared" si="256"/>
        <v/>
      </c>
      <c r="AF312" s="136" t="str">
        <f t="shared" si="234"/>
        <v/>
      </c>
      <c r="AG312" s="471"/>
      <c r="AH312" s="471"/>
      <c r="AI312" s="133" t="str">
        <f t="shared" si="235"/>
        <v/>
      </c>
      <c r="AJ312" s="471"/>
      <c r="AK312" s="471"/>
      <c r="AL312" s="473"/>
      <c r="AM312" s="497"/>
      <c r="AN312" s="291"/>
      <c r="AO312" s="508"/>
      <c r="AP312" s="291"/>
      <c r="AQ312" s="491"/>
      <c r="AR312" s="523"/>
      <c r="AS312" s="520"/>
      <c r="AT312" s="206"/>
      <c r="AU312" s="660"/>
      <c r="AV312" s="672"/>
      <c r="AW312" s="562"/>
      <c r="AX312" s="562"/>
      <c r="AY312" s="19"/>
      <c r="CB312" s="29" t="str">
        <f>IFERROR(IF(COUNTIF(AF303:AF312,"")=10,"",IF(COUNTIF(E303:E312,"N/A")&gt;0,IF(AF312&gt;=CMEMM1,AF312,0),"N/A")),"")</f>
        <v>N/A</v>
      </c>
      <c r="CC312" s="4"/>
      <c r="CD312" s="4" t="str">
        <f>IFERROR(IF(COUNTIF(AF303:AF312,"")=10,"",IF(AF312="","",IF(AF312&gt;=CMEMM1,1,0))),"")</f>
        <v/>
      </c>
      <c r="CE312" s="4" t="str">
        <f>B303&amp;"-"&amp;10</f>
        <v>P31-10</v>
      </c>
      <c r="CF312" s="4" t="str">
        <f>IFERROR(INDEX('DESEMPATE Y DISCAPACIDAD'!$D$3:$D$450,MATCH(CE312,'DESEMPATE Y DISCAPACIDAD'!$C$3:$C$450,0)),"")</f>
        <v/>
      </c>
      <c r="CG312" s="4" t="str">
        <f>IF(OR(CE312="",CF312=""),"",SUMIF(D303:D312,CF312,CD303:CD312))</f>
        <v/>
      </c>
      <c r="CH312" s="4" t="str">
        <f t="shared" si="264"/>
        <v/>
      </c>
      <c r="CI312" s="4" t="str">
        <f t="shared" si="277"/>
        <v/>
      </c>
      <c r="CJ312" s="4"/>
      <c r="CK312" s="4"/>
      <c r="CL312" s="4" t="str">
        <f t="shared" si="236"/>
        <v/>
      </c>
      <c r="CM312" s="4" t="str">
        <f t="shared" si="237"/>
        <v/>
      </c>
      <c r="CN312" s="4" t="str">
        <f t="shared" si="278"/>
        <v/>
      </c>
      <c r="CO312" s="4"/>
      <c r="CP312" s="4"/>
      <c r="CQ312" s="29" t="str">
        <f t="shared" si="280"/>
        <v/>
      </c>
      <c r="CR312" s="29" t="str">
        <f t="shared" si="272"/>
        <v/>
      </c>
      <c r="CS312" s="4"/>
    </row>
    <row r="313" spans="1:97" ht="40" customHeight="1">
      <c r="A313" s="4" t="str">
        <f>"A"&amp;B313</f>
        <v>AP32</v>
      </c>
      <c r="B313" s="480" t="s">
        <v>293</v>
      </c>
      <c r="C313" s="108" t="s">
        <v>410</v>
      </c>
      <c r="D313" s="119" t="str">
        <f>+IFERROR(INDEX('DESEMPATE Y DISCAPACIDAD'!$D$3:$D$450,MATCH(C313,'DESEMPATE Y DISCAPACIDAD'!$C$3:$C$450,0)),"")</f>
        <v>SILVA CARREÑO Y ASOCIADOS S.A.S</v>
      </c>
      <c r="E313" s="120" t="str">
        <f>IFERROR(IF(D313="","",IF(VLOOKUP(D313,'DESEMPATE Y DISCAPACIDAD'!D$3:$E$450,2,FALSE)=1,"N/A",IF(VLOOKUP(D313,'DESEMPATE Y DISCAPACIDAD'!D$3:$F$450,3,FALSE)="X","SI","NO"))),"")</f>
        <v>NO</v>
      </c>
      <c r="F313" s="298" t="s">
        <v>1276</v>
      </c>
      <c r="G313" s="298" t="s">
        <v>660</v>
      </c>
      <c r="H313" s="298" t="s">
        <v>1277</v>
      </c>
      <c r="I313" s="298" t="s">
        <v>1278</v>
      </c>
      <c r="J313" s="284" t="s">
        <v>74</v>
      </c>
      <c r="K313" s="284" t="s">
        <v>74</v>
      </c>
      <c r="L313" s="284" t="s">
        <v>75</v>
      </c>
      <c r="M313" s="284" t="s">
        <v>74</v>
      </c>
      <c r="N313" s="121" t="str">
        <f>IFERROR(IF(OR(J313="",K313=""),"",IF(J313="NO","NO",K313)),"")</f>
        <v>SI</v>
      </c>
      <c r="O313" s="121" t="str">
        <f>IFERROR(IF(OR(J313="",L313=""),"",IF(J313="NO","NO",L313)),"")</f>
        <v>NO</v>
      </c>
      <c r="P313" s="121" t="str">
        <f>IFERROR(IF(OR(J313="",M313=""),"",IF(J313="NO","NO",M313)),"")</f>
        <v>SI</v>
      </c>
      <c r="Q313" s="121" t="str">
        <f t="shared" si="238"/>
        <v>SI</v>
      </c>
      <c r="R313" s="330">
        <v>0.6</v>
      </c>
      <c r="S313" s="331">
        <v>41856</v>
      </c>
      <c r="T313" s="332">
        <v>42719</v>
      </c>
      <c r="U313" s="121">
        <f>IFERROR(IF(T313="","",YEAR(T313)),"")</f>
        <v>2016</v>
      </c>
      <c r="V313" s="124">
        <f>IF(U313=2023,1160000,IFERROR(INDEX(SMMLV!$B$2:$B$101,MATCH(U313,SMMLV!$A$2:$A$101,0)),""))</f>
        <v>689455</v>
      </c>
      <c r="W313" s="346" t="s">
        <v>670</v>
      </c>
      <c r="X313" s="284" t="s">
        <v>671</v>
      </c>
      <c r="Y313" s="298">
        <v>92</v>
      </c>
      <c r="Z313" s="515" t="s">
        <v>74</v>
      </c>
      <c r="AA313" s="516"/>
      <c r="AB313" s="517"/>
      <c r="AC313" s="121" t="str">
        <f>IFERROR(IF(Y313="","",IF(ISNUMBER(Y313),IF(COUNTIF(Z313,"SI")&gt;0,"SI","NO"),Y313)),"")</f>
        <v>SI</v>
      </c>
      <c r="AD313" s="124" t="str">
        <f t="shared" si="239"/>
        <v>N/A</v>
      </c>
      <c r="AE313" s="350">
        <v>9751.58</v>
      </c>
      <c r="AF313" s="124">
        <f t="shared" si="234"/>
        <v>5850.9479999999994</v>
      </c>
      <c r="AG313" s="486" t="str">
        <f>IFERROR(IF(COUNTIF(AF313:AF322,"")=10,"",IF(COUNTIF(E313:E322,"N/A")&gt;0,IF(SUM(CB313:CB322)&gt;=CMEM1,"CUMPLE","NO CUMPLE"),IF(SUM(AF313:AF322)&gt;=CMEM1,"CUMPLE","NO CUMPLE"))),"")</f>
        <v>CUMPLE</v>
      </c>
      <c r="AH313" s="486" t="str">
        <f>IF(COUNTIF(AF313:AF322,"")=10,"",IF(SUMIF(C313:C322,C313,AF313:AF322)&gt;=CMLM1,"CUMPLE",IF(SUMIF(C313:C322,C314,AF313:AF322)&gt;=CMLM1,"CUMPLE",IF(SUMIF(C313:C322,C315,AF313:AF322)&gt;=CMLM1,"CUMPLE",IF(SUMIF(C313:C322,C316,AF313:AF322)&gt;=CMLM1,"CUMPLE",IF(SUMIF(C313:C322,C317,AF313:AF322)&gt;=CMLM1,"CUMPLE",IF(SUMIF(C313:C322,C318,AF313:AF322)&gt;=CMLM1,"CUMPLE",IF(SUMIF(C313:C322,C319,AF313:AF322)&gt;=CMLM1,"CUMPLE",IF(SUMIF(C313:C322,C320,AF313:AF322)&gt;=CMLM1,"CUMPLE",IF(SUMIF(C313:C322,C321,AF313:AF322)&gt;=CMLM1,"CUMPLE",IF(SUMIF(C313:C322,C322,AF313:AF322)&gt;=CMLM1,"CUMPLE","NO CUMPLE")))))))))))</f>
        <v>CUMPLE</v>
      </c>
      <c r="AI313" s="121" t="str">
        <f t="shared" si="235"/>
        <v>CUMPLE</v>
      </c>
      <c r="AJ313" s="469" t="str">
        <f>IFERROR(IF(COUNTIF(AF313:AF322,"")=10,"",IF(COUNTIF(E313:E322,"N/A")&gt;0,"N/A",CJ313)),"")</f>
        <v>CUMPLE</v>
      </c>
      <c r="AK313" s="469" t="str">
        <f>IFERROR(IF(AND(COUNTIF(N313:N322,"SI")&gt;=1,COUNTIF(O313:O322,"SI")&gt;=1,COUNTIF(P313:P322,"SI")&gt;=1,COUNTIF(J313:J322,"SI")&lt;=10,CO313="CUMPLE"),"CUMPLE","NO CUMPLE"),"")</f>
        <v>CUMPLE</v>
      </c>
      <c r="AL313" s="472" t="s">
        <v>77</v>
      </c>
      <c r="AM313" s="495">
        <f>IFERROR(IF(B313&lt;&gt;"",IF(VLOOKUP(B313,'DESEMPATE Y DISCAPACIDAD'!$A$3:$Q$450,10,FALSE)="","",VLOOKUP(B313,'DESEMPATE Y DISCAPACIDAD'!$A$3:$Q$450,10,FALSE)+6),""),"")</f>
        <v>8</v>
      </c>
      <c r="AN313" s="284" t="s">
        <v>75</v>
      </c>
      <c r="AO313" s="507" t="s">
        <v>74</v>
      </c>
      <c r="AP313" s="284" t="s">
        <v>74</v>
      </c>
      <c r="AQ313" s="490">
        <f>IFERROR(IF(COUNTIF(AP313:AP322,"")=10,"",IF(AO313="NO",0,COUNTIF(AP313:AP322,"SI"))),"")</f>
        <v>7</v>
      </c>
      <c r="AR313" s="521">
        <f>IFERROR(IF(COUNTIF(AF313:AF322,"")=10,"",IF(AO313="NO",0,IF(COUNTIF(E313:E322,"N/A")&gt;0,SUM(CQ313:CQ322),SUM(CR313:CR322)))),"")</f>
        <v>106896.1939</v>
      </c>
      <c r="AS313" s="518">
        <f>IFERROR(IF(OR(COUNTIF(AF313:AF322,"")=10,AQ313="",AR313=""),"",IF(AO313="NO",0,AR313/AQ313)),"")</f>
        <v>15270.884842857142</v>
      </c>
      <c r="AT313" s="207"/>
      <c r="AU313" s="670" t="s">
        <v>1224</v>
      </c>
      <c r="AV313" s="670" t="s">
        <v>747</v>
      </c>
      <c r="AW313" s="560" t="s">
        <v>1378</v>
      </c>
      <c r="AX313" s="560" t="s">
        <v>1379</v>
      </c>
      <c r="AY313" s="19"/>
      <c r="CB313" s="29" t="str">
        <f>IFERROR(IF(COUNTIF(AF313:AF322,"")=10,"",IF(COUNTIF(E313:E322,"N/A")&gt;0,IF(AF313&gt;=CMEMM1,AF313,0),"N/A")),"")</f>
        <v>N/A</v>
      </c>
      <c r="CC313" s="4"/>
      <c r="CD313" s="4">
        <f>IFERROR(IF(COUNTIF(AF313:AF322,"")=10,"",IF(AF313="","",IF(AF313&gt;=CMEMM1,1,0))),"")</f>
        <v>1</v>
      </c>
      <c r="CE313" s="4" t="str">
        <f>B313&amp;"-0"&amp;1</f>
        <v>P32-01</v>
      </c>
      <c r="CF313" s="4" t="str">
        <f>IFERROR(INDEX('DESEMPATE Y DISCAPACIDAD'!$D$3:$D$450,MATCH(CE313,'DESEMPATE Y DISCAPACIDAD'!$C$3:$C$450,0)),"")</f>
        <v>SILVA CARREÑO Y ASOCIADOS S.A.S</v>
      </c>
      <c r="CG313" s="4">
        <f>IF(OR(CE313="",CF313=""),"",SUMIF(D313:D322,CF313,CD313:CD322))</f>
        <v>1</v>
      </c>
      <c r="CH313" s="4" t="str">
        <f t="shared" si="264"/>
        <v>CUMPLE</v>
      </c>
      <c r="CI313" s="4">
        <f>IF(CF313="","",IF(ISTEXT(CF313),1,0))</f>
        <v>1</v>
      </c>
      <c r="CJ313" s="4" t="str">
        <f>IF(OR(CE313="",CF313="",CG313="",CH313="",CI313=""),"",IF(COUNTIF(CH313:CH322,"CUMPLE")=COUNTIF(CI313:CI322,1),"CUMPLE","NO CUMPLE"))</f>
        <v>CUMPLE</v>
      </c>
      <c r="CK313" s="4"/>
      <c r="CL313" s="4">
        <f t="shared" si="236"/>
        <v>1</v>
      </c>
      <c r="CM313" s="4">
        <f t="shared" si="237"/>
        <v>0</v>
      </c>
      <c r="CN313" s="4" t="str">
        <f>IF(OR(CL313="",CM313=""),"",IF(AND(CL313=0,CM313=0),"N/A",IF(AND(CL313=1,CM313=0),"COND. A",IF(AND(CL313=0,CM313=1),"COND. B",IF(AND(CL313=1,CM313=1),"COND. A Y B","")))))</f>
        <v>COND. A</v>
      </c>
      <c r="CO313" s="4" t="str">
        <f>IF(COUNTIF(CN313:CN322,"N/A")=10,"NO CUMPLE",IF(COUNTIF(CN313:CN322,"COND. A Y B")&gt;1,"CUMPLE",IF(AND(COUNTIF(CN313:CN322,"COND. A")&gt;0,COUNTIF(CN313:CN322,"COND. B")&gt;0),"CUMPLE",IF(AND(COUNTIF(CN313:CN322,"COND. A Y B")&gt;0,COUNTIF(CN313:CN322,"COND. A")&gt;0),"CUMPLE",IF(AND(COUNTIF(CN313:CN322,"COND. A Y B")&gt;0,COUNTIF(CN313:CN322,"COND. B")&gt;0),"CUMPLE","NO CUMPLE")))))</f>
        <v>CUMPLE</v>
      </c>
      <c r="CP313" s="4"/>
      <c r="CQ313" s="29" t="str">
        <f t="shared" si="280"/>
        <v>N/A</v>
      </c>
      <c r="CR313" s="29">
        <f t="shared" si="272"/>
        <v>5850.9479999999994</v>
      </c>
      <c r="CS313" s="4"/>
    </row>
    <row r="314" spans="1:97" ht="40" customHeight="1">
      <c r="B314" s="481"/>
      <c r="C314" s="118" t="s">
        <v>410</v>
      </c>
      <c r="D314" s="119" t="str">
        <f>+IFERROR(INDEX('DESEMPATE Y DISCAPACIDAD'!$D$3:$D$450,MATCH(C314,'DESEMPATE Y DISCAPACIDAD'!$C$3:$C$450,0)),"")</f>
        <v>SILVA CARREÑO Y ASOCIADOS S.A.S</v>
      </c>
      <c r="E314" s="120" t="str">
        <f>IFERROR(IF(D314="","",IF(VLOOKUP(D314,'DESEMPATE Y DISCAPACIDAD'!D$3:$E$450,2,FALSE)=1,"N/A",IF(VLOOKUP(D314,'DESEMPATE Y DISCAPACIDAD'!D$3:$F$450,3,FALSE)="X","SI","NO"))),"")</f>
        <v>NO</v>
      </c>
      <c r="F314" s="299" t="s">
        <v>949</v>
      </c>
      <c r="G314" s="299" t="s">
        <v>660</v>
      </c>
      <c r="H314" s="299" t="s">
        <v>1279</v>
      </c>
      <c r="I314" s="299" t="s">
        <v>1280</v>
      </c>
      <c r="J314" s="286" t="s">
        <v>74</v>
      </c>
      <c r="K314" s="284" t="s">
        <v>74</v>
      </c>
      <c r="L314" s="284" t="s">
        <v>74</v>
      </c>
      <c r="M314" s="284" t="s">
        <v>74</v>
      </c>
      <c r="N314" s="121" t="str">
        <f t="shared" ref="N314:N322" si="281">IFERROR(IF(OR(J314="",K314=""),"",IF(J314="NO","NO",K314)),"")</f>
        <v>SI</v>
      </c>
      <c r="O314" s="121" t="str">
        <f>IFERROR(IF(OR(J314="",L314=""),"",IF(J314="NO","NO",L314)),"")</f>
        <v>SI</v>
      </c>
      <c r="P314" s="121" t="str">
        <f t="shared" ref="P314:P322" si="282">IFERROR(IF(OR(J314="",M314=""),"",IF(J314="NO","NO",M314)),"")</f>
        <v>SI</v>
      </c>
      <c r="Q314" s="121" t="str">
        <f t="shared" si="238"/>
        <v>SI</v>
      </c>
      <c r="R314" s="333">
        <v>0.6</v>
      </c>
      <c r="S314" s="334">
        <v>41198</v>
      </c>
      <c r="T314" s="335">
        <v>41699</v>
      </c>
      <c r="U314" s="121">
        <f t="shared" ref="U314:U322" si="283">IFERROR(IF(T314="","",YEAR(T314)),"")</f>
        <v>2014</v>
      </c>
      <c r="V314" s="124">
        <f>IF(U314=2023,1160000,IFERROR(INDEX(SMMLV!$B$2:$B$101,MATCH(U314,SMMLV!$A$2:$A$101,0)),""))</f>
        <v>616000</v>
      </c>
      <c r="W314" s="347" t="s">
        <v>670</v>
      </c>
      <c r="X314" s="286" t="s">
        <v>671</v>
      </c>
      <c r="Y314" s="299">
        <v>4</v>
      </c>
      <c r="Z314" s="509" t="s">
        <v>74</v>
      </c>
      <c r="AA314" s="510"/>
      <c r="AB314" s="511"/>
      <c r="AC314" s="125" t="str">
        <f t="shared" ref="AC314:AC322" si="284">IFERROR(IF(Y314="","",IF(ISNUMBER(Y314),IF(COUNTIF(Z314,"SI")&gt;0,"SI","NO"),Y314)),"")</f>
        <v>SI</v>
      </c>
      <c r="AD314" s="117" t="str">
        <f t="shared" si="239"/>
        <v>N/A</v>
      </c>
      <c r="AE314" s="350">
        <v>4332.05</v>
      </c>
      <c r="AF314" s="117">
        <f t="shared" si="234"/>
        <v>2599.23</v>
      </c>
      <c r="AG314" s="470"/>
      <c r="AH314" s="470"/>
      <c r="AI314" s="125" t="str">
        <f t="shared" si="235"/>
        <v>NO CUMPLE</v>
      </c>
      <c r="AJ314" s="470"/>
      <c r="AK314" s="470"/>
      <c r="AL314" s="472"/>
      <c r="AM314" s="496"/>
      <c r="AN314" s="286" t="s">
        <v>75</v>
      </c>
      <c r="AO314" s="507"/>
      <c r="AP314" s="286" t="s">
        <v>74</v>
      </c>
      <c r="AQ314" s="490"/>
      <c r="AR314" s="522"/>
      <c r="AS314" s="519"/>
      <c r="AT314" s="204"/>
      <c r="AU314" s="671"/>
      <c r="AV314" s="671"/>
      <c r="AW314" s="561"/>
      <c r="AX314" s="561"/>
      <c r="AY314" s="19"/>
      <c r="CB314" s="29" t="str">
        <f>IFERROR(IF(COUNTIF(AF313:AF322,"")=10,"",IF(COUNTIF(E313:E322,"N/A")&gt;0,IF(AF314&gt;=CMEMM1,AF314,0),"N/A")),"")</f>
        <v>N/A</v>
      </c>
      <c r="CC314" s="4"/>
      <c r="CD314" s="4">
        <f>IFERROR(IF(COUNTIF(AF313:AF322,"")=10,"",IF(AF314="","",IF(AF314&gt;=CMEMM1,1,0))),"")</f>
        <v>0</v>
      </c>
      <c r="CE314" s="4" t="str">
        <f>B313&amp;"-0"&amp;2</f>
        <v>P32-02</v>
      </c>
      <c r="CF314" s="4" t="str">
        <f>IFERROR(INDEX('DESEMPATE Y DISCAPACIDAD'!$D$3:$D$450,MATCH(CE314,'DESEMPATE Y DISCAPACIDAD'!$C$3:$C$450,0)),"")</f>
        <v>CONURMA INGENIEROS CONSULTORES SL SUCURSAL COLOMBIA</v>
      </c>
      <c r="CG314" s="4">
        <f>IF(OR(CE314="",CF314=""),"",SUMIF(D313:D322,CF314,CD313:CD322))</f>
        <v>2</v>
      </c>
      <c r="CH314" s="4" t="str">
        <f t="shared" si="264"/>
        <v>CUMPLE</v>
      </c>
      <c r="CI314" s="4">
        <f t="shared" ref="CI314:CI322" si="285">IF(CF314="","",IF(ISTEXT(CF314),1,0))</f>
        <v>1</v>
      </c>
      <c r="CJ314" s="4"/>
      <c r="CK314" s="4"/>
      <c r="CL314" s="4">
        <f t="shared" si="236"/>
        <v>1</v>
      </c>
      <c r="CM314" s="4">
        <f t="shared" si="237"/>
        <v>1</v>
      </c>
      <c r="CN314" s="4" t="str">
        <f t="shared" ref="CN314:CN322" si="286">IF(OR(CL314="",CM314=""),"",IF(AND(CL314=0,CM314=0),"N/A",IF(AND(CL314=1,CM314=0),"COND. A",IF(AND(CL314=0,CM314=1),"COND. B",IF(AND(CL314=1,CM314=1),"COND. A Y B","")))))</f>
        <v>COND. A Y B</v>
      </c>
      <c r="CO314" s="4"/>
      <c r="CP314" s="4"/>
      <c r="CQ314" s="29" t="str">
        <f t="shared" si="280"/>
        <v>N/A</v>
      </c>
      <c r="CR314" s="29">
        <f t="shared" si="272"/>
        <v>2599.23</v>
      </c>
      <c r="CS314" s="4"/>
    </row>
    <row r="315" spans="1:97" ht="40" customHeight="1">
      <c r="B315" s="481"/>
      <c r="C315" s="118" t="s">
        <v>411</v>
      </c>
      <c r="D315" s="126" t="str">
        <f>+IFERROR(INDEX('DESEMPATE Y DISCAPACIDAD'!$D$3:$D$450,MATCH(C315,'DESEMPATE Y DISCAPACIDAD'!$C$3:$C$450,0)),"")</f>
        <v>CONURMA INGENIEROS CONSULTORES SL SUCURSAL COLOMBIA</v>
      </c>
      <c r="E315" s="127" t="str">
        <f>IFERROR(IF(D315="","",IF(VLOOKUP(D315,'DESEMPATE Y DISCAPACIDAD'!D$3:$E$450,2,FALSE)=1,"N/A",IF(VLOOKUP(D315,'DESEMPATE Y DISCAPACIDAD'!D$3:$F$450,3,FALSE)="X","SI","NO"))),"")</f>
        <v>NO</v>
      </c>
      <c r="F315" s="299" t="s">
        <v>1281</v>
      </c>
      <c r="G315" s="299" t="s">
        <v>736</v>
      </c>
      <c r="H315" s="299" t="s">
        <v>670</v>
      </c>
      <c r="I315" s="299" t="s">
        <v>1282</v>
      </c>
      <c r="J315" s="286" t="s">
        <v>74</v>
      </c>
      <c r="K315" s="286" t="s">
        <v>74</v>
      </c>
      <c r="L315" s="286" t="s">
        <v>75</v>
      </c>
      <c r="M315" s="286" t="s">
        <v>74</v>
      </c>
      <c r="N315" s="125" t="str">
        <f t="shared" si="281"/>
        <v>SI</v>
      </c>
      <c r="O315" s="125" t="str">
        <f>IFERROR(IF(OR(J315="",L315=""),"",IF(J315="NO","NO",L315)),"")</f>
        <v>NO</v>
      </c>
      <c r="P315" s="125" t="str">
        <f t="shared" si="282"/>
        <v>SI</v>
      </c>
      <c r="Q315" s="125" t="str">
        <f t="shared" si="238"/>
        <v>SI</v>
      </c>
      <c r="R315" s="333">
        <v>1</v>
      </c>
      <c r="S315" s="334">
        <v>39588</v>
      </c>
      <c r="T315" s="335">
        <v>41703</v>
      </c>
      <c r="U315" s="125">
        <f t="shared" si="283"/>
        <v>2014</v>
      </c>
      <c r="V315" s="117">
        <f>IF(U315=2023,1160000,IFERROR(INDEX(SMMLV!$B$2:$B$101,MATCH(U315,SMMLV!$A$2:$A$101,0)),""))</f>
        <v>616000</v>
      </c>
      <c r="W315" s="347" t="s">
        <v>670</v>
      </c>
      <c r="X315" s="286" t="s">
        <v>1334</v>
      </c>
      <c r="Y315" s="299">
        <v>2</v>
      </c>
      <c r="Z315" s="509" t="s">
        <v>74</v>
      </c>
      <c r="AA315" s="510"/>
      <c r="AB315" s="511"/>
      <c r="AC315" s="125" t="str">
        <f t="shared" si="284"/>
        <v>SI</v>
      </c>
      <c r="AD315" s="117" t="str">
        <f t="shared" si="239"/>
        <v>N/A</v>
      </c>
      <c r="AE315" s="350">
        <v>11440.53</v>
      </c>
      <c r="AF315" s="117">
        <f t="shared" si="234"/>
        <v>11440.53</v>
      </c>
      <c r="AG315" s="470"/>
      <c r="AH315" s="470"/>
      <c r="AI315" s="125" t="str">
        <f t="shared" si="235"/>
        <v>CUMPLE</v>
      </c>
      <c r="AJ315" s="470"/>
      <c r="AK315" s="470"/>
      <c r="AL315" s="472"/>
      <c r="AM315" s="496"/>
      <c r="AN315" s="286" t="s">
        <v>75</v>
      </c>
      <c r="AO315" s="507"/>
      <c r="AP315" s="286" t="s">
        <v>74</v>
      </c>
      <c r="AQ315" s="490"/>
      <c r="AR315" s="522"/>
      <c r="AS315" s="519"/>
      <c r="AT315" s="204"/>
      <c r="AU315" s="671"/>
      <c r="AV315" s="671"/>
      <c r="AW315" s="561"/>
      <c r="AX315" s="561"/>
      <c r="AY315" s="19"/>
      <c r="CB315" s="29" t="str">
        <f>IFERROR(IF(COUNTIF(AF313:AF322,"")=10,"",IF(COUNTIF(E313:E322,"N/A")&gt;0,IF(AF315&gt;=CMEMM1,AF315,0),"N/A")),"")</f>
        <v>N/A</v>
      </c>
      <c r="CC315" s="4"/>
      <c r="CD315" s="4">
        <f>IFERROR(IF(COUNTIF(AF313:AF322,"")=10,"",IF(AF315="","",IF(AF315&gt;=CMEMM1,1,0))),"")</f>
        <v>1</v>
      </c>
      <c r="CE315" s="4" t="str">
        <f>B313&amp;"-0"&amp;3</f>
        <v>P32-03</v>
      </c>
      <c r="CF315" s="4" t="str">
        <f>IFERROR(INDEX('DESEMPATE Y DISCAPACIDAD'!$D$3:$D$450,MATCH(CE315,'DESEMPATE Y DISCAPACIDAD'!$C$3:$C$450,0)),"")</f>
        <v>DOHWA COLOMBIA S.A.S</v>
      </c>
      <c r="CG315" s="4">
        <f>IF(OR(CE315="",CF315=""),"",SUMIF(D313:D322,CF315,CD313:CD322))</f>
        <v>3</v>
      </c>
      <c r="CH315" s="4" t="str">
        <f t="shared" si="264"/>
        <v>CUMPLE</v>
      </c>
      <c r="CI315" s="4">
        <f t="shared" si="285"/>
        <v>1</v>
      </c>
      <c r="CJ315" s="4"/>
      <c r="CK315" s="4"/>
      <c r="CL315" s="4">
        <f t="shared" si="236"/>
        <v>1</v>
      </c>
      <c r="CM315" s="4">
        <f t="shared" si="237"/>
        <v>0</v>
      </c>
      <c r="CN315" s="4" t="str">
        <f t="shared" si="286"/>
        <v>COND. A</v>
      </c>
      <c r="CO315" s="4"/>
      <c r="CP315" s="4"/>
      <c r="CQ315" s="29" t="str">
        <f t="shared" si="280"/>
        <v>N/A</v>
      </c>
      <c r="CR315" s="29">
        <f t="shared" si="272"/>
        <v>11440.53</v>
      </c>
      <c r="CS315" s="4"/>
    </row>
    <row r="316" spans="1:97" ht="40" customHeight="1">
      <c r="B316" s="481"/>
      <c r="C316" s="118" t="s">
        <v>411</v>
      </c>
      <c r="D316" s="126" t="str">
        <f>+IFERROR(INDEX('DESEMPATE Y DISCAPACIDAD'!$D$3:$D$450,MATCH(C316,'DESEMPATE Y DISCAPACIDAD'!$C$3:$C$450,0)),"")</f>
        <v>CONURMA INGENIEROS CONSULTORES SL SUCURSAL COLOMBIA</v>
      </c>
      <c r="E316" s="127" t="str">
        <f>IFERROR(IF(D316="","",IF(VLOOKUP(D316,'DESEMPATE Y DISCAPACIDAD'!D$3:$E$450,2,FALSE)=1,"N/A",IF(VLOOKUP(D316,'DESEMPATE Y DISCAPACIDAD'!D$3:$F$450,3,FALSE)="X","SI","NO"))),"")</f>
        <v>NO</v>
      </c>
      <c r="F316" s="300" t="s">
        <v>1283</v>
      </c>
      <c r="G316" s="299" t="s">
        <v>736</v>
      </c>
      <c r="H316" s="299" t="s">
        <v>670</v>
      </c>
      <c r="I316" s="299" t="s">
        <v>1284</v>
      </c>
      <c r="J316" s="286" t="s">
        <v>74</v>
      </c>
      <c r="K316" s="286" t="s">
        <v>74</v>
      </c>
      <c r="L316" s="286" t="s">
        <v>75</v>
      </c>
      <c r="M316" s="286" t="s">
        <v>74</v>
      </c>
      <c r="N316" s="125" t="str">
        <f t="shared" si="281"/>
        <v>SI</v>
      </c>
      <c r="O316" s="125" t="str">
        <f>IFERROR(IF(OR(J316="",L316=""),"",IF(J316="NO","NO",L316)),"")</f>
        <v>NO</v>
      </c>
      <c r="P316" s="125" t="str">
        <f t="shared" si="282"/>
        <v>SI</v>
      </c>
      <c r="Q316" s="125" t="str">
        <f t="shared" si="238"/>
        <v>SI</v>
      </c>
      <c r="R316" s="333">
        <v>0.5</v>
      </c>
      <c r="S316" s="334">
        <v>42908</v>
      </c>
      <c r="T316" s="335">
        <v>44926</v>
      </c>
      <c r="U316" s="125">
        <f t="shared" si="283"/>
        <v>2022</v>
      </c>
      <c r="V316" s="117">
        <f>IF(U316=2023,1160000,IFERROR(INDEX(SMMLV!$B$2:$B$101,MATCH(U316,SMMLV!$A$2:$A$101,0)),""))</f>
        <v>1000000</v>
      </c>
      <c r="W316" s="347" t="s">
        <v>670</v>
      </c>
      <c r="X316" s="286" t="s">
        <v>1334</v>
      </c>
      <c r="Y316" s="299">
        <v>249</v>
      </c>
      <c r="Z316" s="509" t="s">
        <v>74</v>
      </c>
      <c r="AA316" s="510"/>
      <c r="AB316" s="511"/>
      <c r="AC316" s="125" t="str">
        <f t="shared" si="284"/>
        <v>SI</v>
      </c>
      <c r="AD316" s="117" t="str">
        <f t="shared" si="239"/>
        <v>N/A</v>
      </c>
      <c r="AE316" s="350">
        <v>8979.84</v>
      </c>
      <c r="AF316" s="117">
        <f t="shared" si="234"/>
        <v>4489.92</v>
      </c>
      <c r="AG316" s="470"/>
      <c r="AH316" s="470"/>
      <c r="AI316" s="125" t="str">
        <f t="shared" si="235"/>
        <v>CUMPLE</v>
      </c>
      <c r="AJ316" s="470"/>
      <c r="AK316" s="470"/>
      <c r="AL316" s="472"/>
      <c r="AM316" s="496"/>
      <c r="AN316" s="286" t="s">
        <v>75</v>
      </c>
      <c r="AO316" s="507"/>
      <c r="AP316" s="286" t="s">
        <v>74</v>
      </c>
      <c r="AQ316" s="490"/>
      <c r="AR316" s="522"/>
      <c r="AS316" s="519"/>
      <c r="AT316" s="204"/>
      <c r="AU316" s="671"/>
      <c r="AV316" s="671"/>
      <c r="AW316" s="561"/>
      <c r="AX316" s="561"/>
      <c r="AY316" s="19"/>
      <c r="CB316" s="29" t="str">
        <f>IFERROR(IF(COUNTIF(AF313:AF322,"")=10,"",IF(COUNTIF(E313:E322,"N/A")&gt;0,IF(AF316&gt;=CMEMM1,AF316,0),"N/A")),"")</f>
        <v>N/A</v>
      </c>
      <c r="CC316" s="4"/>
      <c r="CD316" s="4">
        <f>IFERROR(IF(COUNTIF(AF313:AF322,"")=10,"",IF(AF316="","",IF(AF316&gt;=CMEMM1,1,0))),"")</f>
        <v>1</v>
      </c>
      <c r="CE316" s="4" t="str">
        <f>B313&amp;"-0"&amp;4</f>
        <v>P32-04</v>
      </c>
      <c r="CF316" s="4">
        <f>IFERROR(INDEX('DESEMPATE Y DISCAPACIDAD'!$D$3:$D$450,MATCH(CE316,'DESEMPATE Y DISCAPACIDAD'!$C$3:$C$450,0)),"")</f>
        <v>0</v>
      </c>
      <c r="CG316" s="4">
        <f>IF(OR(CE316="",CF316=""),"",SUMIF(D313:D322,CF316,CD313:CD322))</f>
        <v>0</v>
      </c>
      <c r="CH316" s="4" t="str">
        <f t="shared" si="264"/>
        <v>NO CUMPLE</v>
      </c>
      <c r="CI316" s="4">
        <f t="shared" si="285"/>
        <v>0</v>
      </c>
      <c r="CJ316" s="4"/>
      <c r="CK316" s="4"/>
      <c r="CL316" s="4">
        <f t="shared" si="236"/>
        <v>1</v>
      </c>
      <c r="CM316" s="4">
        <f t="shared" si="237"/>
        <v>0</v>
      </c>
      <c r="CN316" s="4" t="str">
        <f t="shared" si="286"/>
        <v>COND. A</v>
      </c>
      <c r="CO316" s="4"/>
      <c r="CP316" s="4"/>
      <c r="CQ316" s="29" t="str">
        <f t="shared" si="280"/>
        <v>N/A</v>
      </c>
      <c r="CR316" s="29">
        <f t="shared" si="272"/>
        <v>4489.92</v>
      </c>
      <c r="CS316" s="4"/>
    </row>
    <row r="317" spans="1:97" ht="40" customHeight="1">
      <c r="B317" s="481"/>
      <c r="C317" s="118" t="s">
        <v>412</v>
      </c>
      <c r="D317" s="126" t="str">
        <f>+IFERROR(INDEX('DESEMPATE Y DISCAPACIDAD'!$D$3:$D$450,MATCH(C317,'DESEMPATE Y DISCAPACIDAD'!$C$3:$C$450,0)),"")</f>
        <v>DOHWA COLOMBIA S.A.S</v>
      </c>
      <c r="E317" s="127" t="str">
        <f>IFERROR(IF(D317="","",IF(VLOOKUP(D317,'DESEMPATE Y DISCAPACIDAD'!D$3:$E$450,2,FALSE)=1,"N/A",IF(VLOOKUP(D317,'DESEMPATE Y DISCAPACIDAD'!D$3:$F$450,3,FALSE)="X","SI","NO"))),"")</f>
        <v>NO</v>
      </c>
      <c r="F317" s="299" t="s">
        <v>1285</v>
      </c>
      <c r="G317" s="299" t="s">
        <v>1286</v>
      </c>
      <c r="H317" s="299" t="s">
        <v>670</v>
      </c>
      <c r="I317" s="299" t="s">
        <v>1287</v>
      </c>
      <c r="J317" s="286" t="s">
        <v>74</v>
      </c>
      <c r="K317" s="286" t="s">
        <v>74</v>
      </c>
      <c r="L317" s="286" t="s">
        <v>75</v>
      </c>
      <c r="M317" s="286" t="s">
        <v>74</v>
      </c>
      <c r="N317" s="125" t="str">
        <f t="shared" si="281"/>
        <v>SI</v>
      </c>
      <c r="O317" s="125" t="str">
        <f t="shared" ref="O317:O322" si="287">IFERROR(IF(OR(J317="",L317=""),"",IF(J317="NO","NO",L317)),"")</f>
        <v>NO</v>
      </c>
      <c r="P317" s="125" t="str">
        <f t="shared" si="282"/>
        <v>SI</v>
      </c>
      <c r="Q317" s="125" t="str">
        <f t="shared" si="238"/>
        <v>SI</v>
      </c>
      <c r="R317" s="333">
        <v>1</v>
      </c>
      <c r="S317" s="334">
        <v>38686</v>
      </c>
      <c r="T317" s="334">
        <v>43100</v>
      </c>
      <c r="U317" s="125">
        <f t="shared" si="283"/>
        <v>2017</v>
      </c>
      <c r="V317" s="117">
        <f>IF(U317=2023,1160000,IFERROR(INDEX(SMMLV!$B$2:$B$101,MATCH(U317,SMMLV!$A$2:$A$101,0)),""))</f>
        <v>737717</v>
      </c>
      <c r="W317" s="347" t="s">
        <v>670</v>
      </c>
      <c r="X317" s="286" t="s">
        <v>1336</v>
      </c>
      <c r="Y317" s="299">
        <v>44</v>
      </c>
      <c r="Z317" s="509" t="s">
        <v>74</v>
      </c>
      <c r="AA317" s="510"/>
      <c r="AB317" s="511"/>
      <c r="AC317" s="125" t="str">
        <f t="shared" si="284"/>
        <v>SI</v>
      </c>
      <c r="AD317" s="117" t="str">
        <f t="shared" si="239"/>
        <v>N/A</v>
      </c>
      <c r="AE317" s="350">
        <v>26142.25</v>
      </c>
      <c r="AF317" s="117">
        <f t="shared" si="234"/>
        <v>26142.25</v>
      </c>
      <c r="AG317" s="470"/>
      <c r="AH317" s="470"/>
      <c r="AI317" s="125" t="str">
        <f t="shared" si="235"/>
        <v>CUMPLE</v>
      </c>
      <c r="AJ317" s="470"/>
      <c r="AK317" s="470"/>
      <c r="AL317" s="472"/>
      <c r="AM317" s="496"/>
      <c r="AN317" s="286" t="s">
        <v>75</v>
      </c>
      <c r="AO317" s="507"/>
      <c r="AP317" s="286" t="s">
        <v>74</v>
      </c>
      <c r="AQ317" s="490"/>
      <c r="AR317" s="522"/>
      <c r="AS317" s="519"/>
      <c r="AT317" s="204"/>
      <c r="AU317" s="671"/>
      <c r="AV317" s="671"/>
      <c r="AW317" s="561"/>
      <c r="AX317" s="561"/>
      <c r="AY317" s="19"/>
      <c r="CB317" s="29" t="str">
        <f>IFERROR(IF(COUNTIF(AF313:AF322,"")=10,"",IF(COUNTIF(E313:E322,"N/A")&gt;0,IF(AF317&gt;=CMEMM1,AF317,0),"N/A")),"")</f>
        <v>N/A</v>
      </c>
      <c r="CC317" s="4"/>
      <c r="CD317" s="4">
        <f>IFERROR(IF(COUNTIF(AF313:AF322,"")=10,"",IF(AF317="","",IF(AF317&gt;=CMEMM1,1,0))),"")</f>
        <v>1</v>
      </c>
      <c r="CE317" s="4" t="str">
        <f>B313&amp;"-0"&amp;5</f>
        <v>P32-05</v>
      </c>
      <c r="CF317" s="4">
        <f>IFERROR(INDEX('DESEMPATE Y DISCAPACIDAD'!$D$3:$D$450,MATCH(CE317,'DESEMPATE Y DISCAPACIDAD'!$C$3:$C$450,0)),"")</f>
        <v>0</v>
      </c>
      <c r="CG317" s="4">
        <f>IF(OR(CE317="",CF317=""),"",SUMIF(D313:D322,CF317,CD313:CD322))</f>
        <v>0</v>
      </c>
      <c r="CH317" s="4" t="str">
        <f t="shared" si="264"/>
        <v>NO CUMPLE</v>
      </c>
      <c r="CI317" s="4">
        <f t="shared" si="285"/>
        <v>0</v>
      </c>
      <c r="CJ317" s="4"/>
      <c r="CK317" s="4"/>
      <c r="CL317" s="4">
        <f t="shared" si="236"/>
        <v>1</v>
      </c>
      <c r="CM317" s="4">
        <f t="shared" si="237"/>
        <v>0</v>
      </c>
      <c r="CN317" s="4" t="str">
        <f t="shared" si="286"/>
        <v>COND. A</v>
      </c>
      <c r="CO317" s="4"/>
      <c r="CP317" s="4"/>
      <c r="CQ317" s="29" t="str">
        <f t="shared" si="280"/>
        <v>N/A</v>
      </c>
      <c r="CR317" s="29">
        <f t="shared" si="272"/>
        <v>26142.25</v>
      </c>
      <c r="CS317" s="4"/>
    </row>
    <row r="318" spans="1:97" ht="40" customHeight="1">
      <c r="B318" s="481"/>
      <c r="C318" s="118" t="s">
        <v>412</v>
      </c>
      <c r="D318" s="126" t="str">
        <f>+IFERROR(INDEX('DESEMPATE Y DISCAPACIDAD'!$D$3:$D$450,MATCH(C318,'DESEMPATE Y DISCAPACIDAD'!$C$3:$C$450,0)),"")</f>
        <v>DOHWA COLOMBIA S.A.S</v>
      </c>
      <c r="E318" s="127" t="str">
        <f>IFERROR(IF(D318="","",IF(VLOOKUP(D318,'DESEMPATE Y DISCAPACIDAD'!D$3:$E$450,2,FALSE)=1,"N/A",IF(VLOOKUP(D318,'DESEMPATE Y DISCAPACIDAD'!D$3:$F$450,3,FALSE)="X","SI","NO"))),"")</f>
        <v>NO</v>
      </c>
      <c r="F318" s="299" t="s">
        <v>1288</v>
      </c>
      <c r="G318" s="299" t="s">
        <v>1286</v>
      </c>
      <c r="H318" s="299" t="s">
        <v>670</v>
      </c>
      <c r="I318" s="299" t="s">
        <v>1289</v>
      </c>
      <c r="J318" s="286" t="s">
        <v>74</v>
      </c>
      <c r="K318" s="286" t="s">
        <v>74</v>
      </c>
      <c r="L318" s="286" t="s">
        <v>75</v>
      </c>
      <c r="M318" s="286" t="s">
        <v>74</v>
      </c>
      <c r="N318" s="125" t="str">
        <f t="shared" si="281"/>
        <v>SI</v>
      </c>
      <c r="O318" s="125" t="str">
        <f t="shared" si="287"/>
        <v>NO</v>
      </c>
      <c r="P318" s="125" t="str">
        <f t="shared" si="282"/>
        <v>SI</v>
      </c>
      <c r="Q318" s="125" t="str">
        <f t="shared" si="238"/>
        <v>SI</v>
      </c>
      <c r="R318" s="336">
        <v>1</v>
      </c>
      <c r="S318" s="334">
        <v>35794</v>
      </c>
      <c r="T318" s="334">
        <v>39447</v>
      </c>
      <c r="U318" s="125">
        <f t="shared" si="283"/>
        <v>2007</v>
      </c>
      <c r="V318" s="117">
        <f>IF(U318=2023,1160000,IFERROR(INDEX(SMMLV!$B$2:$B$101,MATCH(U318,SMMLV!$A$2:$A$101,0)),""))</f>
        <v>433700</v>
      </c>
      <c r="W318" s="347" t="s">
        <v>670</v>
      </c>
      <c r="X318" s="286" t="s">
        <v>1336</v>
      </c>
      <c r="Y318" s="299">
        <v>27</v>
      </c>
      <c r="Z318" s="509" t="s">
        <v>74</v>
      </c>
      <c r="AA318" s="510"/>
      <c r="AB318" s="511"/>
      <c r="AC318" s="125" t="str">
        <f t="shared" si="284"/>
        <v>SI</v>
      </c>
      <c r="AD318" s="117" t="str">
        <f t="shared" si="239"/>
        <v>N/A</v>
      </c>
      <c r="AE318" s="350">
        <v>40332.720000000001</v>
      </c>
      <c r="AF318" s="117">
        <f t="shared" si="234"/>
        <v>40332.720000000001</v>
      </c>
      <c r="AG318" s="470"/>
      <c r="AH318" s="470"/>
      <c r="AI318" s="125" t="str">
        <f t="shared" si="235"/>
        <v>CUMPLE</v>
      </c>
      <c r="AJ318" s="470"/>
      <c r="AK318" s="470"/>
      <c r="AL318" s="472"/>
      <c r="AM318" s="496"/>
      <c r="AN318" s="286" t="s">
        <v>75</v>
      </c>
      <c r="AO318" s="507"/>
      <c r="AP318" s="286" t="s">
        <v>74</v>
      </c>
      <c r="AQ318" s="490"/>
      <c r="AR318" s="522"/>
      <c r="AS318" s="519"/>
      <c r="AT318" s="204"/>
      <c r="AU318" s="671"/>
      <c r="AV318" s="671"/>
      <c r="AW318" s="561"/>
      <c r="AX318" s="561"/>
      <c r="AY318" s="19"/>
      <c r="CB318" s="29" t="str">
        <f>IFERROR(IF(COUNTIF(AF313:AF322,"")=10,"",IF(COUNTIF(E313:E322,"N/A")&gt;0,IF(AF318&gt;=CMEMM1,AF318,0),"N/A")),"")</f>
        <v>N/A</v>
      </c>
      <c r="CC318" s="4"/>
      <c r="CD318" s="4">
        <f>IFERROR(IF(COUNTIF(AF313:AF322,"")=10,"",IF(AF318="","",IF(AF318&gt;=CMEMM1,1,0))),"")</f>
        <v>1</v>
      </c>
      <c r="CE318" s="4" t="str">
        <f>B313&amp;"-0"&amp;6</f>
        <v>P32-06</v>
      </c>
      <c r="CF318" s="4">
        <f>IFERROR(INDEX('DESEMPATE Y DISCAPACIDAD'!$D$3:$D$450,MATCH(CE318,'DESEMPATE Y DISCAPACIDAD'!$C$3:$C$450,0)),"")</f>
        <v>0</v>
      </c>
      <c r="CG318" s="4">
        <f>IF(OR(CE318="",CF318=""),"",SUMIF(D313:D322,CF318,CD313:CD322))</f>
        <v>0</v>
      </c>
      <c r="CH318" s="4" t="str">
        <f t="shared" si="264"/>
        <v>NO CUMPLE</v>
      </c>
      <c r="CI318" s="4">
        <f t="shared" si="285"/>
        <v>0</v>
      </c>
      <c r="CJ318" s="4"/>
      <c r="CK318" s="4"/>
      <c r="CL318" s="4">
        <f t="shared" si="236"/>
        <v>1</v>
      </c>
      <c r="CM318" s="4">
        <f t="shared" si="237"/>
        <v>0</v>
      </c>
      <c r="CN318" s="4" t="str">
        <f t="shared" si="286"/>
        <v>COND. A</v>
      </c>
      <c r="CO318" s="4"/>
      <c r="CP318" s="4"/>
      <c r="CQ318" s="29" t="str">
        <f t="shared" si="280"/>
        <v>N/A</v>
      </c>
      <c r="CR318" s="29">
        <f t="shared" si="272"/>
        <v>40332.720000000001</v>
      </c>
      <c r="CS318" s="4"/>
    </row>
    <row r="319" spans="1:97" ht="40" customHeight="1">
      <c r="B319" s="481"/>
      <c r="C319" s="118" t="s">
        <v>412</v>
      </c>
      <c r="D319" s="126" t="str">
        <f>+IFERROR(INDEX('DESEMPATE Y DISCAPACIDAD'!$D$3:$D$450,MATCH(C319,'DESEMPATE Y DISCAPACIDAD'!$C$3:$C$450,0)),"")</f>
        <v>DOHWA COLOMBIA S.A.S</v>
      </c>
      <c r="E319" s="127" t="str">
        <f>IFERROR(IF(D319="","",IF(VLOOKUP(D319,'DESEMPATE Y DISCAPACIDAD'!D$3:$E$450,2,FALSE)=1,"N/A",IF(VLOOKUP(D319,'DESEMPATE Y DISCAPACIDAD'!D$3:$F$450,3,FALSE)="X","SI","NO"))),"")</f>
        <v>NO</v>
      </c>
      <c r="F319" s="299" t="s">
        <v>1290</v>
      </c>
      <c r="G319" s="299" t="s">
        <v>1286</v>
      </c>
      <c r="H319" s="299" t="s">
        <v>670</v>
      </c>
      <c r="I319" s="299" t="s">
        <v>1291</v>
      </c>
      <c r="J319" s="286" t="s">
        <v>74</v>
      </c>
      <c r="K319" s="286" t="s">
        <v>74</v>
      </c>
      <c r="L319" s="286" t="s">
        <v>75</v>
      </c>
      <c r="M319" s="286" t="s">
        <v>74</v>
      </c>
      <c r="N319" s="125" t="str">
        <f t="shared" si="281"/>
        <v>SI</v>
      </c>
      <c r="O319" s="125" t="str">
        <f t="shared" si="287"/>
        <v>NO</v>
      </c>
      <c r="P319" s="125" t="str">
        <f t="shared" si="282"/>
        <v>SI</v>
      </c>
      <c r="Q319" s="125" t="str">
        <f t="shared" si="238"/>
        <v>SI</v>
      </c>
      <c r="R319" s="336">
        <v>0.49</v>
      </c>
      <c r="S319" s="414">
        <v>37215</v>
      </c>
      <c r="T319" s="334">
        <v>39813</v>
      </c>
      <c r="U319" s="125">
        <f t="shared" si="283"/>
        <v>2008</v>
      </c>
      <c r="V319" s="117">
        <f>IF(U319=2023,1160000,IFERROR(INDEX(SMMLV!$B$2:$B$101,MATCH(U319,SMMLV!$A$2:$A$101,0)),""))</f>
        <v>461500</v>
      </c>
      <c r="W319" s="348" t="s">
        <v>670</v>
      </c>
      <c r="X319" s="286" t="s">
        <v>1336</v>
      </c>
      <c r="Y319" s="300">
        <v>66</v>
      </c>
      <c r="Z319" s="509" t="s">
        <v>74</v>
      </c>
      <c r="AA319" s="510"/>
      <c r="AB319" s="511"/>
      <c r="AC319" s="125" t="str">
        <f t="shared" si="284"/>
        <v>SI</v>
      </c>
      <c r="AD319" s="117" t="str">
        <f t="shared" si="239"/>
        <v>N/A</v>
      </c>
      <c r="AE319" s="350">
        <v>32735.91</v>
      </c>
      <c r="AF319" s="117">
        <f t="shared" si="234"/>
        <v>16040.5959</v>
      </c>
      <c r="AG319" s="470"/>
      <c r="AH319" s="470"/>
      <c r="AI319" s="125" t="str">
        <f t="shared" si="235"/>
        <v>CUMPLE</v>
      </c>
      <c r="AJ319" s="470"/>
      <c r="AK319" s="470"/>
      <c r="AL319" s="472"/>
      <c r="AM319" s="496"/>
      <c r="AN319" s="286" t="s">
        <v>75</v>
      </c>
      <c r="AO319" s="507"/>
      <c r="AP319" s="286" t="s">
        <v>74</v>
      </c>
      <c r="AQ319" s="490"/>
      <c r="AR319" s="522"/>
      <c r="AS319" s="519"/>
      <c r="AT319" s="204"/>
      <c r="AU319" s="671"/>
      <c r="AV319" s="671"/>
      <c r="AW319" s="561"/>
      <c r="AX319" s="561"/>
      <c r="AY319" s="19"/>
      <c r="CB319" s="29" t="str">
        <f>IFERROR(IF(COUNTIF(AF313:AF322,"")=10,"",IF(COUNTIF(E313:E322,"N/A")&gt;0,IF(AF319&gt;=CMEMM1,AF319,0),"N/A")),"")</f>
        <v>N/A</v>
      </c>
      <c r="CC319" s="4"/>
      <c r="CD319" s="4">
        <f>IFERROR(IF(COUNTIF(AF313:AF322,"")=10,"",IF(AF319="","",IF(AF319&gt;=CMEMM1,1,0))),"")</f>
        <v>1</v>
      </c>
      <c r="CE319" s="4" t="str">
        <f>B313&amp;"-0"&amp;7</f>
        <v>P32-07</v>
      </c>
      <c r="CF319" s="4" t="str">
        <f>IFERROR(INDEX('DESEMPATE Y DISCAPACIDAD'!$D$3:$D$450,MATCH(CE319,'DESEMPATE Y DISCAPACIDAD'!$C$3:$C$450,0)),"")</f>
        <v/>
      </c>
      <c r="CG319" s="4" t="str">
        <f>IF(OR(CE319="",CF319=""),"",SUMIF(D313:D322,CF319,CD313:CD322))</f>
        <v/>
      </c>
      <c r="CH319" s="4" t="str">
        <f t="shared" si="264"/>
        <v/>
      </c>
      <c r="CI319" s="4" t="str">
        <f t="shared" si="285"/>
        <v/>
      </c>
      <c r="CJ319" s="4"/>
      <c r="CK319" s="4"/>
      <c r="CL319" s="4">
        <f t="shared" si="236"/>
        <v>1</v>
      </c>
      <c r="CM319" s="4">
        <f t="shared" si="237"/>
        <v>0</v>
      </c>
      <c r="CN319" s="4" t="str">
        <f t="shared" si="286"/>
        <v>COND. A</v>
      </c>
      <c r="CO319" s="4"/>
      <c r="CP319" s="4"/>
      <c r="CQ319" s="29" t="str">
        <f t="shared" si="280"/>
        <v>N/A</v>
      </c>
      <c r="CR319" s="29">
        <f t="shared" si="272"/>
        <v>16040.5959</v>
      </c>
      <c r="CS319" s="4"/>
    </row>
    <row r="320" spans="1:97" ht="40" customHeight="1">
      <c r="B320" s="481"/>
      <c r="C320" s="118"/>
      <c r="D320" s="126" t="str">
        <f>+IFERROR(INDEX('DESEMPATE Y DISCAPACIDAD'!$D$3:$D$450,MATCH(C320,'DESEMPATE Y DISCAPACIDAD'!$C$3:$C$450,0)),"")</f>
        <v/>
      </c>
      <c r="E320" s="127" t="str">
        <f>IFERROR(IF(D320="","",IF(VLOOKUP(D320,'DESEMPATE Y DISCAPACIDAD'!D$3:$E$450,2,FALSE)=1,"N/A",IF(VLOOKUP(D320,'DESEMPATE Y DISCAPACIDAD'!D$3:$F$450,3,FALSE)="X","SI","NO"))),"")</f>
        <v/>
      </c>
      <c r="F320" s="286"/>
      <c r="G320" s="286"/>
      <c r="H320" s="286"/>
      <c r="I320" s="290"/>
      <c r="J320" s="286"/>
      <c r="K320" s="286"/>
      <c r="L320" s="286"/>
      <c r="M320" s="286"/>
      <c r="N320" s="125" t="str">
        <f t="shared" si="281"/>
        <v/>
      </c>
      <c r="O320" s="125" t="str">
        <f t="shared" si="287"/>
        <v/>
      </c>
      <c r="P320" s="125" t="str">
        <f t="shared" si="282"/>
        <v/>
      </c>
      <c r="Q320" s="125" t="str">
        <f t="shared" si="238"/>
        <v/>
      </c>
      <c r="R320" s="316"/>
      <c r="S320" s="317"/>
      <c r="T320" s="317"/>
      <c r="U320" s="125" t="str">
        <f t="shared" si="283"/>
        <v/>
      </c>
      <c r="V320" s="117" t="str">
        <f>IF(U320=2023,1160000,IFERROR(INDEX(SMMLV!$B$2:$B$101,MATCH(U320,SMMLV!$A$2:$A$101,0)),""))</f>
        <v/>
      </c>
      <c r="W320" s="343"/>
      <c r="X320" s="286"/>
      <c r="Y320" s="286"/>
      <c r="Z320" s="509"/>
      <c r="AA320" s="510"/>
      <c r="AB320" s="511"/>
      <c r="AC320" s="125" t="str">
        <f t="shared" si="284"/>
        <v/>
      </c>
      <c r="AD320" s="117" t="str">
        <f t="shared" si="239"/>
        <v/>
      </c>
      <c r="AE320" s="343" t="str">
        <f t="shared" si="256"/>
        <v/>
      </c>
      <c r="AF320" s="117" t="str">
        <f t="shared" si="234"/>
        <v/>
      </c>
      <c r="AG320" s="470"/>
      <c r="AH320" s="470"/>
      <c r="AI320" s="125" t="str">
        <f t="shared" si="235"/>
        <v/>
      </c>
      <c r="AJ320" s="470"/>
      <c r="AK320" s="470"/>
      <c r="AL320" s="472"/>
      <c r="AM320" s="496"/>
      <c r="AN320" s="286"/>
      <c r="AO320" s="507"/>
      <c r="AP320" s="286"/>
      <c r="AQ320" s="490"/>
      <c r="AR320" s="522"/>
      <c r="AS320" s="519"/>
      <c r="AT320" s="204"/>
      <c r="AU320" s="671"/>
      <c r="AV320" s="671"/>
      <c r="AW320" s="561"/>
      <c r="AX320" s="561"/>
      <c r="AY320" s="19"/>
      <c r="CB320" s="29" t="str">
        <f>IFERROR(IF(COUNTIF(AF313:AF322,"")=10,"",IF(COUNTIF(E313:E322,"N/A")&gt;0,IF(AF320&gt;=CMEMM1,AF320,0),"N/A")),"")</f>
        <v>N/A</v>
      </c>
      <c r="CC320" s="4"/>
      <c r="CD320" s="4" t="str">
        <f>IFERROR(IF(COUNTIF(AF313:AF322,"")=10,"",IF(AF320="","",IF(AF320&gt;=CMEMM1,1,0))),"")</f>
        <v/>
      </c>
      <c r="CE320" s="4" t="str">
        <f>B313&amp;"-0"&amp;8</f>
        <v>P32-08</v>
      </c>
      <c r="CF320" s="4" t="str">
        <f>IFERROR(INDEX('DESEMPATE Y DISCAPACIDAD'!$D$3:$D$450,MATCH(CE320,'DESEMPATE Y DISCAPACIDAD'!$C$3:$C$450,0)),"")</f>
        <v/>
      </c>
      <c r="CG320" s="4" t="str">
        <f>IF(OR(CE320="",CF320=""),"",SUMIF(D313:D322,CF320,CD313:CD322))</f>
        <v/>
      </c>
      <c r="CH320" s="4" t="str">
        <f t="shared" si="264"/>
        <v/>
      </c>
      <c r="CI320" s="4" t="str">
        <f t="shared" si="285"/>
        <v/>
      </c>
      <c r="CJ320" s="4"/>
      <c r="CK320" s="4"/>
      <c r="CL320" s="4" t="str">
        <f t="shared" si="236"/>
        <v/>
      </c>
      <c r="CM320" s="4" t="str">
        <f t="shared" si="237"/>
        <v/>
      </c>
      <c r="CN320" s="4" t="str">
        <f t="shared" si="286"/>
        <v/>
      </c>
      <c r="CO320" s="4"/>
      <c r="CP320" s="4"/>
      <c r="CQ320" s="29" t="str">
        <f t="shared" si="280"/>
        <v/>
      </c>
      <c r="CR320" s="29" t="str">
        <f t="shared" si="272"/>
        <v/>
      </c>
      <c r="CS320" s="4"/>
    </row>
    <row r="321" spans="1:97" ht="40" customHeight="1">
      <c r="B321" s="481"/>
      <c r="C321" s="118"/>
      <c r="D321" s="126" t="str">
        <f>+IFERROR(INDEX('DESEMPATE Y DISCAPACIDAD'!$D$3:$D$450,MATCH(C321,'DESEMPATE Y DISCAPACIDAD'!$C$3:$C$450,0)),"")</f>
        <v/>
      </c>
      <c r="E321" s="127" t="str">
        <f>IFERROR(IF(D321="","",IF(VLOOKUP(D321,'DESEMPATE Y DISCAPACIDAD'!D$3:$E$450,2,FALSE)=1,"N/A",IF(VLOOKUP(D321,'DESEMPATE Y DISCAPACIDAD'!D$3:$F$450,3,FALSE)="X","SI","NO"))),"")</f>
        <v/>
      </c>
      <c r="F321" s="286"/>
      <c r="G321" s="286"/>
      <c r="H321" s="286"/>
      <c r="I321" s="290"/>
      <c r="J321" s="286"/>
      <c r="K321" s="286"/>
      <c r="L321" s="286"/>
      <c r="M321" s="286"/>
      <c r="N321" s="125" t="str">
        <f t="shared" si="281"/>
        <v/>
      </c>
      <c r="O321" s="125" t="str">
        <f t="shared" si="287"/>
        <v/>
      </c>
      <c r="P321" s="125" t="str">
        <f t="shared" si="282"/>
        <v/>
      </c>
      <c r="Q321" s="125" t="str">
        <f t="shared" si="238"/>
        <v/>
      </c>
      <c r="R321" s="316"/>
      <c r="S321" s="317"/>
      <c r="T321" s="317"/>
      <c r="U321" s="125" t="str">
        <f t="shared" si="283"/>
        <v/>
      </c>
      <c r="V321" s="117" t="str">
        <f>IF(U321=2023,1160000,IFERROR(INDEX(SMMLV!$B$2:$B$101,MATCH(U321,SMMLV!$A$2:$A$101,0)),""))</f>
        <v/>
      </c>
      <c r="W321" s="343"/>
      <c r="X321" s="286"/>
      <c r="Y321" s="286"/>
      <c r="Z321" s="509"/>
      <c r="AA321" s="510"/>
      <c r="AB321" s="511"/>
      <c r="AC321" s="125" t="str">
        <f t="shared" si="284"/>
        <v/>
      </c>
      <c r="AD321" s="117" t="str">
        <f t="shared" si="239"/>
        <v/>
      </c>
      <c r="AE321" s="343" t="str">
        <f t="shared" si="256"/>
        <v/>
      </c>
      <c r="AF321" s="117" t="str">
        <f t="shared" ref="AF321:AF384" si="288">IFERROR(IF(OR(J321="",J321="NO"),"",IF(AND(J321="SI",Q321="SI"),IFERROR(AE321*R321,""),"")),"")</f>
        <v/>
      </c>
      <c r="AG321" s="470"/>
      <c r="AH321" s="470"/>
      <c r="AI321" s="125" t="str">
        <f t="shared" ref="AI321:AI384" si="289">IFERROR(IF(AF321="","",IF(AF321&gt;=CMEMM1,"CUMPLE","NO CUMPLE")),"")</f>
        <v/>
      </c>
      <c r="AJ321" s="470"/>
      <c r="AK321" s="470"/>
      <c r="AL321" s="472"/>
      <c r="AM321" s="496"/>
      <c r="AN321" s="286"/>
      <c r="AO321" s="507"/>
      <c r="AP321" s="286"/>
      <c r="AQ321" s="490"/>
      <c r="AR321" s="522"/>
      <c r="AS321" s="519"/>
      <c r="AT321" s="204"/>
      <c r="AU321" s="671"/>
      <c r="AV321" s="671"/>
      <c r="AW321" s="561"/>
      <c r="AX321" s="561"/>
      <c r="AY321" s="19"/>
      <c r="CB321" s="29" t="str">
        <f>IFERROR(IF(COUNTIF(AF313:AF322,"")=10,"",IF(COUNTIF(E313:E322,"N/A")&gt;0,IF(AF321&gt;=CMEMM1,AF321,0),"N/A")),"")</f>
        <v>N/A</v>
      </c>
      <c r="CC321" s="4"/>
      <c r="CD321" s="4" t="str">
        <f>IFERROR(IF(COUNTIF(AF313:AF322,"")=10,"",IF(AF321="","",IF(AF321&gt;=CMEMM1,1,0))),"")</f>
        <v/>
      </c>
      <c r="CE321" s="4" t="str">
        <f>B313&amp;"-0"&amp;9</f>
        <v>P32-09</v>
      </c>
      <c r="CF321" s="4" t="str">
        <f>IFERROR(INDEX('DESEMPATE Y DISCAPACIDAD'!$D$3:$D$450,MATCH(CE321,'DESEMPATE Y DISCAPACIDAD'!$C$3:$C$450,0)),"")</f>
        <v/>
      </c>
      <c r="CG321" s="4" t="str">
        <f>IF(OR(CE321="",CF321=""),"",SUMIF(D313:D322,CF321,CD313:CD322))</f>
        <v/>
      </c>
      <c r="CH321" s="4" t="str">
        <f t="shared" si="264"/>
        <v/>
      </c>
      <c r="CI321" s="4" t="str">
        <f t="shared" si="285"/>
        <v/>
      </c>
      <c r="CJ321" s="4"/>
      <c r="CK321" s="4"/>
      <c r="CL321" s="4" t="str">
        <f t="shared" si="236"/>
        <v/>
      </c>
      <c r="CM321" s="4" t="str">
        <f t="shared" si="237"/>
        <v/>
      </c>
      <c r="CN321" s="4" t="str">
        <f t="shared" si="286"/>
        <v/>
      </c>
      <c r="CO321" s="4"/>
      <c r="CP321" s="4"/>
      <c r="CQ321" s="29" t="str">
        <f t="shared" si="280"/>
        <v/>
      </c>
      <c r="CR321" s="29" t="str">
        <f t="shared" si="272"/>
        <v/>
      </c>
      <c r="CS321" s="4"/>
    </row>
    <row r="322" spans="1:97" ht="40" customHeight="1" thickBot="1">
      <c r="B322" s="482"/>
      <c r="C322" s="130"/>
      <c r="D322" s="131" t="str">
        <f>+IFERROR(INDEX('DESEMPATE Y DISCAPACIDAD'!$D$3:$D$450,MATCH(C322,'DESEMPATE Y DISCAPACIDAD'!$C$3:$C$450,0)),"")</f>
        <v/>
      </c>
      <c r="E322" s="132" t="str">
        <f>IFERROR(IF(D322="","",IF(VLOOKUP(D322,'DESEMPATE Y DISCAPACIDAD'!D$3:$E$450,2,FALSE)=1,"N/A",IF(VLOOKUP(D322,'DESEMPATE Y DISCAPACIDAD'!D$3:$F$450,3,FALSE)="X","SI","NO"))),"")</f>
        <v/>
      </c>
      <c r="F322" s="291"/>
      <c r="G322" s="291"/>
      <c r="H322" s="291"/>
      <c r="I322" s="292"/>
      <c r="J322" s="291"/>
      <c r="K322" s="291"/>
      <c r="L322" s="291"/>
      <c r="M322" s="291"/>
      <c r="N322" s="133" t="str">
        <f t="shared" si="281"/>
        <v/>
      </c>
      <c r="O322" s="133" t="str">
        <f t="shared" si="287"/>
        <v/>
      </c>
      <c r="P322" s="133" t="str">
        <f t="shared" si="282"/>
        <v/>
      </c>
      <c r="Q322" s="133" t="str">
        <f t="shared" si="238"/>
        <v/>
      </c>
      <c r="R322" s="318"/>
      <c r="S322" s="319"/>
      <c r="T322" s="319"/>
      <c r="U322" s="133" t="str">
        <f t="shared" si="283"/>
        <v/>
      </c>
      <c r="V322" s="136" t="str">
        <f>IF(U322=2023,1160000,IFERROR(INDEX(SMMLV!$B$2:$B$101,MATCH(U322,SMMLV!$A$2:$A$101,0)),""))</f>
        <v/>
      </c>
      <c r="W322" s="344"/>
      <c r="X322" s="291"/>
      <c r="Y322" s="291"/>
      <c r="Z322" s="512"/>
      <c r="AA322" s="513"/>
      <c r="AB322" s="514"/>
      <c r="AC322" s="133" t="str">
        <f t="shared" si="284"/>
        <v/>
      </c>
      <c r="AD322" s="136" t="str">
        <f t="shared" si="239"/>
        <v/>
      </c>
      <c r="AE322" s="344" t="str">
        <f t="shared" si="256"/>
        <v/>
      </c>
      <c r="AF322" s="136" t="str">
        <f t="shared" si="288"/>
        <v/>
      </c>
      <c r="AG322" s="471"/>
      <c r="AH322" s="471"/>
      <c r="AI322" s="133" t="str">
        <f t="shared" si="289"/>
        <v/>
      </c>
      <c r="AJ322" s="471"/>
      <c r="AK322" s="471"/>
      <c r="AL322" s="473"/>
      <c r="AM322" s="497"/>
      <c r="AN322" s="291"/>
      <c r="AO322" s="508"/>
      <c r="AP322" s="291"/>
      <c r="AQ322" s="491"/>
      <c r="AR322" s="523"/>
      <c r="AS322" s="520"/>
      <c r="AT322" s="206"/>
      <c r="AU322" s="672"/>
      <c r="AV322" s="672"/>
      <c r="AW322" s="562"/>
      <c r="AX322" s="562"/>
      <c r="AY322" s="19"/>
      <c r="CB322" s="29" t="str">
        <f>IFERROR(IF(COUNTIF(AF313:AF322,"")=10,"",IF(COUNTIF(E313:E322,"N/A")&gt;0,IF(AF322&gt;=CMEMM1,AF322,0),"N/A")),"")</f>
        <v>N/A</v>
      </c>
      <c r="CC322" s="4"/>
      <c r="CD322" s="4" t="str">
        <f>IFERROR(IF(COUNTIF(AF313:AF322,"")=10,"",IF(AF322="","",IF(AF322&gt;=CMEMM1,1,0))),"")</f>
        <v/>
      </c>
      <c r="CE322" s="4" t="str">
        <f>B313&amp;"-"&amp;10</f>
        <v>P32-10</v>
      </c>
      <c r="CF322" s="4" t="str">
        <f>IFERROR(INDEX('DESEMPATE Y DISCAPACIDAD'!$D$3:$D$450,MATCH(CE322,'DESEMPATE Y DISCAPACIDAD'!$C$3:$C$450,0)),"")</f>
        <v/>
      </c>
      <c r="CG322" s="4" t="str">
        <f>IF(OR(CE322="",CF322=""),"",SUMIF(D313:D322,CF322,CD313:CD322))</f>
        <v/>
      </c>
      <c r="CH322" s="4" t="str">
        <f t="shared" si="264"/>
        <v/>
      </c>
      <c r="CI322" s="4" t="str">
        <f t="shared" si="285"/>
        <v/>
      </c>
      <c r="CJ322" s="4"/>
      <c r="CK322" s="4"/>
      <c r="CL322" s="4" t="str">
        <f t="shared" si="236"/>
        <v/>
      </c>
      <c r="CM322" s="4" t="str">
        <f t="shared" si="237"/>
        <v/>
      </c>
      <c r="CN322" s="4" t="str">
        <f t="shared" si="286"/>
        <v/>
      </c>
      <c r="CO322" s="4"/>
      <c r="CP322" s="4"/>
      <c r="CQ322" s="29" t="str">
        <f t="shared" si="280"/>
        <v/>
      </c>
      <c r="CR322" s="29" t="str">
        <f t="shared" si="272"/>
        <v/>
      </c>
      <c r="CS322" s="4"/>
    </row>
    <row r="323" spans="1:97" ht="40" customHeight="1">
      <c r="A323" s="4" t="str">
        <f>"A"&amp;B323</f>
        <v>AP33</v>
      </c>
      <c r="B323" s="480" t="s">
        <v>294</v>
      </c>
      <c r="C323" s="108" t="s">
        <v>417</v>
      </c>
      <c r="D323" s="119" t="str">
        <f>+IFERROR(INDEX('DESEMPATE Y DISCAPACIDAD'!$D$3:$D$450,MATCH(C323,'DESEMPATE Y DISCAPACIDAD'!$C$3:$C$450,0)),"")</f>
        <v>GESTIÓN INTEGRAL DEL SUELO SL COLOMBIA</v>
      </c>
      <c r="E323" s="120" t="str">
        <f>IFERROR(IF(D323="","",IF(VLOOKUP(D323,'DESEMPATE Y DISCAPACIDAD'!D$3:$E$450,2,FALSE)=1,"N/A",IF(VLOOKUP(D323,'DESEMPATE Y DISCAPACIDAD'!D$3:$F$450,3,FALSE)="X","SI","NO"))),"")</f>
        <v>NO</v>
      </c>
      <c r="F323" s="301" t="s">
        <v>663</v>
      </c>
      <c r="G323" s="301" t="s">
        <v>699</v>
      </c>
      <c r="H323" s="301" t="s">
        <v>1292</v>
      </c>
      <c r="I323" s="301" t="s">
        <v>1293</v>
      </c>
      <c r="J323" s="284" t="s">
        <v>74</v>
      </c>
      <c r="K323" s="284" t="s">
        <v>74</v>
      </c>
      <c r="L323" s="284" t="s">
        <v>1040</v>
      </c>
      <c r="M323" s="284" t="s">
        <v>74</v>
      </c>
      <c r="N323" s="121" t="str">
        <f>IFERROR(IF(OR(J323="",K323=""),"",IF(J323="NO","NO",K323)),"")</f>
        <v>SI</v>
      </c>
      <c r="O323" s="121" t="str">
        <f>IFERROR(IF(OR(J323="",L323=""),"",IF(J323="NO","NO",L323)),"")</f>
        <v>si</v>
      </c>
      <c r="P323" s="121" t="str">
        <f>IFERROR(IF(OR(J323="",M323=""),"",IF(J323="NO","NO",M323)),"")</f>
        <v>SI</v>
      </c>
      <c r="Q323" s="121" t="str">
        <f t="shared" si="238"/>
        <v>SI</v>
      </c>
      <c r="R323" s="322">
        <v>0.49</v>
      </c>
      <c r="S323" s="325">
        <v>42290</v>
      </c>
      <c r="T323" s="326">
        <v>45663</v>
      </c>
      <c r="U323" s="121">
        <f>IFERROR(IF(T323="","",YEAR(T323)),"")</f>
        <v>2025</v>
      </c>
      <c r="V323" s="124">
        <v>1423500</v>
      </c>
      <c r="W323" s="349">
        <v>54469088518</v>
      </c>
      <c r="X323" s="284" t="s">
        <v>671</v>
      </c>
      <c r="Y323" s="295">
        <v>88</v>
      </c>
      <c r="Z323" s="515" t="s">
        <v>74</v>
      </c>
      <c r="AA323" s="516"/>
      <c r="AB323" s="517"/>
      <c r="AC323" s="121" t="str">
        <f>IFERROR(IF(Y323="","",IF(ISNUMBER(Y323),IF(COUNTIF(Z323,"SI")&gt;0,"SI","NO"),Y323)),"")</f>
        <v>SI</v>
      </c>
      <c r="AD323" s="124">
        <f t="shared" si="239"/>
        <v>54469088518</v>
      </c>
      <c r="AE323" s="384">
        <f t="shared" si="256"/>
        <v>38264.199999999997</v>
      </c>
      <c r="AF323" s="124">
        <f t="shared" si="288"/>
        <v>18749.457999999999</v>
      </c>
      <c r="AG323" s="486" t="str">
        <f>IFERROR(IF(COUNTIF(AF323:AF332,"")=10,"",IF(COUNTIF(E323:E332,"N/A")&gt;0,IF(SUM(CB323:CB332)&gt;=CMEM1,"CUMPLE","NO CUMPLE"),IF(SUM(AF323:AF332)&gt;=CMEM1,"CUMPLE","NO CUMPLE"))),"")</f>
        <v>CUMPLE</v>
      </c>
      <c r="AH323" s="486" t="str">
        <f>IF(COUNTIF(AF323:AF332,"")=10,"",IF(SUMIF(C323:C332,C323,AF323:AF332)&gt;=CMLM1,"CUMPLE",IF(SUMIF(C323:C332,C324,AF323:AF332)&gt;=CMLM1,"CUMPLE",IF(SUMIF(C323:C332,C325,AF323:AF332)&gt;=CMLM1,"CUMPLE",IF(SUMIF(C323:C332,C326,AF323:AF332)&gt;=CMLM1,"CUMPLE",IF(SUMIF(C323:C332,C327,AF323:AF332)&gt;=CMLM1,"CUMPLE",IF(SUMIF(C323:C332,C328,AF323:AF332)&gt;=CMLM1,"CUMPLE",IF(SUMIF(C323:C332,C329,AF323:AF332)&gt;=CMLM1,"CUMPLE",IF(SUMIF(C323:C332,C330,AF323:AF332)&gt;=CMLM1,"CUMPLE",IF(SUMIF(C323:C332,C331,AF323:AF332)&gt;=CMLM1,"CUMPLE",IF(SUMIF(C323:C332,C332,AF323:AF332)&gt;=CMLM1,"CUMPLE","NO CUMPLE")))))))))))</f>
        <v>CUMPLE</v>
      </c>
      <c r="AI323" s="121" t="str">
        <f t="shared" si="289"/>
        <v>CUMPLE</v>
      </c>
      <c r="AJ323" s="469" t="str">
        <f>IFERROR(IF(COUNTIF(AF323:AF332,"")=10,"",IF(COUNTIF(E323:E332,"N/A")&gt;0,"N/A",CJ323)),"")</f>
        <v>CUMPLE</v>
      </c>
      <c r="AK323" s="469" t="str">
        <f>IFERROR(IF(AND(COUNTIF(N323:N332,"SI")&gt;=1,COUNTIF(O323:O332,"SI")&gt;=1,COUNTIF(P323:P332,"SI")&gt;=1,COUNTIF(J323:J332,"SI")&lt;=10,CO323="CUMPLE"),"CUMPLE","NO CUMPLE"),"")</f>
        <v>CUMPLE</v>
      </c>
      <c r="AL323" s="472" t="s">
        <v>77</v>
      </c>
      <c r="AM323" s="495">
        <f>IFERROR(IF(B323&lt;&gt;"",IF(VLOOKUP(B323,'DESEMPATE Y DISCAPACIDAD'!$A$3:$Q$450,10,FALSE)="","",VLOOKUP(B323,'DESEMPATE Y DISCAPACIDAD'!$A$3:$Q$450,10,FALSE)+6),""),"")</f>
        <v>8</v>
      </c>
      <c r="AN323" s="284" t="s">
        <v>75</v>
      </c>
      <c r="AO323" s="507" t="s">
        <v>74</v>
      </c>
      <c r="AP323" s="284" t="s">
        <v>74</v>
      </c>
      <c r="AQ323" s="490">
        <f>IFERROR(IF(COUNTIF(AP323:AP332,"")=10,"",IF(AO323="NO",0,COUNTIF(AP323:AP332,"SI"))),"")</f>
        <v>4</v>
      </c>
      <c r="AR323" s="521">
        <f>IFERROR(IF(COUNTIF(AF323:AF332,"")=10,"",IF(AO323="NO",0,IF(COUNTIF(E323:E332,"N/A")&gt;0,SUM(CQ323:CQ332),SUM(CR323:CR332)))),"")</f>
        <v>58388.049999999996</v>
      </c>
      <c r="AS323" s="518">
        <f>IFERROR(IF(OR(COUNTIF(AF323:AF332,"")=10,AQ323="",AR323=""),"",IF(AO323="NO",0,AR323/AQ323)),"")</f>
        <v>14597.012499999999</v>
      </c>
      <c r="AT323" s="207"/>
      <c r="AU323" s="676" t="s">
        <v>1225</v>
      </c>
      <c r="AV323" s="678" t="s">
        <v>1226</v>
      </c>
      <c r="AW323" s="560" t="s">
        <v>1380</v>
      </c>
      <c r="AX323" s="560" t="s">
        <v>1381</v>
      </c>
      <c r="AY323" s="19"/>
      <c r="CB323" s="29" t="str">
        <f>IFERROR(IF(COUNTIF(AF323:AF332,"")=10,"",IF(COUNTIF(E323:E332,"N/A")&gt;0,IF(AF323&gt;=CMEMM1,AF323,0),"N/A")),"")</f>
        <v>N/A</v>
      </c>
      <c r="CC323" s="4"/>
      <c r="CD323" s="4">
        <f>IFERROR(IF(COUNTIF(AF323:AF332,"")=10,"",IF(AF323="","",IF(AF323&gt;=CMEMM1,1,0))),"")</f>
        <v>1</v>
      </c>
      <c r="CE323" s="4" t="str">
        <f>B323&amp;"-0"&amp;1</f>
        <v>P33-01</v>
      </c>
      <c r="CF323" s="4" t="str">
        <f>IFERROR(INDEX('DESEMPATE Y DISCAPACIDAD'!$D$3:$D$450,MATCH(CE323,'DESEMPATE Y DISCAPACIDAD'!$C$3:$C$450,0)),"")</f>
        <v>GIS-EAP S.A.S.</v>
      </c>
      <c r="CG323" s="4">
        <f>IF(OR(CE323="",CF323=""),"",SUMIF(D323:D332,CF323,CD323:CD332))</f>
        <v>3</v>
      </c>
      <c r="CH323" s="4" t="str">
        <f t="shared" si="264"/>
        <v>CUMPLE</v>
      </c>
      <c r="CI323" s="4">
        <f>IF(CF323="","",IF(ISTEXT(CF323),1,0))</f>
        <v>1</v>
      </c>
      <c r="CJ323" s="4" t="str">
        <f>IF(OR(CD323="",CE323="",CF323="",CG323="",CH323="",CI323=""),"",IF(COUNTIF(CH323:CH332,"CUMPLE")=COUNTIF(CI323:CI332,1),"CUMPLE","NO CUMPLE"))</f>
        <v>CUMPLE</v>
      </c>
      <c r="CK323" s="4"/>
      <c r="CL323" s="4">
        <f t="shared" ref="CL323:CL386" si="290">IF(N323="","",IF(N323="SI",1,0))</f>
        <v>1</v>
      </c>
      <c r="CM323" s="4">
        <f t="shared" ref="CM323:CM386" si="291">IF(O323="","",IF(O323="SI",1,0))</f>
        <v>1</v>
      </c>
      <c r="CN323" s="4" t="str">
        <f>IF(OR(CL323="",CM323=""),"",IF(AND(CL323=0,CM323=0),"N/A",IF(AND(CL323=1,CM323=0),"COND. A",IF(AND(CL323=0,CM323=1),"COND. B",IF(AND(CL323=1,CM323=1),"COND. A Y B","")))))</f>
        <v>COND. A Y B</v>
      </c>
      <c r="CO323" s="4" t="str">
        <f>IF(COUNTIF(CN323:CN332,"N/A")=10,"NO CUMPLE",IF(COUNTIF(CN323:CN332,"COND. A Y B")&gt;1,"CUMPLE",IF(AND(COUNTIF(CN323:CN332,"COND. A")&gt;0,COUNTIF(CN323:CN332,"COND. B")&gt;0),"CUMPLE",IF(AND(COUNTIF(CN323:CN332,"COND. A Y B")&gt;0,COUNTIF(CN323:CN332,"COND. A")&gt;0),"CUMPLE",IF(AND(COUNTIF(CN323:CN332,"COND. A Y B")&gt;0,COUNTIF(CN323:CN332,"COND. B")&gt;0),"CUMPLE","NO CUMPLE")))))</f>
        <v>CUMPLE</v>
      </c>
      <c r="CP323" s="4"/>
      <c r="CQ323" s="29" t="str">
        <f t="shared" si="280"/>
        <v>N/A</v>
      </c>
      <c r="CR323" s="29">
        <f t="shared" si="272"/>
        <v>18749.457999999999</v>
      </c>
      <c r="CS323" s="4"/>
    </row>
    <row r="324" spans="1:97" ht="40" customHeight="1">
      <c r="B324" s="481"/>
      <c r="C324" s="118" t="s">
        <v>416</v>
      </c>
      <c r="D324" s="119" t="str">
        <f>+IFERROR(INDEX('DESEMPATE Y DISCAPACIDAD'!$D$3:$D$450,MATCH(C324,'DESEMPATE Y DISCAPACIDAD'!$C$3:$C$450,0)),"")</f>
        <v>GIS-EAP S.A.S.</v>
      </c>
      <c r="E324" s="120" t="str">
        <f>IFERROR(IF(D324="","",IF(VLOOKUP(D324,'DESEMPATE Y DISCAPACIDAD'!D$3:$E$450,2,FALSE)=1,"N/A",IF(VLOOKUP(D324,'DESEMPATE Y DISCAPACIDAD'!D$3:$F$450,3,FALSE)="X","SI","NO"))),"")</f>
        <v>NO</v>
      </c>
      <c r="F324" s="282" t="s">
        <v>1294</v>
      </c>
      <c r="G324" s="282" t="s">
        <v>703</v>
      </c>
      <c r="H324" s="282" t="s">
        <v>1295</v>
      </c>
      <c r="I324" s="282" t="s">
        <v>1296</v>
      </c>
      <c r="J324" s="286" t="s">
        <v>74</v>
      </c>
      <c r="K324" s="284" t="s">
        <v>74</v>
      </c>
      <c r="L324" s="284" t="s">
        <v>75</v>
      </c>
      <c r="M324" s="284" t="s">
        <v>74</v>
      </c>
      <c r="N324" s="121" t="str">
        <f t="shared" ref="N324:N332" si="292">IFERROR(IF(OR(J324="",K324=""),"",IF(J324="NO","NO",K324)),"")</f>
        <v>SI</v>
      </c>
      <c r="O324" s="121" t="str">
        <f>IFERROR(IF(OR(J324="",L324=""),"",IF(J324="NO","NO",L324)),"")</f>
        <v>NO</v>
      </c>
      <c r="P324" s="121" t="str">
        <f t="shared" ref="P324:P332" si="293">IFERROR(IF(OR(J324="",M324=""),"",IF(J324="NO","NO",M324)),"")</f>
        <v>SI</v>
      </c>
      <c r="Q324" s="121" t="str">
        <f t="shared" ref="Q324:Q387" si="294">IFERROR(IF(S324="","",IF(S324&gt;=DATE(1900,1,1),"SI","NO")),"")</f>
        <v>SI</v>
      </c>
      <c r="R324" s="322">
        <v>1</v>
      </c>
      <c r="S324" s="311">
        <v>40003</v>
      </c>
      <c r="T324" s="312">
        <v>42940</v>
      </c>
      <c r="U324" s="121">
        <f t="shared" ref="U324:U332" si="295">IFERROR(IF(T324="","",YEAR(T324)),"")</f>
        <v>2017</v>
      </c>
      <c r="V324" s="124">
        <f>IF(U324=2023,1160000,IFERROR(INDEX(SMMLV!$B$2:$B$101,MATCH(U324,SMMLV!$A$2:$A$101,0)),""))</f>
        <v>737717</v>
      </c>
      <c r="W324" s="350" t="s">
        <v>670</v>
      </c>
      <c r="X324" s="286" t="s">
        <v>1334</v>
      </c>
      <c r="Y324" s="283">
        <v>43</v>
      </c>
      <c r="Z324" s="509" t="s">
        <v>74</v>
      </c>
      <c r="AA324" s="510"/>
      <c r="AB324" s="511"/>
      <c r="AC324" s="125" t="str">
        <f t="shared" ref="AC324:AC332" si="296">IFERROR(IF(Y324="","",IF(ISNUMBER(Y324),IF(COUNTIF(Z324,"SI")&gt;0,"SI","NO"),Y324)),"")</f>
        <v>SI</v>
      </c>
      <c r="AD324" s="117" t="str">
        <f t="shared" ref="AD324:AD387" si="297">IF(W324="","",IF(W324="N/A","N/A",W324))</f>
        <v>N/A</v>
      </c>
      <c r="AE324" s="343">
        <v>17228.75</v>
      </c>
      <c r="AF324" s="117">
        <f t="shared" si="288"/>
        <v>17228.75</v>
      </c>
      <c r="AG324" s="470"/>
      <c r="AH324" s="470"/>
      <c r="AI324" s="125" t="str">
        <f t="shared" si="289"/>
        <v>CUMPLE</v>
      </c>
      <c r="AJ324" s="470"/>
      <c r="AK324" s="470"/>
      <c r="AL324" s="472"/>
      <c r="AM324" s="496"/>
      <c r="AN324" s="286" t="s">
        <v>75</v>
      </c>
      <c r="AO324" s="507"/>
      <c r="AP324" s="286" t="s">
        <v>74</v>
      </c>
      <c r="AQ324" s="490"/>
      <c r="AR324" s="522"/>
      <c r="AS324" s="519"/>
      <c r="AT324" s="204"/>
      <c r="AU324" s="676"/>
      <c r="AV324" s="678"/>
      <c r="AW324" s="561"/>
      <c r="AX324" s="561"/>
      <c r="AY324" s="19"/>
      <c r="CB324" s="29" t="str">
        <f>IFERROR(IF(COUNTIF(AF323:AF332,"")=10,"",IF(COUNTIF(E323:E332,"N/A")&gt;0,IF(AF324&gt;=CMEMM1,AF324,0),"N/A")),"")</f>
        <v>N/A</v>
      </c>
      <c r="CC324" s="4"/>
      <c r="CD324" s="4">
        <f>IFERROR(IF(COUNTIF(AF323:AF332,"")=10,"",IF(AF324="","",IF(AF324&gt;=CMEMM1,1,0))),"")</f>
        <v>1</v>
      </c>
      <c r="CE324" s="4" t="str">
        <f>B323&amp;"-0"&amp;2</f>
        <v>P33-02</v>
      </c>
      <c r="CF324" s="4" t="str">
        <f>IFERROR(INDEX('DESEMPATE Y DISCAPACIDAD'!$D$3:$D$450,MATCH(CE324,'DESEMPATE Y DISCAPACIDAD'!$C$3:$C$450,0)),"")</f>
        <v>GESTIÓN INTEGRAL DEL SUELO SL COLOMBIA</v>
      </c>
      <c r="CG324" s="4">
        <f>IF(OR(CE324="",CF324=""),"",SUMIF(D323:D332,CF324,CD323:CD332))</f>
        <v>1</v>
      </c>
      <c r="CH324" s="4" t="str">
        <f t="shared" si="264"/>
        <v>CUMPLE</v>
      </c>
      <c r="CI324" s="4">
        <f t="shared" ref="CI324:CI332" si="298">IF(CF324="","",IF(ISTEXT(CF324),1,0))</f>
        <v>1</v>
      </c>
      <c r="CJ324" s="4"/>
      <c r="CK324" s="4"/>
      <c r="CL324" s="4">
        <f t="shared" si="290"/>
        <v>1</v>
      </c>
      <c r="CM324" s="4">
        <f t="shared" si="291"/>
        <v>0</v>
      </c>
      <c r="CN324" s="4" t="str">
        <f t="shared" ref="CN324:CN332" si="299">IF(OR(CL324="",CM324=""),"",IF(AND(CL324=0,CM324=0),"N/A",IF(AND(CL324=1,CM324=0),"COND. A",IF(AND(CL324=0,CM324=1),"COND. B",IF(AND(CL324=1,CM324=1),"COND. A Y B","")))))</f>
        <v>COND. A</v>
      </c>
      <c r="CO324" s="4"/>
      <c r="CP324" s="4"/>
      <c r="CQ324" s="29" t="str">
        <f t="shared" si="280"/>
        <v>N/A</v>
      </c>
      <c r="CR324" s="29">
        <f t="shared" si="272"/>
        <v>17228.75</v>
      </c>
      <c r="CS324" s="4"/>
    </row>
    <row r="325" spans="1:97" ht="40" customHeight="1">
      <c r="B325" s="481"/>
      <c r="C325" s="118" t="s">
        <v>416</v>
      </c>
      <c r="D325" s="126" t="str">
        <f>+IFERROR(INDEX('DESEMPATE Y DISCAPACIDAD'!$D$3:$D$450,MATCH(C325,'DESEMPATE Y DISCAPACIDAD'!$C$3:$C$450,0)),"")</f>
        <v>GIS-EAP S.A.S.</v>
      </c>
      <c r="E325" s="127" t="str">
        <f>IFERROR(IF(D325="","",IF(VLOOKUP(D325,'DESEMPATE Y DISCAPACIDAD'!D$3:$E$450,2,FALSE)=1,"N/A",IF(VLOOKUP(D325,'DESEMPATE Y DISCAPACIDAD'!D$3:$F$450,3,FALSE)="X","SI","NO"))),"")</f>
        <v>NO</v>
      </c>
      <c r="F325" s="282" t="s">
        <v>1297</v>
      </c>
      <c r="G325" s="282" t="s">
        <v>703</v>
      </c>
      <c r="H325" s="282" t="s">
        <v>1295</v>
      </c>
      <c r="I325" s="282" t="s">
        <v>1298</v>
      </c>
      <c r="J325" s="286" t="s">
        <v>74</v>
      </c>
      <c r="K325" s="286" t="s">
        <v>74</v>
      </c>
      <c r="L325" s="286" t="s">
        <v>75</v>
      </c>
      <c r="M325" s="286" t="s">
        <v>74</v>
      </c>
      <c r="N325" s="125" t="str">
        <f t="shared" si="292"/>
        <v>SI</v>
      </c>
      <c r="O325" s="125" t="str">
        <f>IFERROR(IF(OR(J325="",L325=""),"",IF(J325="NO","NO",L325)),"")</f>
        <v>NO</v>
      </c>
      <c r="P325" s="125" t="str">
        <f t="shared" si="293"/>
        <v>SI</v>
      </c>
      <c r="Q325" s="125" t="str">
        <f t="shared" si="294"/>
        <v>SI</v>
      </c>
      <c r="R325" s="316">
        <v>0.7</v>
      </c>
      <c r="S325" s="311">
        <v>41408</v>
      </c>
      <c r="T325" s="312">
        <v>42199</v>
      </c>
      <c r="U325" s="125">
        <f t="shared" si="295"/>
        <v>2015</v>
      </c>
      <c r="V325" s="117">
        <f>IF(U325=2023,1160000,IFERROR(INDEX(SMMLV!$B$2:$B$101,MATCH(U325,SMMLV!$A$2:$A$101,0)),""))</f>
        <v>644350</v>
      </c>
      <c r="W325" s="350" t="s">
        <v>670</v>
      </c>
      <c r="X325" s="286" t="s">
        <v>1334</v>
      </c>
      <c r="Y325" s="283">
        <v>46</v>
      </c>
      <c r="Z325" s="509" t="s">
        <v>74</v>
      </c>
      <c r="AA325" s="510"/>
      <c r="AB325" s="511"/>
      <c r="AC325" s="125" t="str">
        <f t="shared" si="296"/>
        <v>SI</v>
      </c>
      <c r="AD325" s="117" t="str">
        <f t="shared" si="297"/>
        <v>N/A</v>
      </c>
      <c r="AE325" s="343">
        <v>9579.16</v>
      </c>
      <c r="AF325" s="117">
        <f t="shared" si="288"/>
        <v>6705.4119999999994</v>
      </c>
      <c r="AG325" s="470"/>
      <c r="AH325" s="470"/>
      <c r="AI325" s="125" t="str">
        <f t="shared" si="289"/>
        <v>CUMPLE</v>
      </c>
      <c r="AJ325" s="470"/>
      <c r="AK325" s="470"/>
      <c r="AL325" s="472"/>
      <c r="AM325" s="496"/>
      <c r="AN325" s="381" t="s">
        <v>75</v>
      </c>
      <c r="AO325" s="507"/>
      <c r="AP325" s="381" t="s">
        <v>74</v>
      </c>
      <c r="AQ325" s="490"/>
      <c r="AR325" s="522"/>
      <c r="AS325" s="519"/>
      <c r="AT325" s="204"/>
      <c r="AU325" s="676"/>
      <c r="AV325" s="678"/>
      <c r="AW325" s="561"/>
      <c r="AX325" s="561"/>
      <c r="AY325" s="19"/>
      <c r="CB325" s="29" t="str">
        <f>IFERROR(IF(COUNTIF(AF323:AF332,"")=10,"",IF(COUNTIF(E323:E332,"N/A")&gt;0,IF(AF325&gt;=CMEMM1,AF325,0),"N/A")),"")</f>
        <v>N/A</v>
      </c>
      <c r="CC325" s="4"/>
      <c r="CD325" s="4">
        <f>IFERROR(IF(COUNTIF(AF323:AF332,"")=10,"",IF(AF325="","",IF(AF325&gt;=CMEMM1,1,0))),"")</f>
        <v>1</v>
      </c>
      <c r="CE325" s="4" t="str">
        <f>B323&amp;"-0"&amp;3</f>
        <v>P33-03</v>
      </c>
      <c r="CF325" s="4">
        <f>IFERROR(INDEX('DESEMPATE Y DISCAPACIDAD'!$D$3:$D$450,MATCH(CE325,'DESEMPATE Y DISCAPACIDAD'!$C$3:$C$450,0)),"")</f>
        <v>0</v>
      </c>
      <c r="CG325" s="4">
        <f>IF(OR(CE325="",CF325=""),"",SUMIF(D323:D332,CF325,CD323:CD332))</f>
        <v>0</v>
      </c>
      <c r="CH325" s="4" t="str">
        <f t="shared" si="264"/>
        <v>NO CUMPLE</v>
      </c>
      <c r="CI325" s="4">
        <f t="shared" si="298"/>
        <v>0</v>
      </c>
      <c r="CJ325" s="4"/>
      <c r="CK325" s="4"/>
      <c r="CL325" s="4">
        <f t="shared" si="290"/>
        <v>1</v>
      </c>
      <c r="CM325" s="4">
        <f t="shared" si="291"/>
        <v>0</v>
      </c>
      <c r="CN325" s="4" t="str">
        <f t="shared" si="299"/>
        <v>COND. A</v>
      </c>
      <c r="CO325" s="4"/>
      <c r="CP325" s="4"/>
      <c r="CQ325" s="29" t="str">
        <f t="shared" si="280"/>
        <v>N/A</v>
      </c>
      <c r="CR325" s="29">
        <f t="shared" si="272"/>
        <v>6705.4119999999994</v>
      </c>
      <c r="CS325" s="4"/>
    </row>
    <row r="326" spans="1:97" ht="40" customHeight="1">
      <c r="B326" s="481"/>
      <c r="C326" s="118" t="s">
        <v>416</v>
      </c>
      <c r="D326" s="126" t="str">
        <f>+IFERROR(INDEX('DESEMPATE Y DISCAPACIDAD'!$D$3:$D$450,MATCH(C326,'DESEMPATE Y DISCAPACIDAD'!$C$3:$C$450,0)),"")</f>
        <v>GIS-EAP S.A.S.</v>
      </c>
      <c r="E326" s="127" t="str">
        <f>IFERROR(IF(D326="","",IF(VLOOKUP(D326,'DESEMPATE Y DISCAPACIDAD'!D$3:$E$450,2,FALSE)=1,"N/A",IF(VLOOKUP(D326,'DESEMPATE Y DISCAPACIDAD'!D$3:$F$450,3,FALSE)="X","SI","NO"))),"")</f>
        <v>NO</v>
      </c>
      <c r="F326" s="282" t="s">
        <v>1294</v>
      </c>
      <c r="G326" s="282" t="s">
        <v>703</v>
      </c>
      <c r="H326" s="282" t="s">
        <v>1295</v>
      </c>
      <c r="I326" s="282" t="s">
        <v>1299</v>
      </c>
      <c r="J326" s="286" t="s">
        <v>74</v>
      </c>
      <c r="K326" s="286" t="s">
        <v>75</v>
      </c>
      <c r="L326" s="286" t="s">
        <v>75</v>
      </c>
      <c r="M326" s="286" t="s">
        <v>74</v>
      </c>
      <c r="N326" s="125" t="str">
        <f t="shared" si="292"/>
        <v>NO</v>
      </c>
      <c r="O326" s="125" t="str">
        <f>IFERROR(IF(OR(J326="",L326=""),"",IF(J326="NO","NO",L326)),"")</f>
        <v>NO</v>
      </c>
      <c r="P326" s="125" t="str">
        <f t="shared" si="293"/>
        <v>SI</v>
      </c>
      <c r="Q326" s="125" t="str">
        <f t="shared" si="294"/>
        <v>SI</v>
      </c>
      <c r="R326" s="316">
        <v>1</v>
      </c>
      <c r="S326" s="311">
        <v>40051</v>
      </c>
      <c r="T326" s="312">
        <v>42682</v>
      </c>
      <c r="U326" s="125">
        <f t="shared" si="295"/>
        <v>2016</v>
      </c>
      <c r="V326" s="117">
        <f>IF(U326=2023,1160000,IFERROR(INDEX(SMMLV!$B$2:$B$101,MATCH(U326,SMMLV!$A$2:$A$101,0)),""))</f>
        <v>689455</v>
      </c>
      <c r="W326" s="350" t="s">
        <v>670</v>
      </c>
      <c r="X326" s="286" t="s">
        <v>1334</v>
      </c>
      <c r="Y326" s="283">
        <v>40</v>
      </c>
      <c r="Z326" s="509" t="s">
        <v>74</v>
      </c>
      <c r="AA326" s="510"/>
      <c r="AB326" s="511"/>
      <c r="AC326" s="125" t="str">
        <f t="shared" si="296"/>
        <v>SI</v>
      </c>
      <c r="AD326" s="117" t="str">
        <f t="shared" si="297"/>
        <v>N/A</v>
      </c>
      <c r="AE326" s="343">
        <v>15704.43</v>
      </c>
      <c r="AF326" s="117">
        <f t="shared" si="288"/>
        <v>15704.43</v>
      </c>
      <c r="AG326" s="470"/>
      <c r="AH326" s="470"/>
      <c r="AI326" s="125" t="str">
        <f t="shared" si="289"/>
        <v>CUMPLE</v>
      </c>
      <c r="AJ326" s="470"/>
      <c r="AK326" s="470"/>
      <c r="AL326" s="472"/>
      <c r="AM326" s="496"/>
      <c r="AN326" s="381" t="s">
        <v>75</v>
      </c>
      <c r="AO326" s="507"/>
      <c r="AP326" s="381" t="s">
        <v>74</v>
      </c>
      <c r="AQ326" s="490"/>
      <c r="AR326" s="522"/>
      <c r="AS326" s="519"/>
      <c r="AT326" s="204"/>
      <c r="AU326" s="676"/>
      <c r="AV326" s="678"/>
      <c r="AW326" s="561"/>
      <c r="AX326" s="561"/>
      <c r="AY326" s="19"/>
      <c r="CB326" s="29" t="str">
        <f>IFERROR(IF(COUNTIF(AF323:AF332,"")=10,"",IF(COUNTIF(E323:E332,"N/A")&gt;0,IF(AF326&gt;=CMEMM1,AF326,0),"N/A")),"")</f>
        <v>N/A</v>
      </c>
      <c r="CC326" s="4"/>
      <c r="CD326" s="4">
        <f>IFERROR(IF(COUNTIF(AF323:AF332,"")=10,"",IF(AF326="","",IF(AF326&gt;=CMEMM1,1,0))),"")</f>
        <v>1</v>
      </c>
      <c r="CE326" s="4" t="str">
        <f>B323&amp;"-0"&amp;4</f>
        <v>P33-04</v>
      </c>
      <c r="CF326" s="4">
        <f>IFERROR(INDEX('DESEMPATE Y DISCAPACIDAD'!$D$3:$D$450,MATCH(CE326,'DESEMPATE Y DISCAPACIDAD'!$C$3:$C$450,0)),"")</f>
        <v>0</v>
      </c>
      <c r="CG326" s="4">
        <f>IF(OR(CE326="",CF326=""),"",SUMIF(D323:D332,CF326,CD323:CD332))</f>
        <v>0</v>
      </c>
      <c r="CH326" s="4" t="str">
        <f t="shared" si="264"/>
        <v>NO CUMPLE</v>
      </c>
      <c r="CI326" s="4">
        <f t="shared" si="298"/>
        <v>0</v>
      </c>
      <c r="CJ326" s="4"/>
      <c r="CK326" s="4"/>
      <c r="CL326" s="4">
        <f t="shared" si="290"/>
        <v>0</v>
      </c>
      <c r="CM326" s="4">
        <f t="shared" si="291"/>
        <v>0</v>
      </c>
      <c r="CN326" s="4" t="str">
        <f t="shared" si="299"/>
        <v>N/A</v>
      </c>
      <c r="CO326" s="4"/>
      <c r="CP326" s="4"/>
      <c r="CQ326" s="29" t="str">
        <f t="shared" si="280"/>
        <v>N/A</v>
      </c>
      <c r="CR326" s="29">
        <f t="shared" si="272"/>
        <v>15704.43</v>
      </c>
      <c r="CS326" s="4"/>
    </row>
    <row r="327" spans="1:97" ht="40" customHeight="1">
      <c r="B327" s="481"/>
      <c r="C327" s="118" t="s">
        <v>417</v>
      </c>
      <c r="D327" s="126" t="str">
        <f>+IFERROR(INDEX('DESEMPATE Y DISCAPACIDAD'!$D$3:$D$450,MATCH(C327,'DESEMPATE Y DISCAPACIDAD'!$C$3:$C$450,0)),"")</f>
        <v>GESTIÓN INTEGRAL DEL SUELO SL COLOMBIA</v>
      </c>
      <c r="E327" s="127" t="str">
        <f>IFERROR(IF(D327="","",IF(VLOOKUP(D327,'DESEMPATE Y DISCAPACIDAD'!D$3:$E$450,2,FALSE)=1,"N/A",IF(VLOOKUP(D327,'DESEMPATE Y DISCAPACIDAD'!D$3:$F$450,3,FALSE)="X","SI","NO"))),"")</f>
        <v>NO</v>
      </c>
      <c r="F327" s="286" t="s">
        <v>1273</v>
      </c>
      <c r="G327" s="286" t="s">
        <v>660</v>
      </c>
      <c r="H327" s="286" t="s">
        <v>1384</v>
      </c>
      <c r="I327" s="290" t="s">
        <v>1385</v>
      </c>
      <c r="J327" s="286" t="s">
        <v>75</v>
      </c>
      <c r="K327" s="286" t="s">
        <v>75</v>
      </c>
      <c r="L327" s="286" t="s">
        <v>75</v>
      </c>
      <c r="M327" s="286" t="s">
        <v>75</v>
      </c>
      <c r="N327" s="125" t="str">
        <f t="shared" si="292"/>
        <v>NO</v>
      </c>
      <c r="O327" s="125" t="str">
        <f t="shared" ref="O327:O332" si="300">IFERROR(IF(OR(J327="",L327=""),"",IF(J327="NO","NO",L327)),"")</f>
        <v>NO</v>
      </c>
      <c r="P327" s="125" t="str">
        <f t="shared" si="293"/>
        <v>NO</v>
      </c>
      <c r="Q327" s="125" t="str">
        <f t="shared" si="294"/>
        <v>SI</v>
      </c>
      <c r="R327" s="316">
        <v>0.5</v>
      </c>
      <c r="S327" s="317">
        <v>43784</v>
      </c>
      <c r="T327" s="317">
        <v>44670</v>
      </c>
      <c r="U327" s="125">
        <f t="shared" si="295"/>
        <v>2022</v>
      </c>
      <c r="V327" s="117">
        <f>IF(U327=2023,1160000,IFERROR(INDEX(SMMLV!$B$2:$B$101,MATCH(U327,SMMLV!$A$2:$A$101,0)),""))</f>
        <v>1000000</v>
      </c>
      <c r="W327" s="343">
        <v>7001810634.3199997</v>
      </c>
      <c r="X327" s="286" t="s">
        <v>671</v>
      </c>
      <c r="Y327" s="286">
        <v>70</v>
      </c>
      <c r="Z327" s="509" t="s">
        <v>74</v>
      </c>
      <c r="AA327" s="510"/>
      <c r="AB327" s="511"/>
      <c r="AC327" s="125" t="str">
        <f t="shared" si="296"/>
        <v>SI</v>
      </c>
      <c r="AD327" s="117">
        <f t="shared" si="297"/>
        <v>7001810634.3199997</v>
      </c>
      <c r="AE327" s="343">
        <f t="shared" ref="AE327:AE362" si="301">IFERROR(IF(OR(V327="",AD327=""),"",ROUND(AD327/V327,2)),"")</f>
        <v>7001.81</v>
      </c>
      <c r="AF327" s="117" t="str">
        <f t="shared" si="288"/>
        <v/>
      </c>
      <c r="AG327" s="470"/>
      <c r="AH327" s="470"/>
      <c r="AI327" s="125" t="str">
        <f t="shared" si="289"/>
        <v/>
      </c>
      <c r="AJ327" s="470"/>
      <c r="AK327" s="470"/>
      <c r="AL327" s="472"/>
      <c r="AM327" s="496"/>
      <c r="AN327" s="286" t="s">
        <v>74</v>
      </c>
      <c r="AO327" s="507"/>
      <c r="AP327" s="381" t="s">
        <v>75</v>
      </c>
      <c r="AQ327" s="490"/>
      <c r="AR327" s="522"/>
      <c r="AS327" s="519"/>
      <c r="AT327" s="204"/>
      <c r="AU327" s="676"/>
      <c r="AV327" s="678"/>
      <c r="AW327" s="561"/>
      <c r="AX327" s="561"/>
      <c r="AY327" s="19"/>
      <c r="CB327" s="29" t="str">
        <f>IFERROR(IF(COUNTIF(AF323:AF332,"")=10,"",IF(COUNTIF(E323:E332,"N/A")&gt;0,IF(AF327&gt;=CMEMM1,AF327,0),"N/A")),"")</f>
        <v>N/A</v>
      </c>
      <c r="CC327" s="4"/>
      <c r="CD327" s="4" t="str">
        <f>IFERROR(IF(COUNTIF(AF323:AF332,"")=10,"",IF(AF327="","",IF(AF327&gt;=CMEMM1,1,0))),"")</f>
        <v/>
      </c>
      <c r="CE327" s="4" t="str">
        <f>B323&amp;"-0"&amp;5</f>
        <v>P33-05</v>
      </c>
      <c r="CF327" s="4">
        <f>IFERROR(INDEX('DESEMPATE Y DISCAPACIDAD'!$D$3:$D$450,MATCH(CE327,'DESEMPATE Y DISCAPACIDAD'!$C$3:$C$450,0)),"")</f>
        <v>0</v>
      </c>
      <c r="CG327" s="4">
        <f>IF(OR(CE327="",CF327=""),"",SUMIF(D323:D332,CF327,CD323:CD332))</f>
        <v>0</v>
      </c>
      <c r="CH327" s="4" t="str">
        <f t="shared" si="264"/>
        <v>NO CUMPLE</v>
      </c>
      <c r="CI327" s="4">
        <f t="shared" si="298"/>
        <v>0</v>
      </c>
      <c r="CJ327" s="4"/>
      <c r="CK327" s="4"/>
      <c r="CL327" s="4">
        <f t="shared" si="290"/>
        <v>0</v>
      </c>
      <c r="CM327" s="4">
        <f t="shared" si="291"/>
        <v>0</v>
      </c>
      <c r="CN327" s="4" t="str">
        <f t="shared" si="299"/>
        <v>N/A</v>
      </c>
      <c r="CO327" s="4"/>
      <c r="CP327" s="4"/>
      <c r="CQ327" s="29">
        <f t="shared" si="280"/>
        <v>0</v>
      </c>
      <c r="CR327" s="29" t="str">
        <f t="shared" si="272"/>
        <v/>
      </c>
      <c r="CS327" s="4"/>
    </row>
    <row r="328" spans="1:97" ht="40" customHeight="1">
      <c r="B328" s="481"/>
      <c r="C328" s="118"/>
      <c r="D328" s="126" t="str">
        <f>+IFERROR(INDEX('DESEMPATE Y DISCAPACIDAD'!$D$3:$D$450,MATCH(C328,'DESEMPATE Y DISCAPACIDAD'!$C$3:$C$450,0)),"")</f>
        <v/>
      </c>
      <c r="E328" s="127" t="str">
        <f>IFERROR(IF(D328="","",IF(VLOOKUP(D328,'DESEMPATE Y DISCAPACIDAD'!D$3:$E$450,2,FALSE)=1,"N/A",IF(VLOOKUP(D328,'DESEMPATE Y DISCAPACIDAD'!D$3:$F$450,3,FALSE)="X","SI","NO"))),"")</f>
        <v/>
      </c>
      <c r="F328" s="286"/>
      <c r="G328" s="286"/>
      <c r="H328" s="286"/>
      <c r="I328" s="290"/>
      <c r="J328" s="286"/>
      <c r="K328" s="286"/>
      <c r="L328" s="286"/>
      <c r="M328" s="286"/>
      <c r="N328" s="125" t="str">
        <f t="shared" si="292"/>
        <v/>
      </c>
      <c r="O328" s="125" t="str">
        <f t="shared" si="300"/>
        <v/>
      </c>
      <c r="P328" s="125" t="str">
        <f t="shared" si="293"/>
        <v/>
      </c>
      <c r="Q328" s="125" t="str">
        <f t="shared" si="294"/>
        <v/>
      </c>
      <c r="R328" s="316"/>
      <c r="S328" s="317"/>
      <c r="T328" s="317"/>
      <c r="U328" s="125" t="str">
        <f t="shared" si="295"/>
        <v/>
      </c>
      <c r="V328" s="117" t="str">
        <f>IF(U328=2023,1160000,IFERROR(INDEX(SMMLV!$B$2:$B$101,MATCH(U328,SMMLV!$A$2:$A$101,0)),""))</f>
        <v/>
      </c>
      <c r="W328" s="343"/>
      <c r="X328" s="286"/>
      <c r="Y328" s="286"/>
      <c r="Z328" s="509"/>
      <c r="AA328" s="510"/>
      <c r="AB328" s="511"/>
      <c r="AC328" s="125" t="str">
        <f t="shared" si="296"/>
        <v/>
      </c>
      <c r="AD328" s="117" t="str">
        <f t="shared" si="297"/>
        <v/>
      </c>
      <c r="AE328" s="343" t="str">
        <f t="shared" si="301"/>
        <v/>
      </c>
      <c r="AF328" s="117" t="str">
        <f t="shared" si="288"/>
        <v/>
      </c>
      <c r="AG328" s="470"/>
      <c r="AH328" s="470"/>
      <c r="AI328" s="125" t="str">
        <f t="shared" si="289"/>
        <v/>
      </c>
      <c r="AJ328" s="470"/>
      <c r="AK328" s="470"/>
      <c r="AL328" s="472"/>
      <c r="AM328" s="496"/>
      <c r="AN328" s="286"/>
      <c r="AO328" s="507"/>
      <c r="AP328" s="286"/>
      <c r="AQ328" s="490"/>
      <c r="AR328" s="522"/>
      <c r="AS328" s="519"/>
      <c r="AT328" s="204"/>
      <c r="AU328" s="676"/>
      <c r="AV328" s="678"/>
      <c r="AW328" s="561"/>
      <c r="AX328" s="561"/>
      <c r="AY328" s="19"/>
      <c r="CB328" s="29" t="str">
        <f>IFERROR(IF(COUNTIF(AF323:AF332,"")=10,"",IF(COUNTIF(E323:E332,"N/A")&gt;0,IF(AF328&gt;=CMEMM1,AF328,0),"N/A")),"")</f>
        <v>N/A</v>
      </c>
      <c r="CC328" s="4"/>
      <c r="CD328" s="4" t="str">
        <f>IFERROR(IF(COUNTIF(AF323:AF332,"")=10,"",IF(AF328="","",IF(AF328&gt;=CMEMM1,1,0))),"")</f>
        <v/>
      </c>
      <c r="CE328" s="4" t="str">
        <f>B323&amp;"-0"&amp;6</f>
        <v>P33-06</v>
      </c>
      <c r="CF328" s="4">
        <f>IFERROR(INDEX('DESEMPATE Y DISCAPACIDAD'!$D$3:$D$450,MATCH(CE328,'DESEMPATE Y DISCAPACIDAD'!$C$3:$C$450,0)),"")</f>
        <v>0</v>
      </c>
      <c r="CG328" s="4">
        <f>IF(OR(CE328="",CF328=""),"",SUMIF(D323:D332,CF328,CD323:CD332))</f>
        <v>0</v>
      </c>
      <c r="CH328" s="4" t="str">
        <f t="shared" si="264"/>
        <v>NO CUMPLE</v>
      </c>
      <c r="CI328" s="4">
        <f t="shared" si="298"/>
        <v>0</v>
      </c>
      <c r="CJ328" s="4"/>
      <c r="CK328" s="4"/>
      <c r="CL328" s="4" t="str">
        <f t="shared" si="290"/>
        <v/>
      </c>
      <c r="CM328" s="4" t="str">
        <f t="shared" si="291"/>
        <v/>
      </c>
      <c r="CN328" s="4" t="str">
        <f t="shared" si="299"/>
        <v/>
      </c>
      <c r="CO328" s="4"/>
      <c r="CP328" s="4"/>
      <c r="CQ328" s="29" t="str">
        <f t="shared" si="280"/>
        <v/>
      </c>
      <c r="CR328" s="29" t="str">
        <f t="shared" si="272"/>
        <v/>
      </c>
      <c r="CS328" s="4"/>
    </row>
    <row r="329" spans="1:97" ht="40" customHeight="1">
      <c r="B329" s="481"/>
      <c r="C329" s="118"/>
      <c r="D329" s="126" t="str">
        <f>+IFERROR(INDEX('DESEMPATE Y DISCAPACIDAD'!$D$3:$D$450,MATCH(C329,'DESEMPATE Y DISCAPACIDAD'!$C$3:$C$450,0)),"")</f>
        <v/>
      </c>
      <c r="E329" s="127" t="str">
        <f>IFERROR(IF(D329="","",IF(VLOOKUP(D329,'DESEMPATE Y DISCAPACIDAD'!D$3:$E$450,2,FALSE)=1,"N/A",IF(VLOOKUP(D329,'DESEMPATE Y DISCAPACIDAD'!D$3:$F$450,3,FALSE)="X","SI","NO"))),"")</f>
        <v/>
      </c>
      <c r="F329" s="286"/>
      <c r="G329" s="286"/>
      <c r="H329" s="286"/>
      <c r="I329" s="290"/>
      <c r="J329" s="286"/>
      <c r="K329" s="286"/>
      <c r="L329" s="286"/>
      <c r="M329" s="286"/>
      <c r="N329" s="125" t="str">
        <f t="shared" si="292"/>
        <v/>
      </c>
      <c r="O329" s="125" t="str">
        <f t="shared" si="300"/>
        <v/>
      </c>
      <c r="P329" s="125" t="str">
        <f t="shared" si="293"/>
        <v/>
      </c>
      <c r="Q329" s="125" t="str">
        <f t="shared" si="294"/>
        <v/>
      </c>
      <c r="R329" s="316"/>
      <c r="S329" s="317"/>
      <c r="T329" s="317"/>
      <c r="U329" s="125" t="str">
        <f t="shared" si="295"/>
        <v/>
      </c>
      <c r="V329" s="117" t="str">
        <f>IF(U329=2023,1160000,IFERROR(INDEX(SMMLV!$B$2:$B$101,MATCH(U329,SMMLV!$A$2:$A$101,0)),""))</f>
        <v/>
      </c>
      <c r="W329" s="343"/>
      <c r="X329" s="286"/>
      <c r="Y329" s="286"/>
      <c r="Z329" s="509"/>
      <c r="AA329" s="510"/>
      <c r="AB329" s="511"/>
      <c r="AC329" s="125" t="str">
        <f t="shared" si="296"/>
        <v/>
      </c>
      <c r="AD329" s="117" t="str">
        <f t="shared" si="297"/>
        <v/>
      </c>
      <c r="AE329" s="343" t="str">
        <f t="shared" si="301"/>
        <v/>
      </c>
      <c r="AF329" s="117" t="str">
        <f t="shared" si="288"/>
        <v/>
      </c>
      <c r="AG329" s="470"/>
      <c r="AH329" s="470"/>
      <c r="AI329" s="125" t="str">
        <f t="shared" si="289"/>
        <v/>
      </c>
      <c r="AJ329" s="470"/>
      <c r="AK329" s="470"/>
      <c r="AL329" s="472"/>
      <c r="AM329" s="496"/>
      <c r="AN329" s="286"/>
      <c r="AO329" s="507"/>
      <c r="AP329" s="286"/>
      <c r="AQ329" s="490"/>
      <c r="AR329" s="522"/>
      <c r="AS329" s="519"/>
      <c r="AT329" s="204"/>
      <c r="AU329" s="676"/>
      <c r="AV329" s="678"/>
      <c r="AW329" s="561"/>
      <c r="AX329" s="561"/>
      <c r="AY329" s="19"/>
      <c r="CB329" s="29" t="str">
        <f>IFERROR(IF(COUNTIF(AF323:AF332,"")=10,"",IF(COUNTIF(E323:E332,"N/A")&gt;0,IF(AF329&gt;=CMEMM1,AF329,0),"N/A")),"")</f>
        <v>N/A</v>
      </c>
      <c r="CC329" s="4"/>
      <c r="CD329" s="4" t="str">
        <f>IFERROR(IF(COUNTIF(AF323:AF332,"")=10,"",IF(AF329="","",IF(AF329&gt;=CMEMM1,1,0))),"")</f>
        <v/>
      </c>
      <c r="CE329" s="4" t="str">
        <f>B323&amp;"-0"&amp;7</f>
        <v>P33-07</v>
      </c>
      <c r="CF329" s="4" t="str">
        <f>IFERROR(INDEX('DESEMPATE Y DISCAPACIDAD'!$D$3:$D$450,MATCH(CE329,'DESEMPATE Y DISCAPACIDAD'!$C$3:$C$450,0)),"")</f>
        <v/>
      </c>
      <c r="CG329" s="4" t="str">
        <f>IF(OR(CE329="",CF329=""),"",SUMIF(D323:D332,CF329,CD323:CD332))</f>
        <v/>
      </c>
      <c r="CH329" s="4" t="str">
        <f t="shared" si="264"/>
        <v/>
      </c>
      <c r="CI329" s="4" t="str">
        <f t="shared" si="298"/>
        <v/>
      </c>
      <c r="CJ329" s="4"/>
      <c r="CK329" s="4"/>
      <c r="CL329" s="4" t="str">
        <f t="shared" si="290"/>
        <v/>
      </c>
      <c r="CM329" s="4" t="str">
        <f t="shared" si="291"/>
        <v/>
      </c>
      <c r="CN329" s="4" t="str">
        <f t="shared" si="299"/>
        <v/>
      </c>
      <c r="CO329" s="4"/>
      <c r="CP329" s="4"/>
      <c r="CQ329" s="29" t="str">
        <f t="shared" si="280"/>
        <v/>
      </c>
      <c r="CR329" s="29" t="str">
        <f t="shared" si="272"/>
        <v/>
      </c>
      <c r="CS329" s="4"/>
    </row>
    <row r="330" spans="1:97" ht="40" customHeight="1">
      <c r="B330" s="481"/>
      <c r="C330" s="118"/>
      <c r="D330" s="126" t="str">
        <f>+IFERROR(INDEX('DESEMPATE Y DISCAPACIDAD'!$D$3:$D$450,MATCH(C330,'DESEMPATE Y DISCAPACIDAD'!$C$3:$C$450,0)),"")</f>
        <v/>
      </c>
      <c r="E330" s="127" t="str">
        <f>IFERROR(IF(D330="","",IF(VLOOKUP(D330,'DESEMPATE Y DISCAPACIDAD'!D$3:$E$450,2,FALSE)=1,"N/A",IF(VLOOKUP(D330,'DESEMPATE Y DISCAPACIDAD'!D$3:$F$450,3,FALSE)="X","SI","NO"))),"")</f>
        <v/>
      </c>
      <c r="F330" s="286"/>
      <c r="G330" s="286"/>
      <c r="H330" s="286"/>
      <c r="I330" s="290"/>
      <c r="J330" s="286"/>
      <c r="K330" s="286"/>
      <c r="L330" s="286"/>
      <c r="M330" s="286"/>
      <c r="N330" s="125" t="str">
        <f t="shared" si="292"/>
        <v/>
      </c>
      <c r="O330" s="125" t="str">
        <f t="shared" si="300"/>
        <v/>
      </c>
      <c r="P330" s="125" t="str">
        <f t="shared" si="293"/>
        <v/>
      </c>
      <c r="Q330" s="125" t="str">
        <f t="shared" si="294"/>
        <v/>
      </c>
      <c r="R330" s="316"/>
      <c r="S330" s="317"/>
      <c r="T330" s="317"/>
      <c r="U330" s="125" t="str">
        <f t="shared" si="295"/>
        <v/>
      </c>
      <c r="V330" s="117" t="str">
        <f>IF(U330=2023,1160000,IFERROR(INDEX(SMMLV!$B$2:$B$101,MATCH(U330,SMMLV!$A$2:$A$101,0)),""))</f>
        <v/>
      </c>
      <c r="W330" s="343"/>
      <c r="X330" s="286"/>
      <c r="Y330" s="286"/>
      <c r="Z330" s="509"/>
      <c r="AA330" s="510"/>
      <c r="AB330" s="511"/>
      <c r="AC330" s="125" t="str">
        <f t="shared" si="296"/>
        <v/>
      </c>
      <c r="AD330" s="117" t="str">
        <f t="shared" si="297"/>
        <v/>
      </c>
      <c r="AE330" s="343" t="str">
        <f t="shared" si="301"/>
        <v/>
      </c>
      <c r="AF330" s="117" t="str">
        <f t="shared" si="288"/>
        <v/>
      </c>
      <c r="AG330" s="470"/>
      <c r="AH330" s="470"/>
      <c r="AI330" s="125" t="str">
        <f t="shared" si="289"/>
        <v/>
      </c>
      <c r="AJ330" s="470"/>
      <c r="AK330" s="470"/>
      <c r="AL330" s="472"/>
      <c r="AM330" s="496"/>
      <c r="AN330" s="286"/>
      <c r="AO330" s="507"/>
      <c r="AP330" s="286"/>
      <c r="AQ330" s="490"/>
      <c r="AR330" s="522"/>
      <c r="AS330" s="519"/>
      <c r="AT330" s="204"/>
      <c r="AU330" s="676"/>
      <c r="AV330" s="678"/>
      <c r="AW330" s="561"/>
      <c r="AX330" s="561"/>
      <c r="AY330" s="19"/>
      <c r="CB330" s="29" t="str">
        <f>IFERROR(IF(COUNTIF(AF323:AF332,"")=10,"",IF(COUNTIF(E323:E332,"N/A")&gt;0,IF(AF330&gt;=CMEMM1,AF330,0),"N/A")),"")</f>
        <v>N/A</v>
      </c>
      <c r="CC330" s="4"/>
      <c r="CD330" s="4" t="str">
        <f>IFERROR(IF(COUNTIF(AF323:AF332,"")=10,"",IF(AF330="","",IF(AF330&gt;=CMEMM1,1,0))),"")</f>
        <v/>
      </c>
      <c r="CE330" s="4" t="str">
        <f>B323&amp;"-0"&amp;8</f>
        <v>P33-08</v>
      </c>
      <c r="CF330" s="4" t="str">
        <f>IFERROR(INDEX('DESEMPATE Y DISCAPACIDAD'!$D$3:$D$450,MATCH(CE330,'DESEMPATE Y DISCAPACIDAD'!$C$3:$C$450,0)),"")</f>
        <v/>
      </c>
      <c r="CG330" s="4" t="str">
        <f>IF(OR(CE330="",CF330=""),"",SUMIF(D323:D332,CF330,CD323:CD332))</f>
        <v/>
      </c>
      <c r="CH330" s="4" t="str">
        <f t="shared" si="264"/>
        <v/>
      </c>
      <c r="CI330" s="4" t="str">
        <f t="shared" si="298"/>
        <v/>
      </c>
      <c r="CJ330" s="4"/>
      <c r="CK330" s="4"/>
      <c r="CL330" s="4" t="str">
        <f t="shared" si="290"/>
        <v/>
      </c>
      <c r="CM330" s="4" t="str">
        <f t="shared" si="291"/>
        <v/>
      </c>
      <c r="CN330" s="4" t="str">
        <f t="shared" si="299"/>
        <v/>
      </c>
      <c r="CO330" s="4"/>
      <c r="CP330" s="4"/>
      <c r="CQ330" s="29" t="str">
        <f t="shared" si="280"/>
        <v/>
      </c>
      <c r="CR330" s="29" t="str">
        <f t="shared" si="272"/>
        <v/>
      </c>
      <c r="CS330" s="4"/>
    </row>
    <row r="331" spans="1:97" ht="40" customHeight="1">
      <c r="B331" s="481"/>
      <c r="C331" s="118"/>
      <c r="D331" s="126" t="str">
        <f>+IFERROR(INDEX('DESEMPATE Y DISCAPACIDAD'!$D$3:$D$450,MATCH(C331,'DESEMPATE Y DISCAPACIDAD'!$C$3:$C$450,0)),"")</f>
        <v/>
      </c>
      <c r="E331" s="127" t="str">
        <f>IFERROR(IF(D331="","",IF(VLOOKUP(D331,'DESEMPATE Y DISCAPACIDAD'!D$3:$E$450,2,FALSE)=1,"N/A",IF(VLOOKUP(D331,'DESEMPATE Y DISCAPACIDAD'!D$3:$F$450,3,FALSE)="X","SI","NO"))),"")</f>
        <v/>
      </c>
      <c r="F331" s="286"/>
      <c r="G331" s="286"/>
      <c r="H331" s="286"/>
      <c r="I331" s="290"/>
      <c r="J331" s="286"/>
      <c r="K331" s="286"/>
      <c r="L331" s="286"/>
      <c r="M331" s="286"/>
      <c r="N331" s="125" t="str">
        <f t="shared" si="292"/>
        <v/>
      </c>
      <c r="O331" s="125" t="str">
        <f t="shared" si="300"/>
        <v/>
      </c>
      <c r="P331" s="125" t="str">
        <f t="shared" si="293"/>
        <v/>
      </c>
      <c r="Q331" s="125" t="str">
        <f t="shared" si="294"/>
        <v/>
      </c>
      <c r="R331" s="316"/>
      <c r="S331" s="317"/>
      <c r="T331" s="317"/>
      <c r="U331" s="125" t="str">
        <f t="shared" si="295"/>
        <v/>
      </c>
      <c r="V331" s="117" t="str">
        <f>IF(U331=2023,1160000,IFERROR(INDEX(SMMLV!$B$2:$B$101,MATCH(U331,SMMLV!$A$2:$A$101,0)),""))</f>
        <v/>
      </c>
      <c r="W331" s="343"/>
      <c r="X331" s="286"/>
      <c r="Y331" s="286"/>
      <c r="Z331" s="509"/>
      <c r="AA331" s="510"/>
      <c r="AB331" s="511"/>
      <c r="AC331" s="125" t="str">
        <f t="shared" si="296"/>
        <v/>
      </c>
      <c r="AD331" s="117" t="str">
        <f t="shared" si="297"/>
        <v/>
      </c>
      <c r="AE331" s="343" t="str">
        <f t="shared" si="301"/>
        <v/>
      </c>
      <c r="AF331" s="117" t="str">
        <f t="shared" si="288"/>
        <v/>
      </c>
      <c r="AG331" s="470"/>
      <c r="AH331" s="470"/>
      <c r="AI331" s="125" t="str">
        <f t="shared" si="289"/>
        <v/>
      </c>
      <c r="AJ331" s="470"/>
      <c r="AK331" s="470"/>
      <c r="AL331" s="472"/>
      <c r="AM331" s="496"/>
      <c r="AN331" s="286"/>
      <c r="AO331" s="507"/>
      <c r="AP331" s="286"/>
      <c r="AQ331" s="490"/>
      <c r="AR331" s="522"/>
      <c r="AS331" s="519"/>
      <c r="AT331" s="204"/>
      <c r="AU331" s="676"/>
      <c r="AV331" s="678"/>
      <c r="AW331" s="561"/>
      <c r="AX331" s="561"/>
      <c r="AY331" s="19"/>
      <c r="CB331" s="29" t="str">
        <f>IFERROR(IF(COUNTIF(AF323:AF332,"")=10,"",IF(COUNTIF(E323:E332,"N/A")&gt;0,IF(AF331&gt;=CMEMM1,AF331,0),"N/A")),"")</f>
        <v>N/A</v>
      </c>
      <c r="CC331" s="4"/>
      <c r="CD331" s="4" t="str">
        <f>IFERROR(IF(COUNTIF(AF323:AF332,"")=10,"",IF(AF331="","",IF(AF331&gt;=CMEMM1,1,0))),"")</f>
        <v/>
      </c>
      <c r="CE331" s="4" t="str">
        <f>B323&amp;"-0"&amp;9</f>
        <v>P33-09</v>
      </c>
      <c r="CF331" s="4" t="str">
        <f>IFERROR(INDEX('DESEMPATE Y DISCAPACIDAD'!$D$3:$D$450,MATCH(CE331,'DESEMPATE Y DISCAPACIDAD'!$C$3:$C$450,0)),"")</f>
        <v/>
      </c>
      <c r="CG331" s="4" t="str">
        <f>IF(OR(CE331="",CF331=""),"",SUMIF(D323:D332,CF331,CD323:CD332))</f>
        <v/>
      </c>
      <c r="CH331" s="4" t="str">
        <f t="shared" si="264"/>
        <v/>
      </c>
      <c r="CI331" s="4" t="str">
        <f t="shared" si="298"/>
        <v/>
      </c>
      <c r="CJ331" s="4"/>
      <c r="CK331" s="4"/>
      <c r="CL331" s="4" t="str">
        <f t="shared" si="290"/>
        <v/>
      </c>
      <c r="CM331" s="4" t="str">
        <f t="shared" si="291"/>
        <v/>
      </c>
      <c r="CN331" s="4" t="str">
        <f t="shared" si="299"/>
        <v/>
      </c>
      <c r="CO331" s="4"/>
      <c r="CP331" s="4"/>
      <c r="CQ331" s="29" t="str">
        <f t="shared" si="280"/>
        <v/>
      </c>
      <c r="CR331" s="29" t="str">
        <f t="shared" ref="CR331:CR336" si="302">IF(OR(AN331="",AF331=""),"",IF(AN331="NO",AF331,0))</f>
        <v/>
      </c>
      <c r="CS331" s="4"/>
    </row>
    <row r="332" spans="1:97" ht="40" customHeight="1" thickBot="1">
      <c r="B332" s="482"/>
      <c r="C332" s="130"/>
      <c r="D332" s="131" t="str">
        <f>+IFERROR(INDEX('DESEMPATE Y DISCAPACIDAD'!$D$3:$D$450,MATCH(C332,'DESEMPATE Y DISCAPACIDAD'!$C$3:$C$450,0)),"")</f>
        <v/>
      </c>
      <c r="E332" s="132" t="str">
        <f>IFERROR(IF(D332="","",IF(VLOOKUP(D332,'DESEMPATE Y DISCAPACIDAD'!D$3:$E$450,2,FALSE)=1,"N/A",IF(VLOOKUP(D332,'DESEMPATE Y DISCAPACIDAD'!D$3:$F$450,3,FALSE)="X","SI","NO"))),"")</f>
        <v/>
      </c>
      <c r="F332" s="291"/>
      <c r="G332" s="291"/>
      <c r="H332" s="291"/>
      <c r="I332" s="292"/>
      <c r="J332" s="291"/>
      <c r="K332" s="291"/>
      <c r="L332" s="291"/>
      <c r="M332" s="291"/>
      <c r="N332" s="133" t="str">
        <f t="shared" si="292"/>
        <v/>
      </c>
      <c r="O332" s="133" t="str">
        <f t="shared" si="300"/>
        <v/>
      </c>
      <c r="P332" s="133" t="str">
        <f t="shared" si="293"/>
        <v/>
      </c>
      <c r="Q332" s="133" t="str">
        <f t="shared" si="294"/>
        <v/>
      </c>
      <c r="R332" s="318"/>
      <c r="S332" s="319"/>
      <c r="T332" s="319"/>
      <c r="U332" s="133" t="str">
        <f t="shared" si="295"/>
        <v/>
      </c>
      <c r="V332" s="136" t="str">
        <f>IF(U332=2023,1160000,IFERROR(INDEX(SMMLV!$B$2:$B$101,MATCH(U332,SMMLV!$A$2:$A$101,0)),""))</f>
        <v/>
      </c>
      <c r="W332" s="344"/>
      <c r="X332" s="291"/>
      <c r="Y332" s="291"/>
      <c r="Z332" s="512"/>
      <c r="AA332" s="513"/>
      <c r="AB332" s="514"/>
      <c r="AC332" s="133" t="str">
        <f t="shared" si="296"/>
        <v/>
      </c>
      <c r="AD332" s="136" t="str">
        <f t="shared" si="297"/>
        <v/>
      </c>
      <c r="AE332" s="344" t="str">
        <f t="shared" si="301"/>
        <v/>
      </c>
      <c r="AF332" s="136" t="str">
        <f t="shared" si="288"/>
        <v/>
      </c>
      <c r="AG332" s="471"/>
      <c r="AH332" s="471"/>
      <c r="AI332" s="133" t="str">
        <f t="shared" si="289"/>
        <v/>
      </c>
      <c r="AJ332" s="471"/>
      <c r="AK332" s="471"/>
      <c r="AL332" s="473"/>
      <c r="AM332" s="497"/>
      <c r="AN332" s="291"/>
      <c r="AO332" s="508"/>
      <c r="AP332" s="291"/>
      <c r="AQ332" s="491"/>
      <c r="AR332" s="523"/>
      <c r="AS332" s="520"/>
      <c r="AT332" s="206"/>
      <c r="AU332" s="677"/>
      <c r="AV332" s="679"/>
      <c r="AW332" s="562"/>
      <c r="AX332" s="562"/>
      <c r="AY332" s="19"/>
      <c r="CB332" s="29" t="str">
        <f>IFERROR(IF(COUNTIF(AF323:AF332,"")=10,"",IF(COUNTIF(E323:E332,"N/A")&gt;0,IF(AF332&gt;=CMEMM1,AF332,0),"N/A")),"")</f>
        <v>N/A</v>
      </c>
      <c r="CC332" s="4"/>
      <c r="CD332" s="4" t="str">
        <f>IFERROR(IF(COUNTIF(AF323:AF332,"")=10,"",IF(AF332="","",IF(AF332&gt;=CMEMM1,1,0))),"")</f>
        <v/>
      </c>
      <c r="CE332" s="4" t="str">
        <f>B323&amp;"-"&amp;10</f>
        <v>P33-10</v>
      </c>
      <c r="CF332" s="4" t="str">
        <f>IFERROR(INDEX('DESEMPATE Y DISCAPACIDAD'!$D$3:$D$450,MATCH(CE332,'DESEMPATE Y DISCAPACIDAD'!$C$3:$C$450,0)),"")</f>
        <v/>
      </c>
      <c r="CG332" s="4" t="str">
        <f>IF(OR(CE332="",CF332=""),"",SUMIF(D323:D332,CF332,CD323:CD332))</f>
        <v/>
      </c>
      <c r="CH332" s="4" t="str">
        <f t="shared" si="264"/>
        <v/>
      </c>
      <c r="CI332" s="4" t="str">
        <f t="shared" si="298"/>
        <v/>
      </c>
      <c r="CJ332" s="4"/>
      <c r="CK332" s="4"/>
      <c r="CL332" s="4" t="str">
        <f t="shared" si="290"/>
        <v/>
      </c>
      <c r="CM332" s="4" t="str">
        <f t="shared" si="291"/>
        <v/>
      </c>
      <c r="CN332" s="4" t="str">
        <f t="shared" si="299"/>
        <v/>
      </c>
      <c r="CO332" s="4"/>
      <c r="CP332" s="4"/>
      <c r="CQ332" s="29" t="str">
        <f t="shared" si="280"/>
        <v/>
      </c>
      <c r="CR332" s="29" t="str">
        <f t="shared" si="302"/>
        <v/>
      </c>
      <c r="CS332" s="4"/>
    </row>
    <row r="333" spans="1:97" ht="40" customHeight="1">
      <c r="A333" s="4" t="str">
        <f>"A"&amp;B333</f>
        <v>AP34</v>
      </c>
      <c r="B333" s="480" t="s">
        <v>295</v>
      </c>
      <c r="C333" s="108" t="s">
        <v>422</v>
      </c>
      <c r="D333" s="119" t="str">
        <f>+IFERROR(INDEX('DESEMPATE Y DISCAPACIDAD'!$D$3:$D$450,MATCH(C333,'DESEMPATE Y DISCAPACIDAD'!$C$3:$C$450,0)),"")</f>
        <v>EGIS CONSULTORIA S.A.S</v>
      </c>
      <c r="E333" s="120" t="str">
        <f>IFERROR(IF(D333="","",IF(VLOOKUP(D333,'DESEMPATE Y DISCAPACIDAD'!D$3:$E$450,2,FALSE)=1,"N/A",IF(VLOOKUP(D333,'DESEMPATE Y DISCAPACIDAD'!D$3:$F$450,3,FALSE)="X","SI","NO"))),"")</f>
        <v>NO</v>
      </c>
      <c r="F333" s="302" t="s">
        <v>1300</v>
      </c>
      <c r="G333" s="303" t="s">
        <v>1301</v>
      </c>
      <c r="H333" s="304" t="s">
        <v>1302</v>
      </c>
      <c r="I333" s="305" t="s">
        <v>1303</v>
      </c>
      <c r="J333" s="284" t="s">
        <v>74</v>
      </c>
      <c r="K333" s="284" t="s">
        <v>74</v>
      </c>
      <c r="L333" s="284" t="s">
        <v>75</v>
      </c>
      <c r="M333" s="284" t="s">
        <v>74</v>
      </c>
      <c r="N333" s="121" t="str">
        <f>IFERROR(IF(OR(J333="",K333=""),"",IF(J333="NO","NO",K333)),"")</f>
        <v>SI</v>
      </c>
      <c r="O333" s="121" t="str">
        <f>IFERROR(IF(OR(J333="",L333=""),"",IF(J333="NO","NO",L333)),"")</f>
        <v>NO</v>
      </c>
      <c r="P333" s="121" t="str">
        <f>IFERROR(IF(OR(J333="",M333=""),"",IF(J333="NO","NO",M333)),"")</f>
        <v>SI</v>
      </c>
      <c r="Q333" s="121" t="str">
        <f t="shared" si="294"/>
        <v>SI</v>
      </c>
      <c r="R333" s="337">
        <v>0.30499999999999999</v>
      </c>
      <c r="S333" s="338">
        <v>38849</v>
      </c>
      <c r="T333" s="338">
        <v>40371</v>
      </c>
      <c r="U333" s="121">
        <f>IFERROR(IF(T333="","",YEAR(T333)),"")</f>
        <v>2010</v>
      </c>
      <c r="V333" s="124">
        <f>IF(U333=2023,1160000,IFERROR(INDEX(SMMLV!$B$2:$B$101,MATCH(U333,SMMLV!$A$2:$A$101,0)),""))</f>
        <v>515000</v>
      </c>
      <c r="W333" s="342" t="s">
        <v>670</v>
      </c>
      <c r="X333" s="284" t="s">
        <v>1337</v>
      </c>
      <c r="Y333" s="303">
        <v>84</v>
      </c>
      <c r="Z333" s="515" t="s">
        <v>74</v>
      </c>
      <c r="AA333" s="516"/>
      <c r="AB333" s="517"/>
      <c r="AC333" s="121" t="str">
        <f>IFERROR(IF(Y333="","",IF(ISNUMBER(Y333),IF(COUNTIF(Z333,"SI")&gt;0,"SI","NO"),Y333)),"")</f>
        <v>SI</v>
      </c>
      <c r="AD333" s="124" t="str">
        <f t="shared" si="297"/>
        <v>N/A</v>
      </c>
      <c r="AE333" s="353">
        <v>45865.66</v>
      </c>
      <c r="AF333" s="124">
        <f t="shared" si="288"/>
        <v>13989.026300000001</v>
      </c>
      <c r="AG333" s="486" t="str">
        <f>IFERROR(IF(COUNTIF(AF333:AF342,"")=10,"",IF(COUNTIF(E333:E342,"N/A")&gt;0,IF(SUM(CB333:CB342)&gt;=CMEM1,"CUMPLE","NO CUMPLE"),IF(SUM(AF333:AF342)&gt;=CMEM1,"CUMPLE","NO CUMPLE"))),"")</f>
        <v>CUMPLE</v>
      </c>
      <c r="AH333" s="486" t="str">
        <f>IF(COUNTIF(AF333:AF342,"")=10,"",IF(SUMIF(C333:C342,C333,AF333:AF342)&gt;=CMLM1,"CUMPLE",IF(SUMIF(C333:C342,C334,AF333:AF342)&gt;=CMLM1,"CUMPLE",IF(SUMIF(C333:C342,C335,AF333:AF342)&gt;=CMLM1,"CUMPLE",IF(SUMIF(C333:C342,C336,AF333:AF342)&gt;=CMLM1,"CUMPLE",IF(SUMIF(C333:C342,C337,AF333:AF342)&gt;=CMLM1,"CUMPLE",IF(SUMIF(C333:C342,C338,AF333:AF342)&gt;=CMLM1,"CUMPLE",IF(SUMIF(C333:C342,C339,AF333:AF342)&gt;=CMLM1,"CUMPLE",IF(SUMIF(C333:C342,C340,AF333:AF342)&gt;=CMLM1,"CUMPLE",IF(SUMIF(C333:C342,C341,AF333:AF342)&gt;=CMLM1,"CUMPLE",IF(SUMIF(C333:C342,C342,AF333:AF342)&gt;=CMLM1,"CUMPLE","NO CUMPLE")))))))))))</f>
        <v>CUMPLE</v>
      </c>
      <c r="AI333" s="121" t="str">
        <f t="shared" si="289"/>
        <v>CUMPLE</v>
      </c>
      <c r="AJ333" s="469" t="str">
        <f>IFERROR(IF(COUNTIF(AF333:AF342,"")=10,"",IF(COUNTIF(E333:E342,"N/A")&gt;0,"N/A",CJ333)),"")</f>
        <v>CUMPLE</v>
      </c>
      <c r="AK333" s="469" t="str">
        <f>IFERROR(IF(AND(COUNTIF(N333:N342,"SI")&gt;=1,COUNTIF(O333:O342,"SI")&gt;=1,COUNTIF(P333:P342,"SI")&gt;=1,COUNTIF(J333:J342,"SI")&lt;=10,CO333="CUMPLE"),"CUMPLE","NO CUMPLE"),"")</f>
        <v>CUMPLE</v>
      </c>
      <c r="AL333" s="472" t="s">
        <v>77</v>
      </c>
      <c r="AM333" s="495">
        <f>IFERROR(IF(B333&lt;&gt;"",IF(VLOOKUP(B333,'DESEMPATE Y DISCAPACIDAD'!$A$3:$Q$450,10,FALSE)="","",VLOOKUP(B333,'DESEMPATE Y DISCAPACIDAD'!$A$3:$Q$450,10,FALSE)+6),""),"")</f>
        <v>8</v>
      </c>
      <c r="AN333" s="284" t="s">
        <v>75</v>
      </c>
      <c r="AO333" s="507" t="s">
        <v>74</v>
      </c>
      <c r="AP333" s="284" t="s">
        <v>74</v>
      </c>
      <c r="AQ333" s="490">
        <f>IFERROR(IF(COUNTIF(AP333:AP342,"")=10,"",IF(AO333="NO",0,COUNTIF(AP333:AP342,"SI"))),"")</f>
        <v>5</v>
      </c>
      <c r="AR333" s="521">
        <f>IFERROR(IF(COUNTIF(AF333:AF342,"")=10,"",IF(AO333="NO",0,IF(COUNTIF(E333:E342,"N/A")&gt;0,SUM(CQ333:CQ342),SUM(CR333:CR342)))),"")</f>
        <v>80123.042700000005</v>
      </c>
      <c r="AS333" s="518">
        <f>IFERROR(IF(OR(COUNTIF(AF333:AF342,"")=10,AQ333="",AR333=""),"",IF(AO333="NO",0,AR333/AQ333)),"")</f>
        <v>16024.608540000001</v>
      </c>
      <c r="AT333" s="207"/>
      <c r="AU333" s="680" t="s">
        <v>1227</v>
      </c>
      <c r="AV333" s="662" t="s">
        <v>1228</v>
      </c>
      <c r="AW333" s="560" t="s">
        <v>1382</v>
      </c>
      <c r="AX333" s="560" t="s">
        <v>1383</v>
      </c>
      <c r="AY333" s="19"/>
      <c r="CB333" s="29" t="str">
        <f>IFERROR(IF(COUNTIF(AF333:AF342,"")=10,"",IF(COUNTIF(E333:E342,"N/A")&gt;0,IF(AF333&gt;=CMEMM1,AF333,0),"N/A")),"")</f>
        <v>N/A</v>
      </c>
      <c r="CC333" s="4"/>
      <c r="CD333" s="4">
        <f>IFERROR(IF(COUNTIF(AF333:AF342,"")=10,"",IF(AF333="","",IF(AF333&gt;=CMEMM1,1,0))),"")</f>
        <v>1</v>
      </c>
      <c r="CE333" s="4" t="str">
        <f>B333&amp;"-0"&amp;1</f>
        <v>P34-01</v>
      </c>
      <c r="CF333" s="4" t="str">
        <f>IFERROR(INDEX('DESEMPATE Y DISCAPACIDAD'!$D$3:$D$450,MATCH(CE333,'DESEMPATE Y DISCAPACIDAD'!$C$3:$C$450,0)),"")</f>
        <v>EGIS CONSULTORIA S.A.S</v>
      </c>
      <c r="CG333" s="4">
        <f>IF(OR(CE333="",CF333=""),"",SUMIF(D333:D342,CF333,CD333:CD342))</f>
        <v>1</v>
      </c>
      <c r="CH333" s="4" t="str">
        <f t="shared" si="264"/>
        <v>CUMPLE</v>
      </c>
      <c r="CI333" s="4">
        <f>IF(CF333="","",IF(ISTEXT(CF333),1,0))</f>
        <v>1</v>
      </c>
      <c r="CJ333" s="4" t="str">
        <f>IF(OR(CD333="",CE333="",CF333="",CG333="",CH333="",CI333=""),"",IF(COUNTIF(CH333:CH342,"CUMPLE")=COUNTIF(CI333:CI342,1),"CUMPLE","NO CUMPLE"))</f>
        <v>CUMPLE</v>
      </c>
      <c r="CK333" s="4"/>
      <c r="CL333" s="4">
        <f t="shared" si="290"/>
        <v>1</v>
      </c>
      <c r="CM333" s="4">
        <f t="shared" si="291"/>
        <v>0</v>
      </c>
      <c r="CN333" s="4" t="str">
        <f>IF(OR(CL333="",CM333=""),"",IF(AND(CL333=0,CM333=0),"N/A",IF(AND(CL333=1,CM333=0),"COND. A",IF(AND(CL333=0,CM333=1),"COND. B",IF(AND(CL333=1,CM333=1),"COND. A Y B","")))))</f>
        <v>COND. A</v>
      </c>
      <c r="CO333" s="4" t="str">
        <f>IF(COUNTIF(CN333:CN342,"N/A")=10,"NO CUMPLE",IF(COUNTIF(CN333:CN342,"COND. A Y B")&gt;1,"CUMPLE",IF(AND(COUNTIF(CN333:CN342,"COND. A")&gt;0,COUNTIF(CN333:CN342,"COND. B")&gt;0),"CUMPLE",IF(AND(COUNTIF(CN333:CN342,"COND. A Y B")&gt;0,COUNTIF(CN333:CN342,"COND. A")&gt;0),"CUMPLE",IF(AND(COUNTIF(CN333:CN342,"COND. A Y B")&gt;0,COUNTIF(CN333:CN342,"COND. B")&gt;0),"CUMPLE","NO CUMPLE")))))</f>
        <v>CUMPLE</v>
      </c>
      <c r="CP333" s="4"/>
      <c r="CQ333" s="29" t="str">
        <f t="shared" si="280"/>
        <v>N/A</v>
      </c>
      <c r="CR333" s="29">
        <f t="shared" si="302"/>
        <v>13989.026300000001</v>
      </c>
      <c r="CS333" s="4"/>
    </row>
    <row r="334" spans="1:97" ht="40" customHeight="1">
      <c r="B334" s="481"/>
      <c r="C334" s="118" t="s">
        <v>423</v>
      </c>
      <c r="D334" s="119" t="str">
        <f>+IFERROR(INDEX('DESEMPATE Y DISCAPACIDAD'!$D$3:$D$450,MATCH(C334,'DESEMPATE Y DISCAPACIDAD'!$C$3:$C$450,0)),"")</f>
        <v>BB CONSULTORA SAS</v>
      </c>
      <c r="E334" s="120" t="str">
        <f>IFERROR(IF(D334="","",IF(VLOOKUP(D334,'DESEMPATE Y DISCAPACIDAD'!D$3:$E$450,2,FALSE)=1,"N/A",IF(VLOOKUP(D334,'DESEMPATE Y DISCAPACIDAD'!D$3:$F$450,3,FALSE)="X","SI","NO"))),"")</f>
        <v>NO</v>
      </c>
      <c r="F334" s="306" t="s">
        <v>949</v>
      </c>
      <c r="G334" s="307" t="s">
        <v>1019</v>
      </c>
      <c r="H334" s="308" t="s">
        <v>1304</v>
      </c>
      <c r="I334" s="309" t="s">
        <v>1305</v>
      </c>
      <c r="J334" s="286" t="s">
        <v>74</v>
      </c>
      <c r="K334" s="284" t="s">
        <v>74</v>
      </c>
      <c r="L334" s="284" t="s">
        <v>74</v>
      </c>
      <c r="M334" s="284" t="s">
        <v>74</v>
      </c>
      <c r="N334" s="121" t="str">
        <f t="shared" ref="N334:N342" si="303">IFERROR(IF(OR(J334="",K334=""),"",IF(J334="NO","NO",K334)),"")</f>
        <v>SI</v>
      </c>
      <c r="O334" s="121" t="str">
        <f>IFERROR(IF(OR(J334="",L334=""),"",IF(J334="NO","NO",L334)),"")</f>
        <v>SI</v>
      </c>
      <c r="P334" s="121" t="str">
        <f t="shared" ref="P334:P342" si="304">IFERROR(IF(OR(J334="",M334=""),"",IF(J334="NO","NO",M334)),"")</f>
        <v>SI</v>
      </c>
      <c r="Q334" s="121" t="str">
        <f t="shared" si="294"/>
        <v>SI</v>
      </c>
      <c r="R334" s="339">
        <v>0.33</v>
      </c>
      <c r="S334" s="340">
        <v>41015</v>
      </c>
      <c r="T334" s="340">
        <v>44530</v>
      </c>
      <c r="U334" s="121">
        <f t="shared" ref="U334:U342" si="305">IFERROR(IF(T334="","",YEAR(T334)),"")</f>
        <v>2021</v>
      </c>
      <c r="V334" s="124">
        <f>IF(U334=2023,1160000,IFERROR(INDEX(SMMLV!$B$2:$B$101,MATCH(U334,SMMLV!$A$2:$A$101,0)),""))</f>
        <v>908526</v>
      </c>
      <c r="W334" s="342" t="s">
        <v>670</v>
      </c>
      <c r="X334" s="286" t="s">
        <v>671</v>
      </c>
      <c r="Y334" s="307">
        <v>96</v>
      </c>
      <c r="Z334" s="509" t="s">
        <v>74</v>
      </c>
      <c r="AA334" s="510"/>
      <c r="AB334" s="511"/>
      <c r="AC334" s="125" t="str">
        <f t="shared" ref="AC334:AC342" si="306">IFERROR(IF(Y334="","",IF(ISNUMBER(Y334),IF(COUNTIF(Z334,"SI")&gt;0,"SI","NO"),Y334)),"")</f>
        <v>SI</v>
      </c>
      <c r="AD334" s="117" t="str">
        <f t="shared" si="297"/>
        <v>N/A</v>
      </c>
      <c r="AE334" s="354">
        <v>91335.78</v>
      </c>
      <c r="AF334" s="117">
        <f t="shared" si="288"/>
        <v>30140.807400000002</v>
      </c>
      <c r="AG334" s="470"/>
      <c r="AH334" s="470"/>
      <c r="AI334" s="125" t="str">
        <f t="shared" si="289"/>
        <v>CUMPLE</v>
      </c>
      <c r="AJ334" s="470"/>
      <c r="AK334" s="470"/>
      <c r="AL334" s="472"/>
      <c r="AM334" s="496"/>
      <c r="AN334" s="284" t="s">
        <v>75</v>
      </c>
      <c r="AO334" s="507"/>
      <c r="AP334" s="284" t="s">
        <v>74</v>
      </c>
      <c r="AQ334" s="490"/>
      <c r="AR334" s="522"/>
      <c r="AS334" s="519"/>
      <c r="AT334" s="204"/>
      <c r="AU334" s="680"/>
      <c r="AV334" s="662"/>
      <c r="AW334" s="561"/>
      <c r="AX334" s="561"/>
      <c r="AY334" s="19"/>
      <c r="CB334" s="29" t="str">
        <f>IFERROR(IF(COUNTIF(AF333:AF342,"")=10,"",IF(COUNTIF(E333:E342,"N/A")&gt;0,IF(AF334&gt;=CMEMM1,AF334,0),"N/A")),"")</f>
        <v>N/A</v>
      </c>
      <c r="CC334" s="4"/>
      <c r="CD334" s="4">
        <f>IFERROR(IF(COUNTIF(AF333:AF342,"")=10,"",IF(AF334="","",IF(AF334&gt;=CMEMM1,1,0))),"")</f>
        <v>1</v>
      </c>
      <c r="CE334" s="4" t="str">
        <f>B333&amp;"-0"&amp;2</f>
        <v>P34-02</v>
      </c>
      <c r="CF334" s="4" t="str">
        <f>IFERROR(INDEX('DESEMPATE Y DISCAPACIDAD'!$D$3:$D$450,MATCH(CE334,'DESEMPATE Y DISCAPACIDAD'!$C$3:$C$450,0)),"")</f>
        <v>BB CONSULTORA SAS</v>
      </c>
      <c r="CG334" s="4">
        <f>IF(OR(CE334="",CF334=""),"",SUMIF(D333:D342,CF334,CD333:CD342))</f>
        <v>3</v>
      </c>
      <c r="CH334" s="4" t="str">
        <f t="shared" si="264"/>
        <v>CUMPLE</v>
      </c>
      <c r="CI334" s="4">
        <f t="shared" ref="CI334:CI342" si="307">IF(CF334="","",IF(ISTEXT(CF334),1,0))</f>
        <v>1</v>
      </c>
      <c r="CJ334" s="4"/>
      <c r="CK334" s="4"/>
      <c r="CL334" s="4">
        <f t="shared" si="290"/>
        <v>1</v>
      </c>
      <c r="CM334" s="4">
        <f t="shared" si="291"/>
        <v>1</v>
      </c>
      <c r="CN334" s="4" t="str">
        <f t="shared" ref="CN334:CN342" si="308">IF(OR(CL334="",CM334=""),"",IF(AND(CL334=0,CM334=0),"N/A",IF(AND(CL334=1,CM334=0),"COND. A",IF(AND(CL334=0,CM334=1),"COND. B",IF(AND(CL334=1,CM334=1),"COND. A Y B","")))))</f>
        <v>COND. A Y B</v>
      </c>
      <c r="CO334" s="4"/>
      <c r="CP334" s="4"/>
      <c r="CQ334" s="29" t="str">
        <f t="shared" si="280"/>
        <v>N/A</v>
      </c>
      <c r="CR334" s="29">
        <f t="shared" si="302"/>
        <v>30140.807400000002</v>
      </c>
      <c r="CS334" s="4"/>
    </row>
    <row r="335" spans="1:97" ht="40" customHeight="1">
      <c r="B335" s="481"/>
      <c r="C335" s="118" t="s">
        <v>423</v>
      </c>
      <c r="D335" s="126" t="str">
        <f>+IFERROR(INDEX('DESEMPATE Y DISCAPACIDAD'!$D$3:$D$450,MATCH(C335,'DESEMPATE Y DISCAPACIDAD'!$C$3:$C$450,0)),"")</f>
        <v>BB CONSULTORA SAS</v>
      </c>
      <c r="E335" s="127" t="str">
        <f>IFERROR(IF(D335="","",IF(VLOOKUP(D335,'DESEMPATE Y DISCAPACIDAD'!D$3:$E$450,2,FALSE)=1,"N/A",IF(VLOOKUP(D335,'DESEMPATE Y DISCAPACIDAD'!D$3:$F$450,3,FALSE)="X","SI","NO"))),"")</f>
        <v>NO</v>
      </c>
      <c r="F335" s="306" t="s">
        <v>684</v>
      </c>
      <c r="G335" s="307" t="s">
        <v>1019</v>
      </c>
      <c r="H335" s="308" t="s">
        <v>1306</v>
      </c>
      <c r="I335" s="309" t="s">
        <v>1307</v>
      </c>
      <c r="J335" s="286" t="s">
        <v>74</v>
      </c>
      <c r="K335" s="286" t="s">
        <v>74</v>
      </c>
      <c r="L335" s="286" t="s">
        <v>75</v>
      </c>
      <c r="M335" s="286" t="s">
        <v>74</v>
      </c>
      <c r="N335" s="125" t="str">
        <f t="shared" si="303"/>
        <v>SI</v>
      </c>
      <c r="O335" s="125" t="str">
        <f>IFERROR(IF(OR(J335="",L335=""),"",IF(J335="NO","NO",L335)),"")</f>
        <v>NO</v>
      </c>
      <c r="P335" s="125" t="str">
        <f t="shared" si="304"/>
        <v>SI</v>
      </c>
      <c r="Q335" s="125" t="str">
        <f t="shared" si="294"/>
        <v>SI</v>
      </c>
      <c r="R335" s="339">
        <v>1</v>
      </c>
      <c r="S335" s="340">
        <v>32968</v>
      </c>
      <c r="T335" s="340">
        <v>35307</v>
      </c>
      <c r="U335" s="125">
        <f t="shared" si="305"/>
        <v>1996</v>
      </c>
      <c r="V335" s="117">
        <f>IF(U335=2023,1160000,IFERROR(INDEX(SMMLV!$B$2:$B$101,MATCH(U335,SMMLV!$A$2:$A$101,0)),""))</f>
        <v>142125</v>
      </c>
      <c r="W335" s="343" t="s">
        <v>670</v>
      </c>
      <c r="X335" s="286" t="s">
        <v>671</v>
      </c>
      <c r="Y335" s="307">
        <v>81</v>
      </c>
      <c r="Z335" s="509" t="s">
        <v>74</v>
      </c>
      <c r="AA335" s="510"/>
      <c r="AB335" s="511"/>
      <c r="AC335" s="125" t="str">
        <f t="shared" si="306"/>
        <v>SI</v>
      </c>
      <c r="AD335" s="117" t="str">
        <f t="shared" si="297"/>
        <v>N/A</v>
      </c>
      <c r="AE335" s="354">
        <v>8044.07</v>
      </c>
      <c r="AF335" s="117">
        <f t="shared" si="288"/>
        <v>8044.07</v>
      </c>
      <c r="AG335" s="470"/>
      <c r="AH335" s="470"/>
      <c r="AI335" s="125" t="str">
        <f t="shared" si="289"/>
        <v>CUMPLE</v>
      </c>
      <c r="AJ335" s="470"/>
      <c r="AK335" s="470"/>
      <c r="AL335" s="472"/>
      <c r="AM335" s="496"/>
      <c r="AN335" s="284" t="s">
        <v>75</v>
      </c>
      <c r="AO335" s="507"/>
      <c r="AP335" s="284" t="s">
        <v>74</v>
      </c>
      <c r="AQ335" s="490"/>
      <c r="AR335" s="522"/>
      <c r="AS335" s="519"/>
      <c r="AT335" s="204"/>
      <c r="AU335" s="680"/>
      <c r="AV335" s="662"/>
      <c r="AW335" s="561"/>
      <c r="AX335" s="561"/>
      <c r="AY335" s="19"/>
      <c r="CB335" s="29" t="str">
        <f>IFERROR(IF(COUNTIF(AF333:AF342,"")=10,"",IF(COUNTIF(E333:E342,"N/A")&gt;0,IF(AF335&gt;=CMEMM1,AF335,0),"N/A")),"")</f>
        <v>N/A</v>
      </c>
      <c r="CC335" s="4"/>
      <c r="CD335" s="4">
        <f>IFERROR(IF(COUNTIF(AF333:AF342,"")=10,"",IF(AF335="","",IF(AF335&gt;=CMEMM1,1,0))),"")</f>
        <v>1</v>
      </c>
      <c r="CE335" s="4" t="str">
        <f>B333&amp;"-0"&amp;3</f>
        <v>P34-03</v>
      </c>
      <c r="CF335" s="4" t="str">
        <f>IFERROR(INDEX('DESEMPATE Y DISCAPACIDAD'!$D$3:$D$450,MATCH(CE335,'DESEMPATE Y DISCAPACIDAD'!$C$3:$C$450,0)),"")</f>
        <v>INCOSA SUCURSAL COLOMBIA</v>
      </c>
      <c r="CG335" s="4">
        <f>IF(OR(CE335="",CF335=""),"",SUMIF(D333:D342,CF335,CD333:CD342))</f>
        <v>1</v>
      </c>
      <c r="CH335" s="4" t="str">
        <f t="shared" si="264"/>
        <v>CUMPLE</v>
      </c>
      <c r="CI335" s="4">
        <f t="shared" si="307"/>
        <v>1</v>
      </c>
      <c r="CJ335" s="4"/>
      <c r="CK335" s="4"/>
      <c r="CL335" s="4">
        <f t="shared" si="290"/>
        <v>1</v>
      </c>
      <c r="CM335" s="4">
        <f t="shared" si="291"/>
        <v>0</v>
      </c>
      <c r="CN335" s="4" t="str">
        <f t="shared" si="308"/>
        <v>COND. A</v>
      </c>
      <c r="CO335" s="4"/>
      <c r="CP335" s="4"/>
      <c r="CQ335" s="29" t="str">
        <f t="shared" si="280"/>
        <v>N/A</v>
      </c>
      <c r="CR335" s="29">
        <f t="shared" si="302"/>
        <v>8044.07</v>
      </c>
      <c r="CS335" s="4"/>
    </row>
    <row r="336" spans="1:97" ht="40" customHeight="1">
      <c r="B336" s="481"/>
      <c r="C336" s="118" t="s">
        <v>423</v>
      </c>
      <c r="D336" s="126" t="str">
        <f>+IFERROR(INDEX('DESEMPATE Y DISCAPACIDAD'!$D$3:$D$450,MATCH(C336,'DESEMPATE Y DISCAPACIDAD'!$C$3:$C$450,0)),"")</f>
        <v>BB CONSULTORA SAS</v>
      </c>
      <c r="E336" s="127" t="str">
        <f>IFERROR(IF(D336="","",IF(VLOOKUP(D336,'DESEMPATE Y DISCAPACIDAD'!D$3:$E$450,2,FALSE)=1,"N/A",IF(VLOOKUP(D336,'DESEMPATE Y DISCAPACIDAD'!D$3:$F$450,3,FALSE)="X","SI","NO"))),"")</f>
        <v>NO</v>
      </c>
      <c r="F336" s="306" t="s">
        <v>949</v>
      </c>
      <c r="G336" s="307" t="s">
        <v>1019</v>
      </c>
      <c r="H336" s="308" t="s">
        <v>1308</v>
      </c>
      <c r="I336" s="309" t="s">
        <v>1309</v>
      </c>
      <c r="J336" s="286" t="s">
        <v>74</v>
      </c>
      <c r="K336" s="286" t="s">
        <v>74</v>
      </c>
      <c r="L336" s="286" t="s">
        <v>74</v>
      </c>
      <c r="M336" s="286" t="s">
        <v>74</v>
      </c>
      <c r="N336" s="125" t="str">
        <f t="shared" si="303"/>
        <v>SI</v>
      </c>
      <c r="O336" s="125" t="str">
        <f>IFERROR(IF(OR(J336="",L336=""),"",IF(J336="NO","NO",L336)),"")</f>
        <v>SI</v>
      </c>
      <c r="P336" s="125" t="str">
        <f t="shared" si="304"/>
        <v>SI</v>
      </c>
      <c r="Q336" s="125" t="str">
        <f t="shared" si="294"/>
        <v>SI</v>
      </c>
      <c r="R336" s="339">
        <v>0.75</v>
      </c>
      <c r="S336" s="340">
        <v>39534</v>
      </c>
      <c r="T336" s="340">
        <v>40628</v>
      </c>
      <c r="U336" s="125">
        <f t="shared" si="305"/>
        <v>2011</v>
      </c>
      <c r="V336" s="117">
        <f>IF(U336=2023,1160000,IFERROR(INDEX(SMMLV!$B$2:$B$101,MATCH(U336,SMMLV!$A$2:$A$101,0)),""))</f>
        <v>535600</v>
      </c>
      <c r="W336" s="343" t="s">
        <v>670</v>
      </c>
      <c r="X336" s="286" t="s">
        <v>671</v>
      </c>
      <c r="Y336" s="307">
        <v>2</v>
      </c>
      <c r="Z336" s="509" t="s">
        <v>74</v>
      </c>
      <c r="AA336" s="510"/>
      <c r="AB336" s="511"/>
      <c r="AC336" s="125" t="str">
        <f t="shared" si="306"/>
        <v>SI</v>
      </c>
      <c r="AD336" s="117" t="str">
        <f t="shared" si="297"/>
        <v>N/A</v>
      </c>
      <c r="AE336" s="354">
        <v>7008.27</v>
      </c>
      <c r="AF336" s="117">
        <f t="shared" si="288"/>
        <v>5256.2025000000003</v>
      </c>
      <c r="AG336" s="470"/>
      <c r="AH336" s="470"/>
      <c r="AI336" s="125" t="str">
        <f t="shared" si="289"/>
        <v>CUMPLE</v>
      </c>
      <c r="AJ336" s="470"/>
      <c r="AK336" s="470"/>
      <c r="AL336" s="472"/>
      <c r="AM336" s="496"/>
      <c r="AN336" s="286" t="s">
        <v>75</v>
      </c>
      <c r="AO336" s="507"/>
      <c r="AP336" s="286" t="s">
        <v>74</v>
      </c>
      <c r="AQ336" s="490"/>
      <c r="AR336" s="522"/>
      <c r="AS336" s="519"/>
      <c r="AT336" s="204"/>
      <c r="AU336" s="680"/>
      <c r="AV336" s="662"/>
      <c r="AW336" s="561"/>
      <c r="AX336" s="561"/>
      <c r="AY336" s="19"/>
      <c r="CB336" s="29" t="str">
        <f>IFERROR(IF(COUNTIF(AF333:AF342,"")=10,"",IF(COUNTIF(E333:E342,"N/A")&gt;0,IF(AF336&gt;=CMEMM1,AF336,0),"N/A")),"")</f>
        <v>N/A</v>
      </c>
      <c r="CC336" s="4"/>
      <c r="CD336" s="4">
        <f>IFERROR(IF(COUNTIF(AF333:AF342,"")=10,"",IF(AF336="","",IF(AF336&gt;=CMEMM1,1,0))),"")</f>
        <v>1</v>
      </c>
      <c r="CE336" s="4" t="str">
        <f>B333&amp;"-0"&amp;4</f>
        <v>P34-04</v>
      </c>
      <c r="CF336" s="4">
        <f>IFERROR(INDEX('DESEMPATE Y DISCAPACIDAD'!$D$3:$D$450,MATCH(CE336,'DESEMPATE Y DISCAPACIDAD'!$C$3:$C$450,0)),"")</f>
        <v>0</v>
      </c>
      <c r="CG336" s="4">
        <f>IF(OR(CE336="",CF336=""),"",SUMIF(D333:D342,CF336,CD333:CD342))</f>
        <v>0</v>
      </c>
      <c r="CH336" s="4" t="str">
        <f t="shared" si="264"/>
        <v>NO CUMPLE</v>
      </c>
      <c r="CI336" s="4">
        <f t="shared" si="307"/>
        <v>0</v>
      </c>
      <c r="CJ336" s="4"/>
      <c r="CK336" s="4"/>
      <c r="CL336" s="4">
        <f t="shared" si="290"/>
        <v>1</v>
      </c>
      <c r="CM336" s="4">
        <f t="shared" si="291"/>
        <v>1</v>
      </c>
      <c r="CN336" s="4" t="str">
        <f t="shared" si="308"/>
        <v>COND. A Y B</v>
      </c>
      <c r="CO336" s="4"/>
      <c r="CP336" s="4"/>
      <c r="CQ336" s="29" t="str">
        <f t="shared" si="280"/>
        <v>N/A</v>
      </c>
      <c r="CR336" s="29">
        <f t="shared" si="302"/>
        <v>5256.2025000000003</v>
      </c>
      <c r="CS336" s="4"/>
    </row>
    <row r="337" spans="1:97" ht="40" customHeight="1">
      <c r="B337" s="481"/>
      <c r="C337" s="118" t="s">
        <v>424</v>
      </c>
      <c r="D337" s="126" t="str">
        <f>+IFERROR(INDEX('DESEMPATE Y DISCAPACIDAD'!$D$3:$D$450,MATCH(C337,'DESEMPATE Y DISCAPACIDAD'!$C$3:$C$450,0)),"")</f>
        <v>INCOSA SUCURSAL COLOMBIA</v>
      </c>
      <c r="E337" s="127" t="str">
        <f>IFERROR(IF(D337="","",IF(VLOOKUP(D337,'DESEMPATE Y DISCAPACIDAD'!D$3:$E$450,2,FALSE)=1,"N/A",IF(VLOOKUP(D337,'DESEMPATE Y DISCAPACIDAD'!D$3:$F$450,3,FALSE)="X","SI","NO"))),"")</f>
        <v>NO</v>
      </c>
      <c r="F337" s="306" t="s">
        <v>1310</v>
      </c>
      <c r="G337" s="307" t="s">
        <v>1019</v>
      </c>
      <c r="H337" s="307" t="s">
        <v>1311</v>
      </c>
      <c r="I337" s="309" t="s">
        <v>1312</v>
      </c>
      <c r="J337" s="286" t="s">
        <v>74</v>
      </c>
      <c r="K337" s="286" t="s">
        <v>74</v>
      </c>
      <c r="L337" s="286" t="s">
        <v>75</v>
      </c>
      <c r="M337" s="286" t="s">
        <v>74</v>
      </c>
      <c r="N337" s="125" t="str">
        <f t="shared" si="303"/>
        <v>SI</v>
      </c>
      <c r="O337" s="125" t="str">
        <f t="shared" ref="O337:O342" si="309">IFERROR(IF(OR(J337="",L337=""),"",IF(J337="NO","NO",L337)),"")</f>
        <v>NO</v>
      </c>
      <c r="P337" s="125" t="str">
        <f t="shared" si="304"/>
        <v>SI</v>
      </c>
      <c r="Q337" s="125" t="str">
        <f t="shared" si="294"/>
        <v>SI</v>
      </c>
      <c r="R337" s="341">
        <v>0.65</v>
      </c>
      <c r="S337" s="340">
        <v>39615</v>
      </c>
      <c r="T337" s="340">
        <v>41152</v>
      </c>
      <c r="U337" s="125">
        <f t="shared" si="305"/>
        <v>2012</v>
      </c>
      <c r="V337" s="117">
        <f>IF(U337=2023,1160000,IFERROR(INDEX(SMMLV!$B$2:$B$101,MATCH(U337,SMMLV!$A$2:$A$101,0)),""))</f>
        <v>566700</v>
      </c>
      <c r="W337" s="343" t="s">
        <v>670</v>
      </c>
      <c r="X337" s="286" t="s">
        <v>671</v>
      </c>
      <c r="Y337" s="307">
        <v>6</v>
      </c>
      <c r="Z337" s="509" t="s">
        <v>74</v>
      </c>
      <c r="AA337" s="510"/>
      <c r="AB337" s="511"/>
      <c r="AC337" s="125" t="str">
        <f t="shared" si="306"/>
        <v>SI</v>
      </c>
      <c r="AD337" s="117" t="str">
        <f t="shared" si="297"/>
        <v>N/A</v>
      </c>
      <c r="AE337" s="354" t="s">
        <v>1339</v>
      </c>
      <c r="AF337" s="117">
        <f t="shared" si="288"/>
        <v>22692.9365</v>
      </c>
      <c r="AG337" s="470"/>
      <c r="AH337" s="470"/>
      <c r="AI337" s="125" t="str">
        <f t="shared" si="289"/>
        <v>CUMPLE</v>
      </c>
      <c r="AJ337" s="470"/>
      <c r="AK337" s="470"/>
      <c r="AL337" s="472"/>
      <c r="AM337" s="496"/>
      <c r="AN337" s="286" t="s">
        <v>75</v>
      </c>
      <c r="AO337" s="507"/>
      <c r="AP337" s="286" t="s">
        <v>74</v>
      </c>
      <c r="AQ337" s="490"/>
      <c r="AR337" s="522"/>
      <c r="AS337" s="519"/>
      <c r="AT337" s="204"/>
      <c r="AU337" s="680"/>
      <c r="AV337" s="662"/>
      <c r="AW337" s="561"/>
      <c r="AX337" s="561"/>
      <c r="AY337" s="19"/>
      <c r="CB337" s="29" t="str">
        <f>IFERROR(IF(COUNTIF(AF333:AF342,"")=10,"",IF(COUNTIF(E333:E342,"N/A")&gt;0,IF(AF337&gt;=CMEMM1,AF337,0),"N/A")),"")</f>
        <v>N/A</v>
      </c>
      <c r="CC337" s="4"/>
      <c r="CD337" s="4">
        <f>IFERROR(IF(COUNTIF(AF333:AF342,"")=10,"",IF(AF337="","",IF(AF337&gt;=CMEMM1,1,0))),"")</f>
        <v>1</v>
      </c>
      <c r="CE337" s="4" t="str">
        <f>B333&amp;"-0"&amp;5</f>
        <v>P34-05</v>
      </c>
      <c r="CF337" s="4">
        <f>IFERROR(INDEX('DESEMPATE Y DISCAPACIDAD'!$D$3:$D$450,MATCH(CE337,'DESEMPATE Y DISCAPACIDAD'!$C$3:$C$450,0)),"")</f>
        <v>0</v>
      </c>
      <c r="CG337" s="4">
        <f>IF(OR(CE337="",CF337=""),"",SUMIF(D333:D342,CF337,CD333:CD342))</f>
        <v>0</v>
      </c>
      <c r="CH337" s="4" t="str">
        <f t="shared" si="264"/>
        <v>NO CUMPLE</v>
      </c>
      <c r="CI337" s="4">
        <f t="shared" si="307"/>
        <v>0</v>
      </c>
      <c r="CJ337" s="4"/>
      <c r="CK337" s="4"/>
      <c r="CL337" s="4">
        <f t="shared" si="290"/>
        <v>1</v>
      </c>
      <c r="CM337" s="4">
        <f t="shared" si="291"/>
        <v>0</v>
      </c>
      <c r="CN337" s="4" t="str">
        <f t="shared" si="308"/>
        <v>COND. A</v>
      </c>
      <c r="CO337" s="4"/>
      <c r="CP337" s="4"/>
      <c r="CQ337" s="29" t="str">
        <f>IF(OR(AN336="",CB337=""),"",IF(AN336="NO",CB337,0))</f>
        <v>N/A</v>
      </c>
      <c r="CR337" s="29">
        <f>IF(OR(AN336="",AF337=""),"",IF(AN336="NO",AF337,0))</f>
        <v>22692.9365</v>
      </c>
      <c r="CS337" s="4"/>
    </row>
    <row r="338" spans="1:97" ht="40" customHeight="1">
      <c r="B338" s="481"/>
      <c r="C338" s="118"/>
      <c r="D338" s="126" t="str">
        <f>+IFERROR(INDEX('DESEMPATE Y DISCAPACIDAD'!$D$3:$D$450,MATCH(C338,'DESEMPATE Y DISCAPACIDAD'!$C$3:$C$450,0)),"")</f>
        <v/>
      </c>
      <c r="E338" s="127" t="str">
        <f>IFERROR(IF(D338="","",IF(VLOOKUP(D338,'DESEMPATE Y DISCAPACIDAD'!D$3:$E$450,2,FALSE)=1,"N/A",IF(VLOOKUP(D338,'DESEMPATE Y DISCAPACIDAD'!D$3:$F$450,3,FALSE)="X","SI","NO"))),"")</f>
        <v/>
      </c>
      <c r="F338" s="286"/>
      <c r="G338" s="286"/>
      <c r="H338" s="286"/>
      <c r="I338" s="290"/>
      <c r="J338" s="286"/>
      <c r="K338" s="286"/>
      <c r="L338" s="286"/>
      <c r="M338" s="286"/>
      <c r="N338" s="125" t="str">
        <f t="shared" si="303"/>
        <v/>
      </c>
      <c r="O338" s="125" t="str">
        <f t="shared" si="309"/>
        <v/>
      </c>
      <c r="P338" s="125" t="str">
        <f t="shared" si="304"/>
        <v/>
      </c>
      <c r="Q338" s="125" t="str">
        <f t="shared" si="294"/>
        <v/>
      </c>
      <c r="R338" s="316"/>
      <c r="S338" s="317"/>
      <c r="T338" s="317"/>
      <c r="U338" s="125" t="str">
        <f t="shared" si="305"/>
        <v/>
      </c>
      <c r="V338" s="117" t="str">
        <f>IF(U338=2023,1160000,IFERROR(INDEX(SMMLV!$B$2:$B$101,MATCH(U338,SMMLV!$A$2:$A$101,0)),""))</f>
        <v/>
      </c>
      <c r="W338" s="343"/>
      <c r="X338" s="286"/>
      <c r="Y338" s="286"/>
      <c r="Z338" s="509"/>
      <c r="AA338" s="510"/>
      <c r="AB338" s="511"/>
      <c r="AC338" s="125" t="str">
        <f t="shared" si="306"/>
        <v/>
      </c>
      <c r="AD338" s="117" t="str">
        <f t="shared" si="297"/>
        <v/>
      </c>
      <c r="AE338" s="343" t="str">
        <f t="shared" si="301"/>
        <v/>
      </c>
      <c r="AF338" s="117" t="str">
        <f t="shared" si="288"/>
        <v/>
      </c>
      <c r="AG338" s="470"/>
      <c r="AH338" s="470"/>
      <c r="AI338" s="125" t="str">
        <f t="shared" si="289"/>
        <v/>
      </c>
      <c r="AJ338" s="470"/>
      <c r="AK338" s="470"/>
      <c r="AL338" s="472"/>
      <c r="AM338" s="496"/>
      <c r="AN338" s="286"/>
      <c r="AO338" s="507"/>
      <c r="AP338" s="286"/>
      <c r="AQ338" s="490"/>
      <c r="AR338" s="522"/>
      <c r="AS338" s="519"/>
      <c r="AT338" s="204"/>
      <c r="AU338" s="680"/>
      <c r="AV338" s="662"/>
      <c r="AW338" s="561"/>
      <c r="AX338" s="561"/>
      <c r="AY338" s="19"/>
      <c r="CB338" s="29" t="str">
        <f>IFERROR(IF(COUNTIF(AF333:AF342,"")=10,"",IF(COUNTIF(E333:E342,"N/A")&gt;0,IF(AF338&gt;=CMEMM1,AF338,0),"N/A")),"")</f>
        <v>N/A</v>
      </c>
      <c r="CC338" s="4"/>
      <c r="CD338" s="4" t="str">
        <f>IFERROR(IF(COUNTIF(AF333:AF342,"")=10,"",IF(AF338="","",IF(AF338&gt;=CMEMM1,1,0))),"")</f>
        <v/>
      </c>
      <c r="CE338" s="4" t="str">
        <f>B333&amp;"-0"&amp;6</f>
        <v>P34-06</v>
      </c>
      <c r="CF338" s="4">
        <f>IFERROR(INDEX('DESEMPATE Y DISCAPACIDAD'!$D$3:$D$450,MATCH(CE338,'DESEMPATE Y DISCAPACIDAD'!$C$3:$C$450,0)),"")</f>
        <v>0</v>
      </c>
      <c r="CG338" s="4">
        <f>IF(OR(CE338="",CF338=""),"",SUMIF(D333:D342,CF338,CD333:CD342))</f>
        <v>0</v>
      </c>
      <c r="CH338" s="4" t="str">
        <f t="shared" si="264"/>
        <v>NO CUMPLE</v>
      </c>
      <c r="CI338" s="4">
        <f t="shared" si="307"/>
        <v>0</v>
      </c>
      <c r="CJ338" s="4"/>
      <c r="CK338" s="4"/>
      <c r="CL338" s="4" t="str">
        <f t="shared" si="290"/>
        <v/>
      </c>
      <c r="CM338" s="4" t="str">
        <f t="shared" si="291"/>
        <v/>
      </c>
      <c r="CN338" s="4" t="str">
        <f t="shared" si="308"/>
        <v/>
      </c>
      <c r="CO338" s="4"/>
      <c r="CP338" s="4"/>
      <c r="CQ338" s="29" t="str">
        <f t="shared" ref="CQ338:CQ369" si="310">IF(OR(AN338="",CB338=""),"",IF(AN338="NO",CB338,0))</f>
        <v/>
      </c>
      <c r="CR338" s="29" t="str">
        <f t="shared" ref="CR338:CR369" si="311">IF(OR(AN338="",AF338=""),"",IF(AN338="NO",AF338,0))</f>
        <v/>
      </c>
      <c r="CS338" s="4"/>
    </row>
    <row r="339" spans="1:97" ht="40" customHeight="1">
      <c r="B339" s="481"/>
      <c r="C339" s="118"/>
      <c r="D339" s="126" t="str">
        <f>+IFERROR(INDEX('DESEMPATE Y DISCAPACIDAD'!$D$3:$D$450,MATCH(C339,'DESEMPATE Y DISCAPACIDAD'!$C$3:$C$450,0)),"")</f>
        <v/>
      </c>
      <c r="E339" s="127" t="str">
        <f>IFERROR(IF(D339="","",IF(VLOOKUP(D339,'DESEMPATE Y DISCAPACIDAD'!D$3:$E$450,2,FALSE)=1,"N/A",IF(VLOOKUP(D339,'DESEMPATE Y DISCAPACIDAD'!D$3:$F$450,3,FALSE)="X","SI","NO"))),"")</f>
        <v/>
      </c>
      <c r="F339" s="286"/>
      <c r="G339" s="286"/>
      <c r="H339" s="286"/>
      <c r="I339" s="290"/>
      <c r="J339" s="286"/>
      <c r="K339" s="286"/>
      <c r="L339" s="286"/>
      <c r="M339" s="286"/>
      <c r="N339" s="125" t="str">
        <f t="shared" si="303"/>
        <v/>
      </c>
      <c r="O339" s="125" t="str">
        <f t="shared" si="309"/>
        <v/>
      </c>
      <c r="P339" s="125" t="str">
        <f t="shared" si="304"/>
        <v/>
      </c>
      <c r="Q339" s="125" t="str">
        <f t="shared" si="294"/>
        <v/>
      </c>
      <c r="R339" s="316"/>
      <c r="S339" s="317"/>
      <c r="T339" s="317"/>
      <c r="U339" s="125" t="str">
        <f t="shared" si="305"/>
        <v/>
      </c>
      <c r="V339" s="117" t="str">
        <f>IF(U339=2023,1160000,IFERROR(INDEX(SMMLV!$B$2:$B$101,MATCH(U339,SMMLV!$A$2:$A$101,0)),""))</f>
        <v/>
      </c>
      <c r="W339" s="343"/>
      <c r="X339" s="286"/>
      <c r="Y339" s="286"/>
      <c r="Z339" s="509"/>
      <c r="AA339" s="510"/>
      <c r="AB339" s="511"/>
      <c r="AC339" s="125" t="str">
        <f t="shared" si="306"/>
        <v/>
      </c>
      <c r="AD339" s="117" t="str">
        <f t="shared" si="297"/>
        <v/>
      </c>
      <c r="AE339" s="343" t="str">
        <f t="shared" si="301"/>
        <v/>
      </c>
      <c r="AF339" s="117" t="str">
        <f t="shared" si="288"/>
        <v/>
      </c>
      <c r="AG339" s="470"/>
      <c r="AH339" s="470"/>
      <c r="AI339" s="125" t="str">
        <f t="shared" si="289"/>
        <v/>
      </c>
      <c r="AJ339" s="470"/>
      <c r="AK339" s="470"/>
      <c r="AL339" s="472"/>
      <c r="AM339" s="496"/>
      <c r="AN339" s="286"/>
      <c r="AO339" s="507"/>
      <c r="AP339" s="286"/>
      <c r="AQ339" s="490"/>
      <c r="AR339" s="522"/>
      <c r="AS339" s="519"/>
      <c r="AT339" s="204"/>
      <c r="AU339" s="680"/>
      <c r="AV339" s="662"/>
      <c r="AW339" s="561"/>
      <c r="AX339" s="561"/>
      <c r="AY339" s="19"/>
      <c r="CB339" s="29" t="str">
        <f>IFERROR(IF(COUNTIF(AF333:AF342,"")=10,"",IF(COUNTIF(E333:E342,"N/A")&gt;0,IF(AF339&gt;=CMEMM1,AF339,0),"N/A")),"")</f>
        <v>N/A</v>
      </c>
      <c r="CC339" s="4"/>
      <c r="CD339" s="4" t="str">
        <f>IFERROR(IF(COUNTIF(AF333:AF342,"")=10,"",IF(AF339="","",IF(AF339&gt;=CMEMM1,1,0))),"")</f>
        <v/>
      </c>
      <c r="CE339" s="4" t="str">
        <f>B333&amp;"-0"&amp;7</f>
        <v>P34-07</v>
      </c>
      <c r="CF339" s="4" t="str">
        <f>IFERROR(INDEX('DESEMPATE Y DISCAPACIDAD'!$D$3:$D$450,MATCH(CE339,'DESEMPATE Y DISCAPACIDAD'!$C$3:$C$450,0)),"")</f>
        <v/>
      </c>
      <c r="CG339" s="4" t="str">
        <f>IF(OR(CE339="",CF339=""),"",SUMIF(D333:D342,CF339,CD333:CD342))</f>
        <v/>
      </c>
      <c r="CH339" s="4" t="str">
        <f t="shared" si="264"/>
        <v/>
      </c>
      <c r="CI339" s="4" t="str">
        <f t="shared" si="307"/>
        <v/>
      </c>
      <c r="CJ339" s="4"/>
      <c r="CK339" s="4"/>
      <c r="CL339" s="4" t="str">
        <f t="shared" si="290"/>
        <v/>
      </c>
      <c r="CM339" s="4" t="str">
        <f t="shared" si="291"/>
        <v/>
      </c>
      <c r="CN339" s="4" t="str">
        <f t="shared" si="308"/>
        <v/>
      </c>
      <c r="CO339" s="4"/>
      <c r="CP339" s="4"/>
      <c r="CQ339" s="29" t="str">
        <f t="shared" si="310"/>
        <v/>
      </c>
      <c r="CR339" s="29" t="str">
        <f t="shared" si="311"/>
        <v/>
      </c>
      <c r="CS339" s="4"/>
    </row>
    <row r="340" spans="1:97" ht="40" customHeight="1">
      <c r="B340" s="481"/>
      <c r="C340" s="118"/>
      <c r="D340" s="126" t="str">
        <f>+IFERROR(INDEX('DESEMPATE Y DISCAPACIDAD'!$D$3:$D$450,MATCH(C340,'DESEMPATE Y DISCAPACIDAD'!$C$3:$C$450,0)),"")</f>
        <v/>
      </c>
      <c r="E340" s="127" t="str">
        <f>IFERROR(IF(D340="","",IF(VLOOKUP(D340,'DESEMPATE Y DISCAPACIDAD'!D$3:$E$450,2,FALSE)=1,"N/A",IF(VLOOKUP(D340,'DESEMPATE Y DISCAPACIDAD'!D$3:$F$450,3,FALSE)="X","SI","NO"))),"")</f>
        <v/>
      </c>
      <c r="F340" s="286"/>
      <c r="G340" s="286"/>
      <c r="H340" s="286"/>
      <c r="I340" s="290"/>
      <c r="J340" s="286"/>
      <c r="K340" s="286"/>
      <c r="L340" s="286"/>
      <c r="M340" s="286"/>
      <c r="N340" s="125" t="str">
        <f t="shared" si="303"/>
        <v/>
      </c>
      <c r="O340" s="125" t="str">
        <f t="shared" si="309"/>
        <v/>
      </c>
      <c r="P340" s="125" t="str">
        <f t="shared" si="304"/>
        <v/>
      </c>
      <c r="Q340" s="125" t="str">
        <f t="shared" si="294"/>
        <v/>
      </c>
      <c r="R340" s="316"/>
      <c r="S340" s="317"/>
      <c r="T340" s="317"/>
      <c r="U340" s="125" t="str">
        <f t="shared" si="305"/>
        <v/>
      </c>
      <c r="V340" s="117" t="str">
        <f>IF(U340=2023,1160000,IFERROR(INDEX(SMMLV!$B$2:$B$101,MATCH(U340,SMMLV!$A$2:$A$101,0)),""))</f>
        <v/>
      </c>
      <c r="W340" s="343"/>
      <c r="X340" s="286"/>
      <c r="Y340" s="286"/>
      <c r="Z340" s="509"/>
      <c r="AA340" s="510"/>
      <c r="AB340" s="511"/>
      <c r="AC340" s="125" t="str">
        <f t="shared" si="306"/>
        <v/>
      </c>
      <c r="AD340" s="117" t="str">
        <f t="shared" si="297"/>
        <v/>
      </c>
      <c r="AE340" s="343" t="str">
        <f t="shared" si="301"/>
        <v/>
      </c>
      <c r="AF340" s="117" t="str">
        <f t="shared" si="288"/>
        <v/>
      </c>
      <c r="AG340" s="470"/>
      <c r="AH340" s="470"/>
      <c r="AI340" s="125" t="str">
        <f t="shared" si="289"/>
        <v/>
      </c>
      <c r="AJ340" s="470"/>
      <c r="AK340" s="470"/>
      <c r="AL340" s="472"/>
      <c r="AM340" s="496"/>
      <c r="AN340" s="286"/>
      <c r="AO340" s="507"/>
      <c r="AP340" s="286"/>
      <c r="AQ340" s="490"/>
      <c r="AR340" s="522"/>
      <c r="AS340" s="519"/>
      <c r="AT340" s="204"/>
      <c r="AU340" s="680"/>
      <c r="AV340" s="662"/>
      <c r="AW340" s="561"/>
      <c r="AX340" s="561"/>
      <c r="AY340" s="19"/>
      <c r="CB340" s="29" t="str">
        <f>IFERROR(IF(COUNTIF(AF333:AF342,"")=10,"",IF(COUNTIF(E333:E342,"N/A")&gt;0,IF(AF340&gt;=CMEMM1,AF340,0),"N/A")),"")</f>
        <v>N/A</v>
      </c>
      <c r="CC340" s="4"/>
      <c r="CD340" s="4" t="str">
        <f>IFERROR(IF(COUNTIF(AF333:AF342,"")=10,"",IF(AF340="","",IF(AF340&gt;=CMEMM1,1,0))),"")</f>
        <v/>
      </c>
      <c r="CE340" s="4" t="str">
        <f>B333&amp;"-0"&amp;8</f>
        <v>P34-08</v>
      </c>
      <c r="CF340" s="4" t="str">
        <f>IFERROR(INDEX('DESEMPATE Y DISCAPACIDAD'!$D$3:$D$450,MATCH(CE340,'DESEMPATE Y DISCAPACIDAD'!$C$3:$C$450,0)),"")</f>
        <v/>
      </c>
      <c r="CG340" s="4" t="str">
        <f>IF(OR(CE340="",CF340=""),"",SUMIF(D333:D342,CF340,CD333:CD342))</f>
        <v/>
      </c>
      <c r="CH340" s="4" t="str">
        <f t="shared" si="264"/>
        <v/>
      </c>
      <c r="CI340" s="4" t="str">
        <f t="shared" si="307"/>
        <v/>
      </c>
      <c r="CJ340" s="4"/>
      <c r="CK340" s="4"/>
      <c r="CL340" s="4" t="str">
        <f t="shared" si="290"/>
        <v/>
      </c>
      <c r="CM340" s="4" t="str">
        <f t="shared" si="291"/>
        <v/>
      </c>
      <c r="CN340" s="4" t="str">
        <f t="shared" si="308"/>
        <v/>
      </c>
      <c r="CO340" s="4"/>
      <c r="CP340" s="4"/>
      <c r="CQ340" s="29" t="str">
        <f t="shared" si="310"/>
        <v/>
      </c>
      <c r="CR340" s="29" t="str">
        <f t="shared" si="311"/>
        <v/>
      </c>
      <c r="CS340" s="4"/>
    </row>
    <row r="341" spans="1:97" ht="40" customHeight="1">
      <c r="B341" s="481"/>
      <c r="C341" s="118"/>
      <c r="D341" s="126" t="str">
        <f>+IFERROR(INDEX('DESEMPATE Y DISCAPACIDAD'!$D$3:$D$450,MATCH(C341,'DESEMPATE Y DISCAPACIDAD'!$C$3:$C$450,0)),"")</f>
        <v/>
      </c>
      <c r="E341" s="127" t="str">
        <f>IFERROR(IF(D341="","",IF(VLOOKUP(D341,'DESEMPATE Y DISCAPACIDAD'!D$3:$E$450,2,FALSE)=1,"N/A",IF(VLOOKUP(D341,'DESEMPATE Y DISCAPACIDAD'!D$3:$F$450,3,FALSE)="X","SI","NO"))),"")</f>
        <v/>
      </c>
      <c r="F341" s="286"/>
      <c r="G341" s="286"/>
      <c r="H341" s="286"/>
      <c r="I341" s="290"/>
      <c r="J341" s="286"/>
      <c r="K341" s="286"/>
      <c r="L341" s="286"/>
      <c r="M341" s="286"/>
      <c r="N341" s="125" t="str">
        <f t="shared" si="303"/>
        <v/>
      </c>
      <c r="O341" s="125" t="str">
        <f t="shared" si="309"/>
        <v/>
      </c>
      <c r="P341" s="125" t="str">
        <f t="shared" si="304"/>
        <v/>
      </c>
      <c r="Q341" s="125" t="str">
        <f t="shared" si="294"/>
        <v/>
      </c>
      <c r="R341" s="316"/>
      <c r="S341" s="317"/>
      <c r="T341" s="317"/>
      <c r="U341" s="125" t="str">
        <f t="shared" si="305"/>
        <v/>
      </c>
      <c r="V341" s="117" t="str">
        <f>IF(U341=2023,1160000,IFERROR(INDEX(SMMLV!$B$2:$B$101,MATCH(U341,SMMLV!$A$2:$A$101,0)),""))</f>
        <v/>
      </c>
      <c r="W341" s="343"/>
      <c r="X341" s="286"/>
      <c r="Y341" s="286"/>
      <c r="Z341" s="509"/>
      <c r="AA341" s="510"/>
      <c r="AB341" s="511"/>
      <c r="AC341" s="125" t="str">
        <f t="shared" si="306"/>
        <v/>
      </c>
      <c r="AD341" s="117" t="str">
        <f t="shared" si="297"/>
        <v/>
      </c>
      <c r="AE341" s="343" t="str">
        <f t="shared" si="301"/>
        <v/>
      </c>
      <c r="AF341" s="117" t="str">
        <f t="shared" si="288"/>
        <v/>
      </c>
      <c r="AG341" s="470"/>
      <c r="AH341" s="470"/>
      <c r="AI341" s="125" t="str">
        <f t="shared" si="289"/>
        <v/>
      </c>
      <c r="AJ341" s="470"/>
      <c r="AK341" s="470"/>
      <c r="AL341" s="472"/>
      <c r="AM341" s="496"/>
      <c r="AN341" s="286"/>
      <c r="AO341" s="507"/>
      <c r="AP341" s="286"/>
      <c r="AQ341" s="490"/>
      <c r="AR341" s="522"/>
      <c r="AS341" s="519"/>
      <c r="AT341" s="204"/>
      <c r="AU341" s="680"/>
      <c r="AV341" s="662"/>
      <c r="AW341" s="561"/>
      <c r="AX341" s="561"/>
      <c r="AY341" s="19"/>
      <c r="CB341" s="29" t="str">
        <f>IFERROR(IF(COUNTIF(AF333:AF342,"")=10,"",IF(COUNTIF(E333:E342,"N/A")&gt;0,IF(AF341&gt;=CMEMM1,AF341,0),"N/A")),"")</f>
        <v>N/A</v>
      </c>
      <c r="CC341" s="4"/>
      <c r="CD341" s="4" t="str">
        <f>IFERROR(IF(COUNTIF(AF333:AF342,"")=10,"",IF(AF341="","",IF(AF341&gt;=CMEMM1,1,0))),"")</f>
        <v/>
      </c>
      <c r="CE341" s="4" t="str">
        <f>B333&amp;"-0"&amp;9</f>
        <v>P34-09</v>
      </c>
      <c r="CF341" s="4" t="str">
        <f>IFERROR(INDEX('DESEMPATE Y DISCAPACIDAD'!$D$3:$D$450,MATCH(CE341,'DESEMPATE Y DISCAPACIDAD'!$C$3:$C$450,0)),"")</f>
        <v/>
      </c>
      <c r="CG341" s="4" t="str">
        <f>IF(OR(CE341="",CF341=""),"",SUMIF(D333:D342,CF341,CD333:CD342))</f>
        <v/>
      </c>
      <c r="CH341" s="4" t="str">
        <f t="shared" si="264"/>
        <v/>
      </c>
      <c r="CI341" s="4" t="str">
        <f t="shared" si="307"/>
        <v/>
      </c>
      <c r="CJ341" s="4"/>
      <c r="CK341" s="4"/>
      <c r="CL341" s="4" t="str">
        <f t="shared" si="290"/>
        <v/>
      </c>
      <c r="CM341" s="4" t="str">
        <f t="shared" si="291"/>
        <v/>
      </c>
      <c r="CN341" s="4" t="str">
        <f t="shared" si="308"/>
        <v/>
      </c>
      <c r="CO341" s="4"/>
      <c r="CP341" s="4"/>
      <c r="CQ341" s="29" t="str">
        <f t="shared" si="310"/>
        <v/>
      </c>
      <c r="CR341" s="29" t="str">
        <f t="shared" si="311"/>
        <v/>
      </c>
      <c r="CS341" s="4"/>
    </row>
    <row r="342" spans="1:97" ht="40" customHeight="1" thickBot="1">
      <c r="B342" s="482"/>
      <c r="C342" s="130"/>
      <c r="D342" s="131" t="str">
        <f>+IFERROR(INDEX('DESEMPATE Y DISCAPACIDAD'!$D$3:$D$450,MATCH(C342,'DESEMPATE Y DISCAPACIDAD'!$C$3:$C$450,0)),"")</f>
        <v/>
      </c>
      <c r="E342" s="132" t="str">
        <f>IFERROR(IF(D342="","",IF(VLOOKUP(D342,'DESEMPATE Y DISCAPACIDAD'!D$3:$E$450,2,FALSE)=1,"N/A",IF(VLOOKUP(D342,'DESEMPATE Y DISCAPACIDAD'!D$3:$F$450,3,FALSE)="X","SI","NO"))),"")</f>
        <v/>
      </c>
      <c r="F342" s="291"/>
      <c r="G342" s="291"/>
      <c r="H342" s="291"/>
      <c r="I342" s="292"/>
      <c r="J342" s="291"/>
      <c r="K342" s="291"/>
      <c r="L342" s="291"/>
      <c r="M342" s="291"/>
      <c r="N342" s="133" t="str">
        <f t="shared" si="303"/>
        <v/>
      </c>
      <c r="O342" s="133" t="str">
        <f t="shared" si="309"/>
        <v/>
      </c>
      <c r="P342" s="133" t="str">
        <f t="shared" si="304"/>
        <v/>
      </c>
      <c r="Q342" s="133" t="str">
        <f t="shared" si="294"/>
        <v/>
      </c>
      <c r="R342" s="318"/>
      <c r="S342" s="319"/>
      <c r="T342" s="319"/>
      <c r="U342" s="133" t="str">
        <f t="shared" si="305"/>
        <v/>
      </c>
      <c r="V342" s="136" t="str">
        <f>IF(U342=2023,1160000,IFERROR(INDEX(SMMLV!$B$2:$B$101,MATCH(U342,SMMLV!$A$2:$A$101,0)),""))</f>
        <v/>
      </c>
      <c r="W342" s="344"/>
      <c r="X342" s="291"/>
      <c r="Y342" s="291"/>
      <c r="Z342" s="512"/>
      <c r="AA342" s="513"/>
      <c r="AB342" s="514"/>
      <c r="AC342" s="133" t="str">
        <f t="shared" si="306"/>
        <v/>
      </c>
      <c r="AD342" s="136" t="str">
        <f t="shared" si="297"/>
        <v/>
      </c>
      <c r="AE342" s="344" t="str">
        <f t="shared" si="301"/>
        <v/>
      </c>
      <c r="AF342" s="136" t="str">
        <f t="shared" si="288"/>
        <v/>
      </c>
      <c r="AG342" s="471"/>
      <c r="AH342" s="471"/>
      <c r="AI342" s="133" t="str">
        <f t="shared" si="289"/>
        <v/>
      </c>
      <c r="AJ342" s="471"/>
      <c r="AK342" s="471"/>
      <c r="AL342" s="473"/>
      <c r="AM342" s="497"/>
      <c r="AN342" s="291"/>
      <c r="AO342" s="508"/>
      <c r="AP342" s="291"/>
      <c r="AQ342" s="491"/>
      <c r="AR342" s="523"/>
      <c r="AS342" s="520"/>
      <c r="AT342" s="206"/>
      <c r="AU342" s="681"/>
      <c r="AV342" s="663"/>
      <c r="AW342" s="562"/>
      <c r="AX342" s="562"/>
      <c r="AY342" s="19"/>
      <c r="CB342" s="29" t="str">
        <f>IFERROR(IF(COUNTIF(AF333:AF342,"")=10,"",IF(COUNTIF(E333:E342,"N/A")&gt;0,IF(AF342&gt;=CMEMM1,AF342,0),"N/A")),"")</f>
        <v>N/A</v>
      </c>
      <c r="CC342" s="4"/>
      <c r="CD342" s="4" t="str">
        <f>IFERROR(IF(COUNTIF(AF333:AF342,"")=10,"",IF(AF342="","",IF(AF342&gt;=CMEMM1,1,0))),"")</f>
        <v/>
      </c>
      <c r="CE342" s="4" t="str">
        <f>B333&amp;"-"&amp;10</f>
        <v>P34-10</v>
      </c>
      <c r="CF342" s="4" t="str">
        <f>IFERROR(INDEX('DESEMPATE Y DISCAPACIDAD'!$D$3:$D$450,MATCH(CE342,'DESEMPATE Y DISCAPACIDAD'!$C$3:$C$450,0)),"")</f>
        <v/>
      </c>
      <c r="CG342" s="4" t="str">
        <f>IF(OR(CE342="",CF342=""),"",SUMIF(D333:D342,CF342,CD333:CD342))</f>
        <v/>
      </c>
      <c r="CH342" s="4" t="str">
        <f t="shared" si="264"/>
        <v/>
      </c>
      <c r="CI342" s="4" t="str">
        <f t="shared" si="307"/>
        <v/>
      </c>
      <c r="CJ342" s="4"/>
      <c r="CK342" s="4"/>
      <c r="CL342" s="4" t="str">
        <f t="shared" si="290"/>
        <v/>
      </c>
      <c r="CM342" s="4" t="str">
        <f t="shared" si="291"/>
        <v/>
      </c>
      <c r="CN342" s="4" t="str">
        <f t="shared" si="308"/>
        <v/>
      </c>
      <c r="CO342" s="4"/>
      <c r="CP342" s="4"/>
      <c r="CQ342" s="29" t="str">
        <f t="shared" si="310"/>
        <v/>
      </c>
      <c r="CR342" s="29" t="str">
        <f t="shared" si="311"/>
        <v/>
      </c>
      <c r="CS342" s="4"/>
    </row>
    <row r="343" spans="1:97" ht="40" customHeight="1">
      <c r="A343" s="4" t="str">
        <f>"A"&amp;B343</f>
        <v>AP35</v>
      </c>
      <c r="B343" s="480" t="s">
        <v>296</v>
      </c>
      <c r="C343" s="108" t="s">
        <v>428</v>
      </c>
      <c r="D343" s="119" t="str">
        <f>+IFERROR(INDEX('DESEMPATE Y DISCAPACIDAD'!$D$3:$D$450,MATCH(C343,'DESEMPATE Y DISCAPACIDAD'!$C$3:$C$450,0)),"")</f>
        <v>SESAC S. A.</v>
      </c>
      <c r="E343" s="120" t="str">
        <f>IFERROR(IF(D343="","",IF(VLOOKUP(D343,'DESEMPATE Y DISCAPACIDAD'!D$3:$E$450,2,FALSE)=1,"N/A",IF(VLOOKUP(D343,'DESEMPATE Y DISCAPACIDAD'!D$3:$F$450,3,FALSE)="X","SI","NO"))),"")</f>
        <v>NO</v>
      </c>
      <c r="F343" s="284" t="s">
        <v>698</v>
      </c>
      <c r="G343" s="284" t="s">
        <v>699</v>
      </c>
      <c r="H343" s="284" t="s">
        <v>1313</v>
      </c>
      <c r="I343" s="294" t="s">
        <v>1314</v>
      </c>
      <c r="J343" s="284" t="s">
        <v>74</v>
      </c>
      <c r="K343" s="284" t="s">
        <v>74</v>
      </c>
      <c r="L343" s="284" t="s">
        <v>74</v>
      </c>
      <c r="M343" s="284" t="s">
        <v>74</v>
      </c>
      <c r="N343" s="121" t="str">
        <f>IFERROR(IF(OR(J343="",K343=""),"",IF(J343="NO","NO",K343)),"")</f>
        <v>SI</v>
      </c>
      <c r="O343" s="121" t="str">
        <f>IFERROR(IF(OR(J343="",L343=""),"",IF(J343="NO","NO",L343)),"")</f>
        <v>SI</v>
      </c>
      <c r="P343" s="121" t="str">
        <f>IFERROR(IF(OR(J343="",M343=""),"",IF(J343="NO","NO",M343)),"")</f>
        <v>SI</v>
      </c>
      <c r="Q343" s="121" t="str">
        <f t="shared" si="294"/>
        <v>SI</v>
      </c>
      <c r="R343" s="322">
        <v>0.85</v>
      </c>
      <c r="S343" s="323">
        <v>42269</v>
      </c>
      <c r="T343" s="323">
        <v>45007</v>
      </c>
      <c r="U343" s="121">
        <f>IFERROR(IF(T343="","",YEAR(T343)),"")</f>
        <v>2023</v>
      </c>
      <c r="V343" s="124">
        <f>IF(U343=2023,1160000,IFERROR(INDEX(SMMLV!$B$2:$B$101,MATCH(U343,SMMLV!$A$2:$A$101,0)),""))</f>
        <v>1160000</v>
      </c>
      <c r="W343" s="342" t="s">
        <v>670</v>
      </c>
      <c r="X343" s="284" t="s">
        <v>671</v>
      </c>
      <c r="Y343" s="284">
        <v>87</v>
      </c>
      <c r="Z343" s="515" t="s">
        <v>74</v>
      </c>
      <c r="AA343" s="516"/>
      <c r="AB343" s="517"/>
      <c r="AC343" s="121" t="str">
        <f>IFERROR(IF(Y343="","",IF(ISNUMBER(Y343),IF(COUNTIF(Z343,"SI")&gt;0,"SI","NO"),Y343)),"")</f>
        <v>SI</v>
      </c>
      <c r="AD343" s="124" t="str">
        <f t="shared" si="297"/>
        <v>N/A</v>
      </c>
      <c r="AE343" s="342">
        <v>61107.54</v>
      </c>
      <c r="AF343" s="124">
        <f t="shared" si="288"/>
        <v>51941.409</v>
      </c>
      <c r="AG343" s="486" t="str">
        <f>IFERROR(IF(COUNTIF(AF343:AF352,"")=10,"",IF(COUNTIF(E343:E352,"N/A")&gt;0,IF(SUM(CB343:CB352)&gt;=CMEM1,"CUMPLE","NO CUMPLE"),IF(SUM(AF343:AF352)&gt;=CMEM1,"CUMPLE","NO CUMPLE"))),"")</f>
        <v>CUMPLE</v>
      </c>
      <c r="AH343" s="486" t="str">
        <f>IF(COUNTIF(AF343:AF352,"")=10,"",IF(SUMIF(C343:C352,C343,AF343:AF352)&gt;=CMLM1,"CUMPLE",IF(SUMIF(C343:C352,C344,AF343:AF352)&gt;=CMLM1,"CUMPLE",IF(SUMIF(C343:C352,C345,AF343:AF352)&gt;=CMLM1,"CUMPLE",IF(SUMIF(C343:C352,C346,AF343:AF352)&gt;=CMLM1,"CUMPLE",IF(SUMIF(C343:C352,C347,AF343:AF352)&gt;=CMLM1,"CUMPLE",IF(SUMIF(C343:C352,C348,AF343:AF352)&gt;=CMLM1,"CUMPLE",IF(SUMIF(C343:C352,C349,AF343:AF352)&gt;=CMLM1,"CUMPLE",IF(SUMIF(C343:C352,C350,AF343:AF352)&gt;=CMLM1,"CUMPLE",IF(SUMIF(C343:C352,C351,AF343:AF352)&gt;=CMLM1,"CUMPLE",IF(SUMIF(C343:C352,C352,AF343:AF352)&gt;=CMLM1,"CUMPLE","NO CUMPLE")))))))))))</f>
        <v>CUMPLE</v>
      </c>
      <c r="AI343" s="121" t="str">
        <f t="shared" si="289"/>
        <v>CUMPLE</v>
      </c>
      <c r="AJ343" s="469" t="str">
        <f>IFERROR(IF(COUNTIF(AF343:AF352,"")=10,"",IF(COUNTIF(E343:E352,"N/A")&gt;0,"N/A",CJ343)),"")</f>
        <v>CUMPLE</v>
      </c>
      <c r="AK343" s="469" t="str">
        <f>IFERROR(IF(AND(COUNTIF(N343:N352,"SI")&gt;=1,COUNTIF(O343:O352,"SI")&gt;=1,COUNTIF(P343:P352,"SI")&gt;=1,COUNTIF(J343:J352,"SI")&lt;=10,CO343="CUMPLE"),"CUMPLE","NO CUMPLE"),"")</f>
        <v>CUMPLE</v>
      </c>
      <c r="AL343" s="472" t="s">
        <v>77</v>
      </c>
      <c r="AM343" s="495">
        <f>IFERROR(IF(B343&lt;&gt;"",IF(VLOOKUP(B343,'DESEMPATE Y DISCAPACIDAD'!$A$3:$Q$450,10,FALSE)="","",VLOOKUP(B343,'DESEMPATE Y DISCAPACIDAD'!$A$3:$Q$450,10,FALSE)+6),""),"")</f>
        <v>8</v>
      </c>
      <c r="AN343" s="284" t="s">
        <v>75</v>
      </c>
      <c r="AO343" s="507" t="s">
        <v>74</v>
      </c>
      <c r="AP343" s="284" t="s">
        <v>74</v>
      </c>
      <c r="AQ343" s="490">
        <f>IFERROR(IF(COUNTIF(AP343:AP352,"")=10,"",IF(AO343="NO",0,COUNTIF(AP343:AP352,"SI"))),"")</f>
        <v>5</v>
      </c>
      <c r="AR343" s="521">
        <f>IFERROR(IF(COUNTIF(AF343:AF352,"")=10,"",IF(AO343="NO",0,IF(COUNTIF(E343:E352,"N/A")&gt;0,SUM(CQ343:CQ352),SUM(CR343:CR352)))),"")</f>
        <v>121620.003921</v>
      </c>
      <c r="AS343" s="518">
        <f>IFERROR(IF(OR(COUNTIF(AF343:AF352,"")=10,AQ343="",AR343=""),"",IF(AO343="NO",0,AR343/AQ343)),"")</f>
        <v>24324.000784199998</v>
      </c>
      <c r="AT343" s="207"/>
      <c r="AU343" s="670" t="s">
        <v>1180</v>
      </c>
      <c r="AV343" s="670" t="s">
        <v>747</v>
      </c>
      <c r="AW343" s="560" t="s">
        <v>1357</v>
      </c>
      <c r="AX343" s="560" t="s">
        <v>1357</v>
      </c>
      <c r="AY343" s="19"/>
      <c r="CB343" s="29" t="str">
        <f>IFERROR(IF(COUNTIF(AF343:AF352,"")=10,"",IF(COUNTIF(E343:E352,"N/A")&gt;0,IF(AF343&gt;=CMEMM1,AF343,0),"N/A")),"")</f>
        <v>N/A</v>
      </c>
      <c r="CC343" s="4"/>
      <c r="CD343" s="4">
        <f>IFERROR(IF(COUNTIF(AF343:AF352,"")=10,"",IF(AF343="","",IF(AF343&gt;=CMEMM1,1,0))),"")</f>
        <v>1</v>
      </c>
      <c r="CE343" s="4" t="str">
        <f>B343&amp;"-0"&amp;1</f>
        <v>P35-01</v>
      </c>
      <c r="CF343" s="4" t="str">
        <f>IFERROR(INDEX('DESEMPATE Y DISCAPACIDAD'!$D$3:$D$450,MATCH(CE343,'DESEMPATE Y DISCAPACIDAD'!$C$3:$C$450,0)),"")</f>
        <v>SESAC S. A.</v>
      </c>
      <c r="CG343" s="4">
        <f>IF(OR(CE343="",CF343=""),"",SUMIF(D343:D352,CF343,CD343:CD352))</f>
        <v>3</v>
      </c>
      <c r="CH343" s="4" t="str">
        <f t="shared" si="264"/>
        <v>CUMPLE</v>
      </c>
      <c r="CI343" s="4">
        <f>IF(CF343="","",IF(ISTEXT(CF343),1,0))</f>
        <v>1</v>
      </c>
      <c r="CJ343" s="4" t="str">
        <f>IF(OR(CD343="",CE343="",CF343="",CG343="",CH343="",CI343=""),"",IF(COUNTIF(CH343:CH352,"CUMPLE")=COUNTIF(CI343:CI352,1),"CUMPLE","NO CUMPLE"))</f>
        <v>CUMPLE</v>
      </c>
      <c r="CK343" s="4"/>
      <c r="CL343" s="4">
        <f t="shared" si="290"/>
        <v>1</v>
      </c>
      <c r="CM343" s="4">
        <f t="shared" si="291"/>
        <v>1</v>
      </c>
      <c r="CN343" s="4" t="str">
        <f>IF(OR(CL343="",CM343=""),"",IF(AND(CL343=0,CM343=0),"N/A",IF(AND(CL343=1,CM343=0),"COND. A",IF(AND(CL343=0,CM343=1),"COND. B",IF(AND(CL343=1,CM343=1),"COND. A Y B","")))))</f>
        <v>COND. A Y B</v>
      </c>
      <c r="CO343" s="4" t="str">
        <f>IF(COUNTIF(CN343:CN352,"N/A")=10,"NO CUMPLE",IF(COUNTIF(CN343:CN352,"COND. A Y B")&gt;1,"CUMPLE",IF(AND(COUNTIF(CN343:CN352,"COND. A")&gt;0,COUNTIF(CN343:CN352,"COND. B")&gt;0),"CUMPLE",IF(AND(COUNTIF(CN343:CN352,"COND. A Y B")&gt;0,COUNTIF(CN343:CN352,"COND. A")&gt;0),"CUMPLE",IF(AND(COUNTIF(CN343:CN352,"COND. A Y B")&gt;0,COUNTIF(CN343:CN352,"COND. B")&gt;0),"CUMPLE","NO CUMPLE")))))</f>
        <v>CUMPLE</v>
      </c>
      <c r="CP343" s="4"/>
      <c r="CQ343" s="29" t="str">
        <f t="shared" si="310"/>
        <v>N/A</v>
      </c>
      <c r="CR343" s="29">
        <f t="shared" si="311"/>
        <v>51941.409</v>
      </c>
      <c r="CS343" s="4"/>
    </row>
    <row r="344" spans="1:97" ht="40" customHeight="1">
      <c r="B344" s="481"/>
      <c r="C344" s="118" t="s">
        <v>429</v>
      </c>
      <c r="D344" s="119" t="str">
        <f>+IFERROR(INDEX('DESEMPATE Y DISCAPACIDAD'!$D$3:$D$450,MATCH(C344,'DESEMPATE Y DISCAPACIDAD'!$C$3:$C$450,0)),"")</f>
        <v>TRANSCONSULT SUCURSAL COLOMBIA</v>
      </c>
      <c r="E344" s="120" t="str">
        <f>IFERROR(IF(D344="","",IF(VLOOKUP(D344,'DESEMPATE Y DISCAPACIDAD'!D$3:$E$450,2,FALSE)=1,"N/A",IF(VLOOKUP(D344,'DESEMPATE Y DISCAPACIDAD'!D$3:$F$450,3,FALSE)="X","SI","NO"))),"")</f>
        <v>NO</v>
      </c>
      <c r="F344" s="286" t="s">
        <v>1315</v>
      </c>
      <c r="G344" s="286" t="s">
        <v>980</v>
      </c>
      <c r="H344" s="284" t="s">
        <v>1316</v>
      </c>
      <c r="I344" s="294" t="s">
        <v>1317</v>
      </c>
      <c r="J344" s="284" t="s">
        <v>74</v>
      </c>
      <c r="K344" s="284" t="s">
        <v>75</v>
      </c>
      <c r="L344" s="284" t="s">
        <v>75</v>
      </c>
      <c r="M344" s="284" t="s">
        <v>74</v>
      </c>
      <c r="N344" s="121" t="str">
        <f t="shared" ref="N344:N352" si="312">IFERROR(IF(OR(J344="",K344=""),"",IF(J344="NO","NO",K344)),"")</f>
        <v>NO</v>
      </c>
      <c r="O344" s="121" t="str">
        <f>IFERROR(IF(OR(J344="",L344=""),"",IF(J344="NO","NO",L344)),"")</f>
        <v>NO</v>
      </c>
      <c r="P344" s="121" t="str">
        <f t="shared" ref="P344:P352" si="313">IFERROR(IF(OR(J344="",M344=""),"",IF(J344="NO","NO",M344)),"")</f>
        <v>SI</v>
      </c>
      <c r="Q344" s="121" t="str">
        <f t="shared" si="294"/>
        <v>SI</v>
      </c>
      <c r="R344" s="322">
        <v>0.32</v>
      </c>
      <c r="S344" s="323">
        <v>42254</v>
      </c>
      <c r="T344" s="323">
        <v>44468</v>
      </c>
      <c r="U344" s="121">
        <f t="shared" ref="U344:U352" si="314">IFERROR(IF(T344="","",YEAR(T344)),"")</f>
        <v>2021</v>
      </c>
      <c r="V344" s="124">
        <f>IF(U344=2023,1160000,IFERROR(INDEX(SMMLV!$B$2:$B$101,MATCH(U344,SMMLV!$A$2:$A$101,0)),""))</f>
        <v>908526</v>
      </c>
      <c r="W344" s="342" t="s">
        <v>670</v>
      </c>
      <c r="X344" s="286" t="s">
        <v>1338</v>
      </c>
      <c r="Y344" s="286">
        <v>107</v>
      </c>
      <c r="Z344" s="509" t="s">
        <v>74</v>
      </c>
      <c r="AA344" s="510"/>
      <c r="AB344" s="511"/>
      <c r="AC344" s="125" t="str">
        <f t="shared" ref="AC344:AC352" si="315">IFERROR(IF(Y344="","",IF(ISNUMBER(Y344),IF(COUNTIF(Z344,"SI")&gt;0,"SI","NO"),Y344)),"")</f>
        <v>SI</v>
      </c>
      <c r="AD344" s="117" t="str">
        <f t="shared" si="297"/>
        <v>N/A</v>
      </c>
      <c r="AE344" s="343">
        <v>163927.93</v>
      </c>
      <c r="AF344" s="117">
        <f t="shared" si="288"/>
        <v>52456.937599999997</v>
      </c>
      <c r="AG344" s="470"/>
      <c r="AH344" s="470"/>
      <c r="AI344" s="125" t="str">
        <f t="shared" si="289"/>
        <v>CUMPLE</v>
      </c>
      <c r="AJ344" s="470"/>
      <c r="AK344" s="470"/>
      <c r="AL344" s="472"/>
      <c r="AM344" s="496"/>
      <c r="AN344" s="284" t="s">
        <v>75</v>
      </c>
      <c r="AO344" s="507"/>
      <c r="AP344" s="286" t="s">
        <v>74</v>
      </c>
      <c r="AQ344" s="490"/>
      <c r="AR344" s="522"/>
      <c r="AS344" s="519"/>
      <c r="AT344" s="204"/>
      <c r="AU344" s="671"/>
      <c r="AV344" s="671"/>
      <c r="AW344" s="561"/>
      <c r="AX344" s="561"/>
      <c r="AY344" s="19"/>
      <c r="CB344" s="29" t="str">
        <f>IFERROR(IF(COUNTIF(AF343:AF352,"")=10,"",IF(COUNTIF(E343:E352,"N/A")&gt;0,IF(AF344&gt;=CMEMM1,AF344,0),"N/A")),"")</f>
        <v>N/A</v>
      </c>
      <c r="CC344" s="4"/>
      <c r="CD344" s="4">
        <f>IFERROR(IF(COUNTIF(AF343:AF352,"")=10,"",IF(AF344="","",IF(AF344&gt;=CMEMM1,1,0))),"")</f>
        <v>1</v>
      </c>
      <c r="CE344" s="4" t="str">
        <f>B343&amp;"-0"&amp;2</f>
        <v>P35-02</v>
      </c>
      <c r="CF344" s="4" t="str">
        <f>IFERROR(INDEX('DESEMPATE Y DISCAPACIDAD'!$D$3:$D$450,MATCH(CE344,'DESEMPATE Y DISCAPACIDAD'!$C$3:$C$450,0)),"")</f>
        <v>TRANSCONSULT SUCURSAL COLOMBIA</v>
      </c>
      <c r="CG344" s="4">
        <f>IF(OR(CE344="",CF344=""),"",SUMIF(D343:D352,CF344,CD343:CD352))</f>
        <v>1</v>
      </c>
      <c r="CH344" s="4" t="str">
        <f t="shared" si="264"/>
        <v>CUMPLE</v>
      </c>
      <c r="CI344" s="4">
        <f t="shared" ref="CI344:CI352" si="316">IF(CF344="","",IF(ISTEXT(CF344),1,0))</f>
        <v>1</v>
      </c>
      <c r="CJ344" s="4"/>
      <c r="CK344" s="4"/>
      <c r="CL344" s="4">
        <f t="shared" si="290"/>
        <v>0</v>
      </c>
      <c r="CM344" s="4">
        <f t="shared" si="291"/>
        <v>0</v>
      </c>
      <c r="CN344" s="4" t="str">
        <f t="shared" ref="CN344:CN352" si="317">IF(OR(CL344="",CM344=""),"",IF(AND(CL344=0,CM344=0),"N/A",IF(AND(CL344=1,CM344=0),"COND. A",IF(AND(CL344=0,CM344=1),"COND. B",IF(AND(CL344=1,CM344=1),"COND. A Y B","")))))</f>
        <v>N/A</v>
      </c>
      <c r="CO344" s="4"/>
      <c r="CP344" s="4"/>
      <c r="CQ344" s="29" t="str">
        <f t="shared" si="310"/>
        <v>N/A</v>
      </c>
      <c r="CR344" s="29">
        <f t="shared" si="311"/>
        <v>52456.937599999997</v>
      </c>
      <c r="CS344" s="4"/>
    </row>
    <row r="345" spans="1:97" ht="40" customHeight="1">
      <c r="B345" s="481"/>
      <c r="C345" s="118" t="s">
        <v>430</v>
      </c>
      <c r="D345" s="126" t="str">
        <f>+IFERROR(INDEX('DESEMPATE Y DISCAPACIDAD'!$D$3:$D$450,MATCH(C345,'DESEMPATE Y DISCAPACIDAD'!$C$3:$C$450,0)),"")</f>
        <v>COPEBA S.A.S.</v>
      </c>
      <c r="E345" s="127" t="str">
        <f>IFERROR(IF(D345="","",IF(VLOOKUP(D345,'DESEMPATE Y DISCAPACIDAD'!D$3:$E$450,2,FALSE)=1,"N/A",IF(VLOOKUP(D345,'DESEMPATE Y DISCAPACIDAD'!D$3:$F$450,3,FALSE)="X","SI","NO"))),"")</f>
        <v>NO</v>
      </c>
      <c r="F345" s="284" t="s">
        <v>1318</v>
      </c>
      <c r="G345" s="284" t="s">
        <v>699</v>
      </c>
      <c r="H345" s="286" t="s">
        <v>1319</v>
      </c>
      <c r="I345" s="290" t="s">
        <v>1320</v>
      </c>
      <c r="J345" s="286" t="s">
        <v>74</v>
      </c>
      <c r="K345" s="286" t="s">
        <v>74</v>
      </c>
      <c r="L345" s="286" t="s">
        <v>75</v>
      </c>
      <c r="M345" s="286" t="s">
        <v>74</v>
      </c>
      <c r="N345" s="125" t="str">
        <f t="shared" si="312"/>
        <v>SI</v>
      </c>
      <c r="O345" s="125" t="str">
        <f>IFERROR(IF(OR(J345="",L345=""),"",IF(J345="NO","NO",L345)),"")</f>
        <v>NO</v>
      </c>
      <c r="P345" s="125" t="str">
        <f t="shared" si="313"/>
        <v>SI</v>
      </c>
      <c r="Q345" s="125" t="str">
        <f t="shared" si="294"/>
        <v>SI</v>
      </c>
      <c r="R345" s="316">
        <v>0.4</v>
      </c>
      <c r="S345" s="317">
        <v>41639</v>
      </c>
      <c r="T345" s="317">
        <v>43809</v>
      </c>
      <c r="U345" s="125">
        <f t="shared" si="314"/>
        <v>2019</v>
      </c>
      <c r="V345" s="117">
        <f>IF(U345=2023,1160000,IFERROR(INDEX(SMMLV!$B$2:$B$101,MATCH(U345,SMMLV!$A$2:$A$101,0)),""))</f>
        <v>828116</v>
      </c>
      <c r="W345" s="343" t="s">
        <v>670</v>
      </c>
      <c r="X345" s="286" t="s">
        <v>671</v>
      </c>
      <c r="Y345" s="286">
        <v>54</v>
      </c>
      <c r="Z345" s="509" t="s">
        <v>74</v>
      </c>
      <c r="AA345" s="510"/>
      <c r="AB345" s="511"/>
      <c r="AC345" s="125" t="str">
        <f t="shared" si="315"/>
        <v>SI</v>
      </c>
      <c r="AD345" s="117" t="str">
        <f t="shared" si="297"/>
        <v>N/A</v>
      </c>
      <c r="AE345" s="343">
        <v>17815.96</v>
      </c>
      <c r="AF345" s="117">
        <f t="shared" si="288"/>
        <v>7126.384</v>
      </c>
      <c r="AG345" s="470"/>
      <c r="AH345" s="470"/>
      <c r="AI345" s="125" t="str">
        <f t="shared" si="289"/>
        <v>CUMPLE</v>
      </c>
      <c r="AJ345" s="470"/>
      <c r="AK345" s="470"/>
      <c r="AL345" s="472"/>
      <c r="AM345" s="496"/>
      <c r="AN345" s="284" t="s">
        <v>75</v>
      </c>
      <c r="AO345" s="507"/>
      <c r="AP345" s="286" t="s">
        <v>74</v>
      </c>
      <c r="AQ345" s="490"/>
      <c r="AR345" s="522"/>
      <c r="AS345" s="519"/>
      <c r="AT345" s="204"/>
      <c r="AU345" s="671"/>
      <c r="AV345" s="671"/>
      <c r="AW345" s="561"/>
      <c r="AX345" s="561"/>
      <c r="AY345" s="19"/>
      <c r="CB345" s="29" t="str">
        <f>IFERROR(IF(COUNTIF(AF343:AF352,"")=10,"",IF(COUNTIF(E343:E352,"N/A")&gt;0,IF(AF345&gt;=CMEMM1,AF345,0),"N/A")),"")</f>
        <v>N/A</v>
      </c>
      <c r="CC345" s="4"/>
      <c r="CD345" s="4">
        <f>IFERROR(IF(COUNTIF(AF343:AF352,"")=10,"",IF(AF345="","",IF(AF345&gt;=CMEMM1,1,0))),"")</f>
        <v>1</v>
      </c>
      <c r="CE345" s="4" t="str">
        <f>B343&amp;"-0"&amp;3</f>
        <v>P35-03</v>
      </c>
      <c r="CF345" s="4" t="str">
        <f>IFERROR(INDEX('DESEMPATE Y DISCAPACIDAD'!$D$3:$D$450,MATCH(CE345,'DESEMPATE Y DISCAPACIDAD'!$C$3:$C$450,0)),"")</f>
        <v>COPEBA S.A.S.</v>
      </c>
      <c r="CG345" s="4">
        <f>IF(OR(CE345="",CF345=""),"",SUMIF(D343:D352,CF345,CD343:CD352))</f>
        <v>1</v>
      </c>
      <c r="CH345" s="4" t="str">
        <f t="shared" si="264"/>
        <v>CUMPLE</v>
      </c>
      <c r="CI345" s="4">
        <f t="shared" si="316"/>
        <v>1</v>
      </c>
      <c r="CJ345" s="4"/>
      <c r="CK345" s="4"/>
      <c r="CL345" s="4">
        <f t="shared" si="290"/>
        <v>1</v>
      </c>
      <c r="CM345" s="4">
        <f t="shared" si="291"/>
        <v>0</v>
      </c>
      <c r="CN345" s="4" t="str">
        <f t="shared" si="317"/>
        <v>COND. A</v>
      </c>
      <c r="CO345" s="4"/>
      <c r="CP345" s="4"/>
      <c r="CQ345" s="29" t="str">
        <f t="shared" si="310"/>
        <v>N/A</v>
      </c>
      <c r="CR345" s="29">
        <f t="shared" si="311"/>
        <v>7126.384</v>
      </c>
      <c r="CS345" s="4"/>
    </row>
    <row r="346" spans="1:97" ht="40" customHeight="1">
      <c r="B346" s="481"/>
      <c r="C346" s="118" t="s">
        <v>428</v>
      </c>
      <c r="D346" s="126" t="str">
        <f>+IFERROR(INDEX('DESEMPATE Y DISCAPACIDAD'!$D$3:$D$450,MATCH(C346,'DESEMPATE Y DISCAPACIDAD'!$C$3:$C$450,0)),"")</f>
        <v>SESAC S. A.</v>
      </c>
      <c r="E346" s="127" t="str">
        <f>IFERROR(IF(D346="","",IF(VLOOKUP(D346,'DESEMPATE Y DISCAPACIDAD'!D$3:$E$450,2,FALSE)=1,"N/A",IF(VLOOKUP(D346,'DESEMPATE Y DISCAPACIDAD'!D$3:$F$450,3,FALSE)="X","SI","NO"))),"")</f>
        <v>NO</v>
      </c>
      <c r="F346" s="282" t="s">
        <v>698</v>
      </c>
      <c r="G346" s="284" t="s">
        <v>699</v>
      </c>
      <c r="H346" s="286" t="s">
        <v>1321</v>
      </c>
      <c r="I346" s="290" t="s">
        <v>1322</v>
      </c>
      <c r="J346" s="286" t="s">
        <v>74</v>
      </c>
      <c r="K346" s="286" t="s">
        <v>74</v>
      </c>
      <c r="L346" s="286" t="s">
        <v>74</v>
      </c>
      <c r="M346" s="286" t="s">
        <v>74</v>
      </c>
      <c r="N346" s="125" t="str">
        <f t="shared" si="312"/>
        <v>SI</v>
      </c>
      <c r="O346" s="125" t="str">
        <f>IFERROR(IF(OR(J346="",L346=""),"",IF(J346="NO","NO",L346)),"")</f>
        <v>SI</v>
      </c>
      <c r="P346" s="125" t="str">
        <f t="shared" si="313"/>
        <v>SI</v>
      </c>
      <c r="Q346" s="125" t="str">
        <f t="shared" si="294"/>
        <v>SI</v>
      </c>
      <c r="R346" s="316">
        <v>0.33329999999999999</v>
      </c>
      <c r="S346" s="317">
        <v>41099</v>
      </c>
      <c r="T346" s="317">
        <v>41463</v>
      </c>
      <c r="U346" s="125">
        <f t="shared" si="314"/>
        <v>2013</v>
      </c>
      <c r="V346" s="117">
        <f>IF(U346=2023,1160000,IFERROR(INDEX(SMMLV!$B$2:$B$101,MATCH(U346,SMMLV!$A$2:$A$101,0)),""))</f>
        <v>589500</v>
      </c>
      <c r="W346" s="343" t="s">
        <v>670</v>
      </c>
      <c r="X346" s="286" t="s">
        <v>671</v>
      </c>
      <c r="Y346" s="286">
        <v>69</v>
      </c>
      <c r="Z346" s="509" t="s">
        <v>74</v>
      </c>
      <c r="AA346" s="510"/>
      <c r="AB346" s="511"/>
      <c r="AC346" s="125" t="str">
        <f t="shared" si="315"/>
        <v>SI</v>
      </c>
      <c r="AD346" s="117" t="str">
        <f t="shared" si="297"/>
        <v>N/A</v>
      </c>
      <c r="AE346" s="343">
        <v>15500.37</v>
      </c>
      <c r="AF346" s="117">
        <f t="shared" si="288"/>
        <v>5166.2733209999997</v>
      </c>
      <c r="AG346" s="470"/>
      <c r="AH346" s="470"/>
      <c r="AI346" s="125" t="str">
        <f t="shared" si="289"/>
        <v>CUMPLE</v>
      </c>
      <c r="AJ346" s="470"/>
      <c r="AK346" s="470"/>
      <c r="AL346" s="472"/>
      <c r="AM346" s="496"/>
      <c r="AN346" s="284" t="s">
        <v>75</v>
      </c>
      <c r="AO346" s="507"/>
      <c r="AP346" s="286" t="s">
        <v>74</v>
      </c>
      <c r="AQ346" s="490"/>
      <c r="AR346" s="522"/>
      <c r="AS346" s="519"/>
      <c r="AT346" s="204"/>
      <c r="AU346" s="671"/>
      <c r="AV346" s="671"/>
      <c r="AW346" s="561"/>
      <c r="AX346" s="561"/>
      <c r="AY346" s="19"/>
      <c r="CB346" s="29" t="str">
        <f>IFERROR(IF(COUNTIF(AF343:AF352,"")=10,"",IF(COUNTIF(E343:E352,"N/A")&gt;0,IF(AF346&gt;=CMEMM1,AF346,0),"N/A")),"")</f>
        <v>N/A</v>
      </c>
      <c r="CC346" s="4"/>
      <c r="CD346" s="4">
        <f>IFERROR(IF(COUNTIF(AF343:AF352,"")=10,"",IF(AF346="","",IF(AF346&gt;=CMEMM1,1,0))),"")</f>
        <v>1</v>
      </c>
      <c r="CE346" s="4" t="str">
        <f>B343&amp;"-0"&amp;4</f>
        <v>P35-04</v>
      </c>
      <c r="CF346" s="4">
        <f>IFERROR(INDEX('DESEMPATE Y DISCAPACIDAD'!$D$3:$D$450,MATCH(CE346,'DESEMPATE Y DISCAPACIDAD'!$C$3:$C$450,0)),"")</f>
        <v>0</v>
      </c>
      <c r="CG346" s="4">
        <f>IF(OR(CE346="",CF346=""),"",SUMIF(D343:D352,CF346,CD343:CD352))</f>
        <v>0</v>
      </c>
      <c r="CH346" s="4" t="str">
        <f t="shared" si="264"/>
        <v>NO CUMPLE</v>
      </c>
      <c r="CI346" s="4">
        <f t="shared" si="316"/>
        <v>0</v>
      </c>
      <c r="CJ346" s="4"/>
      <c r="CK346" s="4"/>
      <c r="CL346" s="4">
        <f t="shared" si="290"/>
        <v>1</v>
      </c>
      <c r="CM346" s="4">
        <f t="shared" si="291"/>
        <v>1</v>
      </c>
      <c r="CN346" s="4" t="str">
        <f t="shared" si="317"/>
        <v>COND. A Y B</v>
      </c>
      <c r="CO346" s="4"/>
      <c r="CP346" s="4"/>
      <c r="CQ346" s="29" t="str">
        <f t="shared" si="310"/>
        <v>N/A</v>
      </c>
      <c r="CR346" s="29">
        <f t="shared" si="311"/>
        <v>5166.2733209999997</v>
      </c>
      <c r="CS346" s="4"/>
    </row>
    <row r="347" spans="1:97" ht="40" customHeight="1">
      <c r="B347" s="481"/>
      <c r="C347" s="118" t="s">
        <v>428</v>
      </c>
      <c r="D347" s="126" t="str">
        <f>+IFERROR(INDEX('DESEMPATE Y DISCAPACIDAD'!$D$3:$D$450,MATCH(C347,'DESEMPATE Y DISCAPACIDAD'!$C$3:$C$450,0)),"")</f>
        <v>SESAC S. A.</v>
      </c>
      <c r="E347" s="127" t="str">
        <f>IFERROR(IF(D347="","",IF(VLOOKUP(D347,'DESEMPATE Y DISCAPACIDAD'!D$3:$E$450,2,FALSE)=1,"N/A",IF(VLOOKUP(D347,'DESEMPATE Y DISCAPACIDAD'!D$3:$F$450,3,FALSE)="X","SI","NO"))),"")</f>
        <v>NO</v>
      </c>
      <c r="F347" s="286" t="s">
        <v>1323</v>
      </c>
      <c r="G347" s="284" t="s">
        <v>699</v>
      </c>
      <c r="H347" s="286" t="s">
        <v>1324</v>
      </c>
      <c r="I347" s="290" t="s">
        <v>1325</v>
      </c>
      <c r="J347" s="286" t="s">
        <v>74</v>
      </c>
      <c r="K347" s="286" t="s">
        <v>74</v>
      </c>
      <c r="L347" s="286" t="s">
        <v>74</v>
      </c>
      <c r="M347" s="286" t="s">
        <v>74</v>
      </c>
      <c r="N347" s="125" t="str">
        <f t="shared" si="312"/>
        <v>SI</v>
      </c>
      <c r="O347" s="125" t="str">
        <f t="shared" ref="O347:O352" si="318">IFERROR(IF(OR(J347="",L347=""),"",IF(J347="NO","NO",L347)),"")</f>
        <v>SI</v>
      </c>
      <c r="P347" s="125" t="str">
        <f t="shared" si="313"/>
        <v>SI</v>
      </c>
      <c r="Q347" s="125" t="str">
        <f t="shared" si="294"/>
        <v>SI</v>
      </c>
      <c r="R347" s="316">
        <v>1</v>
      </c>
      <c r="S347" s="317">
        <v>38937</v>
      </c>
      <c r="T347" s="317">
        <v>40305</v>
      </c>
      <c r="U347" s="125">
        <f t="shared" si="314"/>
        <v>2010</v>
      </c>
      <c r="V347" s="117">
        <f>IF(U347=2023,1160000,IFERROR(INDEX(SMMLV!$B$2:$B$101,MATCH(U347,SMMLV!$A$2:$A$101,0)),""))</f>
        <v>515000</v>
      </c>
      <c r="W347" s="343" t="s">
        <v>670</v>
      </c>
      <c r="X347" s="286" t="s">
        <v>671</v>
      </c>
      <c r="Y347" s="286">
        <v>8</v>
      </c>
      <c r="Z347" s="509" t="s">
        <v>74</v>
      </c>
      <c r="AA347" s="510"/>
      <c r="AB347" s="511"/>
      <c r="AC347" s="125" t="str">
        <f t="shared" si="315"/>
        <v>SI</v>
      </c>
      <c r="AD347" s="117" t="str">
        <f t="shared" si="297"/>
        <v>N/A</v>
      </c>
      <c r="AE347" s="343">
        <v>4929</v>
      </c>
      <c r="AF347" s="117">
        <f t="shared" si="288"/>
        <v>4929</v>
      </c>
      <c r="AG347" s="470"/>
      <c r="AH347" s="470"/>
      <c r="AI347" s="125" t="str">
        <f t="shared" si="289"/>
        <v>CUMPLE</v>
      </c>
      <c r="AJ347" s="470"/>
      <c r="AK347" s="470"/>
      <c r="AL347" s="472"/>
      <c r="AM347" s="496"/>
      <c r="AN347" s="284" t="s">
        <v>75</v>
      </c>
      <c r="AO347" s="507"/>
      <c r="AP347" s="286" t="s">
        <v>74</v>
      </c>
      <c r="AQ347" s="490"/>
      <c r="AR347" s="522"/>
      <c r="AS347" s="519"/>
      <c r="AT347" s="204"/>
      <c r="AU347" s="671"/>
      <c r="AV347" s="671"/>
      <c r="AW347" s="561"/>
      <c r="AX347" s="561"/>
      <c r="AY347" s="19"/>
      <c r="CB347" s="29" t="str">
        <f>IFERROR(IF(COUNTIF(AF343:AF352,"")=10,"",IF(COUNTIF(E343:E352,"N/A")&gt;0,IF(AF347&gt;=CMEMM1,AF347,0),"N/A")),"")</f>
        <v>N/A</v>
      </c>
      <c r="CC347" s="4"/>
      <c r="CD347" s="4">
        <f>IFERROR(IF(COUNTIF(AF343:AF352,"")=10,"",IF(AF347="","",IF(AF347&gt;=CMEMM1,1,0))),"")</f>
        <v>1</v>
      </c>
      <c r="CE347" s="4" t="str">
        <f>B343&amp;"-0"&amp;5</f>
        <v>P35-05</v>
      </c>
      <c r="CF347" s="4">
        <f>IFERROR(INDEX('DESEMPATE Y DISCAPACIDAD'!$D$3:$D$450,MATCH(CE347,'DESEMPATE Y DISCAPACIDAD'!$C$3:$C$450,0)),"")</f>
        <v>0</v>
      </c>
      <c r="CG347" s="4">
        <f>IF(OR(CE347="",CF347=""),"",SUMIF(D343:D352,CF347,CD343:CD352))</f>
        <v>0</v>
      </c>
      <c r="CH347" s="4" t="str">
        <f t="shared" si="264"/>
        <v>NO CUMPLE</v>
      </c>
      <c r="CI347" s="4">
        <f t="shared" si="316"/>
        <v>0</v>
      </c>
      <c r="CJ347" s="4"/>
      <c r="CK347" s="4"/>
      <c r="CL347" s="4">
        <f t="shared" si="290"/>
        <v>1</v>
      </c>
      <c r="CM347" s="4">
        <f t="shared" si="291"/>
        <v>1</v>
      </c>
      <c r="CN347" s="4" t="str">
        <f t="shared" si="317"/>
        <v>COND. A Y B</v>
      </c>
      <c r="CO347" s="4"/>
      <c r="CP347" s="4"/>
      <c r="CQ347" s="29" t="str">
        <f t="shared" si="310"/>
        <v>N/A</v>
      </c>
      <c r="CR347" s="29">
        <f t="shared" si="311"/>
        <v>4929</v>
      </c>
      <c r="CS347" s="4"/>
    </row>
    <row r="348" spans="1:97" ht="40" customHeight="1">
      <c r="B348" s="481"/>
      <c r="C348" s="118"/>
      <c r="D348" s="126" t="str">
        <f>+IFERROR(INDEX('DESEMPATE Y DISCAPACIDAD'!$D$3:$D$450,MATCH(C348,'DESEMPATE Y DISCAPACIDAD'!$C$3:$C$450,0)),"")</f>
        <v/>
      </c>
      <c r="E348" s="127" t="str">
        <f>IFERROR(IF(D348="","",IF(VLOOKUP(D348,'DESEMPATE Y DISCAPACIDAD'!D$3:$E$450,2,FALSE)=1,"N/A",IF(VLOOKUP(D348,'DESEMPATE Y DISCAPACIDAD'!D$3:$F$450,3,FALSE)="X","SI","NO"))),"")</f>
        <v/>
      </c>
      <c r="F348" s="286"/>
      <c r="G348" s="286"/>
      <c r="H348" s="286"/>
      <c r="I348" s="290"/>
      <c r="J348" s="286"/>
      <c r="K348" s="286"/>
      <c r="L348" s="286"/>
      <c r="M348" s="286"/>
      <c r="N348" s="125" t="str">
        <f t="shared" si="312"/>
        <v/>
      </c>
      <c r="O348" s="125" t="str">
        <f t="shared" si="318"/>
        <v/>
      </c>
      <c r="P348" s="125" t="str">
        <f t="shared" si="313"/>
        <v/>
      </c>
      <c r="Q348" s="125" t="str">
        <f t="shared" si="294"/>
        <v/>
      </c>
      <c r="R348" s="316"/>
      <c r="S348" s="317"/>
      <c r="T348" s="317"/>
      <c r="U348" s="125" t="str">
        <f t="shared" si="314"/>
        <v/>
      </c>
      <c r="V348" s="117" t="str">
        <f>IF(U348=2023,1160000,IFERROR(INDEX(SMMLV!$B$2:$B$101,MATCH(U348,SMMLV!$A$2:$A$101,0)),""))</f>
        <v/>
      </c>
      <c r="W348" s="343"/>
      <c r="X348" s="286"/>
      <c r="Y348" s="286"/>
      <c r="Z348" s="509"/>
      <c r="AA348" s="510"/>
      <c r="AB348" s="511"/>
      <c r="AC348" s="125" t="str">
        <f t="shared" si="315"/>
        <v/>
      </c>
      <c r="AD348" s="117" t="str">
        <f t="shared" si="297"/>
        <v/>
      </c>
      <c r="AE348" s="343" t="str">
        <f t="shared" si="301"/>
        <v/>
      </c>
      <c r="AF348" s="117" t="str">
        <f t="shared" si="288"/>
        <v/>
      </c>
      <c r="AG348" s="470"/>
      <c r="AH348" s="470"/>
      <c r="AI348" s="125" t="str">
        <f t="shared" si="289"/>
        <v/>
      </c>
      <c r="AJ348" s="470"/>
      <c r="AK348" s="470"/>
      <c r="AL348" s="472"/>
      <c r="AM348" s="496"/>
      <c r="AN348" s="284"/>
      <c r="AO348" s="507"/>
      <c r="AP348" s="286"/>
      <c r="AQ348" s="490"/>
      <c r="AR348" s="522"/>
      <c r="AS348" s="519"/>
      <c r="AT348" s="204"/>
      <c r="AU348" s="671"/>
      <c r="AV348" s="671"/>
      <c r="AW348" s="561"/>
      <c r="AX348" s="561"/>
      <c r="AY348" s="19"/>
      <c r="CB348" s="29" t="str">
        <f>IFERROR(IF(COUNTIF(AF343:AF352,"")=10,"",IF(COUNTIF(E343:E352,"N/A")&gt;0,IF(AF348&gt;=CMEMM1,AF348,0),"N/A")),"")</f>
        <v>N/A</v>
      </c>
      <c r="CC348" s="4"/>
      <c r="CD348" s="4" t="str">
        <f>IFERROR(IF(COUNTIF(AF343:AF352,"")=10,"",IF(AF348="","",IF(AF348&gt;=CMEMM1,1,0))),"")</f>
        <v/>
      </c>
      <c r="CE348" s="4" t="str">
        <f>B343&amp;"-0"&amp;6</f>
        <v>P35-06</v>
      </c>
      <c r="CF348" s="4">
        <f>IFERROR(INDEX('DESEMPATE Y DISCAPACIDAD'!$D$3:$D$450,MATCH(CE348,'DESEMPATE Y DISCAPACIDAD'!$C$3:$C$450,0)),"")</f>
        <v>0</v>
      </c>
      <c r="CG348" s="4">
        <f>IF(OR(CE348="",CF348=""),"",SUMIF(D343:D352,CF348,CD343:CD352))</f>
        <v>0</v>
      </c>
      <c r="CH348" s="4" t="str">
        <f t="shared" si="264"/>
        <v>NO CUMPLE</v>
      </c>
      <c r="CI348" s="4">
        <f t="shared" si="316"/>
        <v>0</v>
      </c>
      <c r="CJ348" s="4"/>
      <c r="CK348" s="4"/>
      <c r="CL348" s="4" t="str">
        <f t="shared" si="290"/>
        <v/>
      </c>
      <c r="CM348" s="4" t="str">
        <f t="shared" si="291"/>
        <v/>
      </c>
      <c r="CN348" s="4" t="str">
        <f t="shared" si="317"/>
        <v/>
      </c>
      <c r="CO348" s="4"/>
      <c r="CP348" s="4"/>
      <c r="CQ348" s="29" t="str">
        <f t="shared" si="310"/>
        <v/>
      </c>
      <c r="CR348" s="29" t="str">
        <f t="shared" si="311"/>
        <v/>
      </c>
      <c r="CS348" s="4"/>
    </row>
    <row r="349" spans="1:97" ht="40" customHeight="1">
      <c r="B349" s="481"/>
      <c r="C349" s="118"/>
      <c r="D349" s="126" t="str">
        <f>+IFERROR(INDEX('DESEMPATE Y DISCAPACIDAD'!$D$3:$D$450,MATCH(C349,'DESEMPATE Y DISCAPACIDAD'!$C$3:$C$450,0)),"")</f>
        <v/>
      </c>
      <c r="E349" s="127" t="str">
        <f>IFERROR(IF(D349="","",IF(VLOOKUP(D349,'DESEMPATE Y DISCAPACIDAD'!D$3:$E$450,2,FALSE)=1,"N/A",IF(VLOOKUP(D349,'DESEMPATE Y DISCAPACIDAD'!D$3:$F$450,3,FALSE)="X","SI","NO"))),"")</f>
        <v/>
      </c>
      <c r="F349" s="286"/>
      <c r="G349" s="286"/>
      <c r="H349" s="286"/>
      <c r="I349" s="290"/>
      <c r="J349" s="286"/>
      <c r="K349" s="286"/>
      <c r="L349" s="286"/>
      <c r="M349" s="286"/>
      <c r="N349" s="125" t="str">
        <f t="shared" si="312"/>
        <v/>
      </c>
      <c r="O349" s="125" t="str">
        <f t="shared" si="318"/>
        <v/>
      </c>
      <c r="P349" s="125" t="str">
        <f t="shared" si="313"/>
        <v/>
      </c>
      <c r="Q349" s="125" t="str">
        <f t="shared" si="294"/>
        <v/>
      </c>
      <c r="R349" s="316"/>
      <c r="S349" s="317"/>
      <c r="T349" s="317"/>
      <c r="U349" s="125" t="str">
        <f t="shared" si="314"/>
        <v/>
      </c>
      <c r="V349" s="117" t="str">
        <f>IF(U349=2023,1160000,IFERROR(INDEX(SMMLV!$B$2:$B$101,MATCH(U349,SMMLV!$A$2:$A$101,0)),""))</f>
        <v/>
      </c>
      <c r="W349" s="343"/>
      <c r="X349" s="286"/>
      <c r="Y349" s="286"/>
      <c r="Z349" s="509"/>
      <c r="AA349" s="510"/>
      <c r="AB349" s="511"/>
      <c r="AC349" s="125" t="str">
        <f t="shared" si="315"/>
        <v/>
      </c>
      <c r="AD349" s="117" t="str">
        <f t="shared" si="297"/>
        <v/>
      </c>
      <c r="AE349" s="343" t="str">
        <f t="shared" si="301"/>
        <v/>
      </c>
      <c r="AF349" s="117" t="str">
        <f t="shared" si="288"/>
        <v/>
      </c>
      <c r="AG349" s="470"/>
      <c r="AH349" s="470"/>
      <c r="AI349" s="125" t="str">
        <f t="shared" si="289"/>
        <v/>
      </c>
      <c r="AJ349" s="470"/>
      <c r="AK349" s="470"/>
      <c r="AL349" s="472"/>
      <c r="AM349" s="496"/>
      <c r="AN349" s="284"/>
      <c r="AO349" s="507"/>
      <c r="AP349" s="286"/>
      <c r="AQ349" s="490"/>
      <c r="AR349" s="522"/>
      <c r="AS349" s="519"/>
      <c r="AT349" s="204"/>
      <c r="AU349" s="671"/>
      <c r="AV349" s="671"/>
      <c r="AW349" s="561"/>
      <c r="AX349" s="561"/>
      <c r="AY349" s="19"/>
      <c r="CB349" s="29" t="str">
        <f>IFERROR(IF(COUNTIF(AF343:AF352,"")=10,"",IF(COUNTIF(E343:E352,"N/A")&gt;0,IF(AF349&gt;=CMEMM1,AF349,0),"N/A")),"")</f>
        <v>N/A</v>
      </c>
      <c r="CC349" s="4"/>
      <c r="CD349" s="4" t="str">
        <f>IFERROR(IF(COUNTIF(AF343:AF352,"")=10,"",IF(AF349="","",IF(AF349&gt;=CMEMM1,1,0))),"")</f>
        <v/>
      </c>
      <c r="CE349" s="4" t="str">
        <f>B343&amp;"-0"&amp;7</f>
        <v>P35-07</v>
      </c>
      <c r="CF349" s="4" t="str">
        <f>IFERROR(INDEX('DESEMPATE Y DISCAPACIDAD'!$D$3:$D$450,MATCH(CE349,'DESEMPATE Y DISCAPACIDAD'!$C$3:$C$450,0)),"")</f>
        <v/>
      </c>
      <c r="CG349" s="4" t="str">
        <f>IF(OR(CE349="",CF349=""),"",SUMIF(D343:D352,CF349,CD343:CD352))</f>
        <v/>
      </c>
      <c r="CH349" s="4" t="str">
        <f t="shared" si="264"/>
        <v/>
      </c>
      <c r="CI349" s="4" t="str">
        <f t="shared" si="316"/>
        <v/>
      </c>
      <c r="CJ349" s="4"/>
      <c r="CK349" s="4"/>
      <c r="CL349" s="4" t="str">
        <f t="shared" si="290"/>
        <v/>
      </c>
      <c r="CM349" s="4" t="str">
        <f t="shared" si="291"/>
        <v/>
      </c>
      <c r="CN349" s="4" t="str">
        <f t="shared" si="317"/>
        <v/>
      </c>
      <c r="CO349" s="4"/>
      <c r="CP349" s="4"/>
      <c r="CQ349" s="29" t="str">
        <f t="shared" si="310"/>
        <v/>
      </c>
      <c r="CR349" s="29" t="str">
        <f t="shared" si="311"/>
        <v/>
      </c>
      <c r="CS349" s="4"/>
    </row>
    <row r="350" spans="1:97" ht="40" customHeight="1">
      <c r="B350" s="481"/>
      <c r="C350" s="118"/>
      <c r="D350" s="126" t="str">
        <f>+IFERROR(INDEX('DESEMPATE Y DISCAPACIDAD'!$D$3:$D$450,MATCH(C350,'DESEMPATE Y DISCAPACIDAD'!$C$3:$C$450,0)),"")</f>
        <v/>
      </c>
      <c r="E350" s="127" t="str">
        <f>IFERROR(IF(D350="","",IF(VLOOKUP(D350,'DESEMPATE Y DISCAPACIDAD'!D$3:$E$450,2,FALSE)=1,"N/A",IF(VLOOKUP(D350,'DESEMPATE Y DISCAPACIDAD'!D$3:$F$450,3,FALSE)="X","SI","NO"))),"")</f>
        <v/>
      </c>
      <c r="F350" s="286"/>
      <c r="G350" s="286"/>
      <c r="H350" s="286"/>
      <c r="I350" s="290"/>
      <c r="J350" s="286"/>
      <c r="K350" s="286"/>
      <c r="L350" s="286"/>
      <c r="M350" s="286"/>
      <c r="N350" s="125" t="str">
        <f t="shared" si="312"/>
        <v/>
      </c>
      <c r="O350" s="125" t="str">
        <f t="shared" si="318"/>
        <v/>
      </c>
      <c r="P350" s="125" t="str">
        <f t="shared" si="313"/>
        <v/>
      </c>
      <c r="Q350" s="125" t="str">
        <f t="shared" si="294"/>
        <v/>
      </c>
      <c r="R350" s="316"/>
      <c r="S350" s="317"/>
      <c r="T350" s="317"/>
      <c r="U350" s="125" t="str">
        <f t="shared" si="314"/>
        <v/>
      </c>
      <c r="V350" s="117" t="str">
        <f>IF(U350=2023,1160000,IFERROR(INDEX(SMMLV!$B$2:$B$101,MATCH(U350,SMMLV!$A$2:$A$101,0)),""))</f>
        <v/>
      </c>
      <c r="W350" s="343"/>
      <c r="X350" s="286"/>
      <c r="Y350" s="286"/>
      <c r="Z350" s="509"/>
      <c r="AA350" s="510"/>
      <c r="AB350" s="511"/>
      <c r="AC350" s="125" t="str">
        <f t="shared" si="315"/>
        <v/>
      </c>
      <c r="AD350" s="117" t="str">
        <f t="shared" si="297"/>
        <v/>
      </c>
      <c r="AE350" s="343" t="str">
        <f t="shared" si="301"/>
        <v/>
      </c>
      <c r="AF350" s="117" t="str">
        <f t="shared" si="288"/>
        <v/>
      </c>
      <c r="AG350" s="470"/>
      <c r="AH350" s="470"/>
      <c r="AI350" s="125" t="str">
        <f t="shared" si="289"/>
        <v/>
      </c>
      <c r="AJ350" s="470"/>
      <c r="AK350" s="470"/>
      <c r="AL350" s="472"/>
      <c r="AM350" s="496"/>
      <c r="AN350" s="286"/>
      <c r="AO350" s="507"/>
      <c r="AP350" s="286"/>
      <c r="AQ350" s="490"/>
      <c r="AR350" s="522"/>
      <c r="AS350" s="519"/>
      <c r="AT350" s="204"/>
      <c r="AU350" s="671"/>
      <c r="AV350" s="671"/>
      <c r="AW350" s="561"/>
      <c r="AX350" s="561"/>
      <c r="AY350" s="19"/>
      <c r="CB350" s="29" t="str">
        <f>IFERROR(IF(COUNTIF(AF343:AF352,"")=10,"",IF(COUNTIF(E343:E352,"N/A")&gt;0,IF(AF350&gt;=CMEMM1,AF350,0),"N/A")),"")</f>
        <v>N/A</v>
      </c>
      <c r="CC350" s="4"/>
      <c r="CD350" s="4" t="str">
        <f>IFERROR(IF(COUNTIF(AF343:AF352,"")=10,"",IF(AF350="","",IF(AF350&gt;=CMEMM1,1,0))),"")</f>
        <v/>
      </c>
      <c r="CE350" s="4" t="str">
        <f>B343&amp;"-0"&amp;8</f>
        <v>P35-08</v>
      </c>
      <c r="CF350" s="4" t="str">
        <f>IFERROR(INDEX('DESEMPATE Y DISCAPACIDAD'!$D$3:$D$450,MATCH(CE350,'DESEMPATE Y DISCAPACIDAD'!$C$3:$C$450,0)),"")</f>
        <v/>
      </c>
      <c r="CG350" s="4" t="str">
        <f>IF(OR(CE350="",CF350=""),"",SUMIF(D343:D352,CF350,CD343:CD352))</f>
        <v/>
      </c>
      <c r="CH350" s="4" t="str">
        <f t="shared" si="264"/>
        <v/>
      </c>
      <c r="CI350" s="4" t="str">
        <f t="shared" si="316"/>
        <v/>
      </c>
      <c r="CJ350" s="4"/>
      <c r="CK350" s="4"/>
      <c r="CL350" s="4" t="str">
        <f t="shared" si="290"/>
        <v/>
      </c>
      <c r="CM350" s="4" t="str">
        <f t="shared" si="291"/>
        <v/>
      </c>
      <c r="CN350" s="4" t="str">
        <f t="shared" si="317"/>
        <v/>
      </c>
      <c r="CO350" s="4"/>
      <c r="CP350" s="4"/>
      <c r="CQ350" s="29" t="str">
        <f t="shared" si="310"/>
        <v/>
      </c>
      <c r="CR350" s="29" t="str">
        <f t="shared" si="311"/>
        <v/>
      </c>
      <c r="CS350" s="4"/>
    </row>
    <row r="351" spans="1:97" ht="40" customHeight="1">
      <c r="B351" s="481"/>
      <c r="C351" s="118"/>
      <c r="D351" s="126" t="str">
        <f>+IFERROR(INDEX('DESEMPATE Y DISCAPACIDAD'!$D$3:$D$450,MATCH(C351,'DESEMPATE Y DISCAPACIDAD'!$C$3:$C$450,0)),"")</f>
        <v/>
      </c>
      <c r="E351" s="127" t="str">
        <f>IFERROR(IF(D351="","",IF(VLOOKUP(D351,'DESEMPATE Y DISCAPACIDAD'!D$3:$E$450,2,FALSE)=1,"N/A",IF(VLOOKUP(D351,'DESEMPATE Y DISCAPACIDAD'!D$3:$F$450,3,FALSE)="X","SI","NO"))),"")</f>
        <v/>
      </c>
      <c r="F351" s="286"/>
      <c r="G351" s="286"/>
      <c r="H351" s="286"/>
      <c r="I351" s="290"/>
      <c r="J351" s="286"/>
      <c r="K351" s="286"/>
      <c r="L351" s="286"/>
      <c r="M351" s="286"/>
      <c r="N351" s="125" t="str">
        <f t="shared" si="312"/>
        <v/>
      </c>
      <c r="O351" s="125" t="str">
        <f t="shared" si="318"/>
        <v/>
      </c>
      <c r="P351" s="125" t="str">
        <f t="shared" si="313"/>
        <v/>
      </c>
      <c r="Q351" s="125" t="str">
        <f t="shared" si="294"/>
        <v/>
      </c>
      <c r="R351" s="316"/>
      <c r="S351" s="317"/>
      <c r="T351" s="317"/>
      <c r="U351" s="125" t="str">
        <f t="shared" si="314"/>
        <v/>
      </c>
      <c r="V351" s="117" t="str">
        <f>IF(U351=2023,1160000,IFERROR(INDEX(SMMLV!$B$2:$B$101,MATCH(U351,SMMLV!$A$2:$A$101,0)),""))</f>
        <v/>
      </c>
      <c r="W351" s="343"/>
      <c r="X351" s="286"/>
      <c r="Y351" s="286"/>
      <c r="Z351" s="509"/>
      <c r="AA351" s="510"/>
      <c r="AB351" s="511"/>
      <c r="AC351" s="125" t="str">
        <f t="shared" si="315"/>
        <v/>
      </c>
      <c r="AD351" s="117" t="str">
        <f t="shared" si="297"/>
        <v/>
      </c>
      <c r="AE351" s="343" t="str">
        <f t="shared" si="301"/>
        <v/>
      </c>
      <c r="AF351" s="117" t="str">
        <f t="shared" si="288"/>
        <v/>
      </c>
      <c r="AG351" s="470"/>
      <c r="AH351" s="470"/>
      <c r="AI351" s="125" t="str">
        <f t="shared" si="289"/>
        <v/>
      </c>
      <c r="AJ351" s="470"/>
      <c r="AK351" s="470"/>
      <c r="AL351" s="472"/>
      <c r="AM351" s="496"/>
      <c r="AN351" s="286"/>
      <c r="AO351" s="507"/>
      <c r="AP351" s="286"/>
      <c r="AQ351" s="490"/>
      <c r="AR351" s="522"/>
      <c r="AS351" s="519"/>
      <c r="AT351" s="204"/>
      <c r="AU351" s="671"/>
      <c r="AV351" s="671"/>
      <c r="AW351" s="561"/>
      <c r="AX351" s="561"/>
      <c r="AY351" s="19"/>
      <c r="CB351" s="29" t="str">
        <f>IFERROR(IF(COUNTIF(AF343:AF352,"")=10,"",IF(COUNTIF(E343:E352,"N/A")&gt;0,IF(AF351&gt;=CMEMM1,AF351,0),"N/A")),"")</f>
        <v>N/A</v>
      </c>
      <c r="CC351" s="4"/>
      <c r="CD351" s="4" t="str">
        <f>IFERROR(IF(COUNTIF(AF343:AF352,"")=10,"",IF(AF351="","",IF(AF351&gt;=CMEMM1,1,0))),"")</f>
        <v/>
      </c>
      <c r="CE351" s="4" t="str">
        <f>B343&amp;"-0"&amp;9</f>
        <v>P35-09</v>
      </c>
      <c r="CF351" s="4" t="str">
        <f>IFERROR(INDEX('DESEMPATE Y DISCAPACIDAD'!$D$3:$D$450,MATCH(CE351,'DESEMPATE Y DISCAPACIDAD'!$C$3:$C$450,0)),"")</f>
        <v/>
      </c>
      <c r="CG351" s="4" t="str">
        <f>IF(OR(CE351="",CF351=""),"",SUMIF(D343:D352,CF351,CD343:CD352))</f>
        <v/>
      </c>
      <c r="CH351" s="4" t="str">
        <f t="shared" si="264"/>
        <v/>
      </c>
      <c r="CI351" s="4" t="str">
        <f t="shared" si="316"/>
        <v/>
      </c>
      <c r="CJ351" s="4"/>
      <c r="CK351" s="4"/>
      <c r="CL351" s="4" t="str">
        <f t="shared" si="290"/>
        <v/>
      </c>
      <c r="CM351" s="4" t="str">
        <f t="shared" si="291"/>
        <v/>
      </c>
      <c r="CN351" s="4" t="str">
        <f t="shared" si="317"/>
        <v/>
      </c>
      <c r="CO351" s="4"/>
      <c r="CP351" s="4"/>
      <c r="CQ351" s="29" t="str">
        <f t="shared" si="310"/>
        <v/>
      </c>
      <c r="CR351" s="29" t="str">
        <f t="shared" si="311"/>
        <v/>
      </c>
      <c r="CS351" s="4"/>
    </row>
    <row r="352" spans="1:97" ht="40" customHeight="1" thickBot="1">
      <c r="B352" s="482"/>
      <c r="C352" s="130"/>
      <c r="D352" s="131" t="str">
        <f>+IFERROR(INDEX('DESEMPATE Y DISCAPACIDAD'!$D$3:$D$450,MATCH(C352,'DESEMPATE Y DISCAPACIDAD'!$C$3:$C$450,0)),"")</f>
        <v/>
      </c>
      <c r="E352" s="132" t="str">
        <f>IFERROR(IF(D352="","",IF(VLOOKUP(D352,'DESEMPATE Y DISCAPACIDAD'!D$3:$E$450,2,FALSE)=1,"N/A",IF(VLOOKUP(D352,'DESEMPATE Y DISCAPACIDAD'!D$3:$F$450,3,FALSE)="X","SI","NO"))),"")</f>
        <v/>
      </c>
      <c r="F352" s="291"/>
      <c r="G352" s="291"/>
      <c r="H352" s="291"/>
      <c r="I352" s="292"/>
      <c r="J352" s="291"/>
      <c r="K352" s="291"/>
      <c r="L352" s="291"/>
      <c r="M352" s="291"/>
      <c r="N352" s="133" t="str">
        <f t="shared" si="312"/>
        <v/>
      </c>
      <c r="O352" s="133" t="str">
        <f t="shared" si="318"/>
        <v/>
      </c>
      <c r="P352" s="133" t="str">
        <f t="shared" si="313"/>
        <v/>
      </c>
      <c r="Q352" s="133" t="str">
        <f t="shared" si="294"/>
        <v/>
      </c>
      <c r="R352" s="318"/>
      <c r="S352" s="319"/>
      <c r="T352" s="319"/>
      <c r="U352" s="133" t="str">
        <f t="shared" si="314"/>
        <v/>
      </c>
      <c r="V352" s="136" t="str">
        <f>IF(U352=2023,1160000,IFERROR(INDEX(SMMLV!$B$2:$B$101,MATCH(U352,SMMLV!$A$2:$A$101,0)),""))</f>
        <v/>
      </c>
      <c r="W352" s="344"/>
      <c r="X352" s="291"/>
      <c r="Y352" s="291"/>
      <c r="Z352" s="512"/>
      <c r="AA352" s="513"/>
      <c r="AB352" s="514"/>
      <c r="AC352" s="133" t="str">
        <f t="shared" si="315"/>
        <v/>
      </c>
      <c r="AD352" s="136" t="str">
        <f t="shared" si="297"/>
        <v/>
      </c>
      <c r="AE352" s="344" t="str">
        <f t="shared" si="301"/>
        <v/>
      </c>
      <c r="AF352" s="136" t="str">
        <f t="shared" si="288"/>
        <v/>
      </c>
      <c r="AG352" s="471"/>
      <c r="AH352" s="471"/>
      <c r="AI352" s="133" t="str">
        <f t="shared" si="289"/>
        <v/>
      </c>
      <c r="AJ352" s="471"/>
      <c r="AK352" s="471"/>
      <c r="AL352" s="473"/>
      <c r="AM352" s="497"/>
      <c r="AN352" s="291"/>
      <c r="AO352" s="508"/>
      <c r="AP352" s="291"/>
      <c r="AQ352" s="491"/>
      <c r="AR352" s="523"/>
      <c r="AS352" s="520"/>
      <c r="AT352" s="206"/>
      <c r="AU352" s="672"/>
      <c r="AV352" s="672"/>
      <c r="AW352" s="562"/>
      <c r="AX352" s="562"/>
      <c r="AY352" s="19"/>
      <c r="CB352" s="29" t="str">
        <f>IFERROR(IF(COUNTIF(AF343:AF352,"")=10,"",IF(COUNTIF(E343:E352,"N/A")&gt;0,IF(AF352&gt;=CMEMM1,AF352,0),"N/A")),"")</f>
        <v>N/A</v>
      </c>
      <c r="CC352" s="4"/>
      <c r="CD352" s="4" t="str">
        <f>IFERROR(IF(COUNTIF(AF343:AF352,"")=10,"",IF(AF352="","",IF(AF352&gt;=CMEMM1,1,0))),"")</f>
        <v/>
      </c>
      <c r="CE352" s="4" t="str">
        <f>B343&amp;"-"&amp;10</f>
        <v>P35-10</v>
      </c>
      <c r="CF352" s="4" t="str">
        <f>IFERROR(INDEX('DESEMPATE Y DISCAPACIDAD'!$D$3:$D$450,MATCH(CE352,'DESEMPATE Y DISCAPACIDAD'!$C$3:$C$450,0)),"")</f>
        <v/>
      </c>
      <c r="CG352" s="4" t="str">
        <f>IF(OR(CE352="",CF352=""),"",SUMIF(D343:D352,CF352,CD343:CD352))</f>
        <v/>
      </c>
      <c r="CH352" s="4" t="str">
        <f t="shared" si="264"/>
        <v/>
      </c>
      <c r="CI352" s="4" t="str">
        <f t="shared" si="316"/>
        <v/>
      </c>
      <c r="CJ352" s="4"/>
      <c r="CK352" s="4"/>
      <c r="CL352" s="4" t="str">
        <f t="shared" si="290"/>
        <v/>
      </c>
      <c r="CM352" s="4" t="str">
        <f t="shared" si="291"/>
        <v/>
      </c>
      <c r="CN352" s="4" t="str">
        <f t="shared" si="317"/>
        <v/>
      </c>
      <c r="CO352" s="4"/>
      <c r="CP352" s="4"/>
      <c r="CQ352" s="29" t="str">
        <f t="shared" si="310"/>
        <v/>
      </c>
      <c r="CR352" s="29" t="str">
        <f t="shared" si="311"/>
        <v/>
      </c>
      <c r="CS352" s="4"/>
    </row>
    <row r="353" spans="1:103" ht="40" customHeight="1">
      <c r="A353" s="4" t="str">
        <f>"A"&amp;B353</f>
        <v>AP36</v>
      </c>
      <c r="B353" s="480" t="s">
        <v>297</v>
      </c>
      <c r="C353" s="108" t="s">
        <v>434</v>
      </c>
      <c r="D353" s="119" t="str">
        <f>+IFERROR(INDEX('DESEMPATE Y DISCAPACIDAD'!$D$3:$D$450,MATCH(C353,'DESEMPATE Y DISCAPACIDAD'!$C$3:$C$450,0)),"")</f>
        <v>PROGIN COLOMBIA</v>
      </c>
      <c r="E353" s="120" t="str">
        <f>IFERROR(IF(D353="","",IF(VLOOKUP(D353,'DESEMPATE Y DISCAPACIDAD'!D$3:$E$450,2,FALSE)=1,"N/A",IF(VLOOKUP(D353,'DESEMPATE Y DISCAPACIDAD'!D$3:$F$450,3,FALSE)="X","SI","NO"))),"")</f>
        <v>NO</v>
      </c>
      <c r="F353" s="284" t="s">
        <v>1326</v>
      </c>
      <c r="G353" s="284" t="s">
        <v>1327</v>
      </c>
      <c r="H353" s="284" t="s">
        <v>670</v>
      </c>
      <c r="I353" s="294" t="s">
        <v>1328</v>
      </c>
      <c r="J353" s="284" t="s">
        <v>74</v>
      </c>
      <c r="K353" s="284" t="s">
        <v>75</v>
      </c>
      <c r="L353" s="284" t="s">
        <v>75</v>
      </c>
      <c r="M353" s="284" t="s">
        <v>74</v>
      </c>
      <c r="N353" s="121" t="str">
        <f>IFERROR(IF(OR(J353="",K353=""),"",IF(J353="NO","NO",K353)),"")</f>
        <v>NO</v>
      </c>
      <c r="O353" s="121" t="str">
        <f>IFERROR(IF(OR(J353="",L353=""),"",IF(J353="NO","NO",L353)),"")</f>
        <v>NO</v>
      </c>
      <c r="P353" s="121" t="str">
        <f>IFERROR(IF(OR(J353="",M353=""),"",IF(J353="NO","NO",M353)),"")</f>
        <v>SI</v>
      </c>
      <c r="Q353" s="121" t="str">
        <f t="shared" si="294"/>
        <v>SI</v>
      </c>
      <c r="R353" s="322">
        <v>0.23</v>
      </c>
      <c r="S353" s="323">
        <v>33527</v>
      </c>
      <c r="T353" s="323">
        <v>36734</v>
      </c>
      <c r="U353" s="121">
        <f>IFERROR(IF(T353="","",YEAR(T353)),"")</f>
        <v>2000</v>
      </c>
      <c r="V353" s="124">
        <f>IF(U353=2023,1160000,IFERROR(INDEX(SMMLV!$B$2:$B$101,MATCH(U353,SMMLV!$A$2:$A$101,0)),""))</f>
        <v>260100</v>
      </c>
      <c r="W353" s="342" t="s">
        <v>670</v>
      </c>
      <c r="X353" s="284" t="s">
        <v>1334</v>
      </c>
      <c r="Y353" s="284">
        <v>2</v>
      </c>
      <c r="Z353" s="515" t="s">
        <v>74</v>
      </c>
      <c r="AA353" s="516"/>
      <c r="AB353" s="517"/>
      <c r="AC353" s="121" t="str">
        <f>IFERROR(IF(Y353="","",IF(ISNUMBER(Y353),IF(COUNTIF(Z353,"SI")&gt;0,"SI","NO"),Y353)),"")</f>
        <v>SI</v>
      </c>
      <c r="AD353" s="124" t="str">
        <f t="shared" si="297"/>
        <v>N/A</v>
      </c>
      <c r="AE353" s="342">
        <v>181108.67</v>
      </c>
      <c r="AF353" s="124">
        <f t="shared" si="288"/>
        <v>41654.994100000004</v>
      </c>
      <c r="AG353" s="486" t="str">
        <f>IFERROR(IF(COUNTIF(AF353:AF362,"")=10,"",IF(COUNTIF(E353:E362,"N/A")&gt;0,IF(SUM(CB353:CB362)&gt;=CMEM1,"CUMPLE","NO CUMPLE"),IF(SUM(AF353:AF362)&gt;=CMEM1,"CUMPLE","NO CUMPLE"))),"")</f>
        <v>CUMPLE</v>
      </c>
      <c r="AH353" s="486" t="str">
        <f>IF(COUNTIF(AF353:AF362,"")=10,"",IF(SUMIF(C353:C362,C353,AF353:AF362)&gt;=CMLM1,"CUMPLE",IF(SUMIF(C353:C362,C354,AF353:AF362)&gt;=CMLM1,"CUMPLE",IF(SUMIF(C353:C362,C355,AF353:AF362)&gt;=CMLM1,"CUMPLE",IF(SUMIF(C353:C362,C356,AF353:AF362)&gt;=CMLM1,"CUMPLE",IF(SUMIF(C353:C362,C357,AF353:AF362)&gt;=CMLM1,"CUMPLE",IF(SUMIF(C353:C362,C358,AF353:AF362)&gt;=CMLM1,"CUMPLE",IF(SUMIF(C353:C362,C359,AF353:AF362)&gt;=CMLM1,"CUMPLE",IF(SUMIF(C353:C362,C360,AF353:AF362)&gt;=CMLM1,"CUMPLE",IF(SUMIF(C353:C362,C361,AF353:AF362)&gt;=CMLM1,"CUMPLE",IF(SUMIF(C353:C362,C362,AF353:AF362)&gt;=CMLM1,"CUMPLE","NO CUMPLE")))))))))))</f>
        <v>CUMPLE</v>
      </c>
      <c r="AI353" s="121" t="str">
        <f t="shared" si="289"/>
        <v>CUMPLE</v>
      </c>
      <c r="AJ353" s="469" t="str">
        <f>IFERROR(IF(COUNTIF(AF353:AF362,"")=10,"",IF(COUNTIF(E353:E362,"N/A")&gt;0,"N/A",CJ353)),"")</f>
        <v>CUMPLE</v>
      </c>
      <c r="AK353" s="469" t="str">
        <f>IFERROR(IF(AND(COUNTIF(N353:N362,"SI")&gt;=1,COUNTIF(O353:O362,"SI")&gt;=1,COUNTIF(P353:P362,"SI")&gt;=1,COUNTIF(J353:J362,"SI")&lt;=10,CO353="CUMPLE"),"CUMPLE","NO CUMPLE"),"")</f>
        <v>CUMPLE</v>
      </c>
      <c r="AL353" s="472" t="s">
        <v>77</v>
      </c>
      <c r="AM353" s="495">
        <f>IFERROR(IF(B353&lt;&gt;"",IF(VLOOKUP(B353,'DESEMPATE Y DISCAPACIDAD'!$A$3:$Q$450,10,FALSE)="","",VLOOKUP(B353,'DESEMPATE Y DISCAPACIDAD'!$A$3:$Q$450,10,FALSE)+6),""),"")</f>
        <v>8</v>
      </c>
      <c r="AN353" s="284" t="s">
        <v>75</v>
      </c>
      <c r="AO353" s="507" t="s">
        <v>74</v>
      </c>
      <c r="AP353" s="284" t="s">
        <v>74</v>
      </c>
      <c r="AQ353" s="490">
        <f>IFERROR(IF(COUNTIF(AP353:AP362,"")=10,"",IF(AO353="NO",0,COUNTIF(AP353:AP362,"SI"))),"")</f>
        <v>3</v>
      </c>
      <c r="AR353" s="521">
        <f>IFERROR(IF(COUNTIF(AF353:AF362,"")=10,"",IF(AO353="NO",0,IF(COUNTIF(E353:E362,"N/A")&gt;0,SUM(CQ353:CQ362),SUM(CR353:CR362)))),"")</f>
        <v>62017.693500000001</v>
      </c>
      <c r="AS353" s="518">
        <f>IFERROR(IF(OR(COUNTIF(AF353:AF362,"")=10,AQ353="",AR353=""),"",IF(AO353="NO",0,AR353/AQ353)),"")</f>
        <v>20672.5645</v>
      </c>
      <c r="AT353" s="207"/>
      <c r="AU353" s="670" t="s">
        <v>1229</v>
      </c>
      <c r="AV353" s="670" t="s">
        <v>747</v>
      </c>
      <c r="AW353" s="560" t="s">
        <v>1357</v>
      </c>
      <c r="AX353" s="560" t="s">
        <v>1357</v>
      </c>
      <c r="AY353" s="19"/>
      <c r="CB353" s="29" t="str">
        <f>IFERROR(IF(COUNTIF(AF353:AF362,"")=10,"",IF(COUNTIF(E353:E362,"N/A")&gt;0,IF(AF353&gt;=CMEMM1,AF353,0),"N/A")),"")</f>
        <v>N/A</v>
      </c>
      <c r="CC353" s="4"/>
      <c r="CD353" s="4">
        <f>IFERROR(IF(COUNTIF(AF353:AF362,"")=10,"",IF(AF353="","",IF(AF353&gt;=CMEMM1,1,0))),"")</f>
        <v>1</v>
      </c>
      <c r="CE353" s="4" t="str">
        <f>B353&amp;"-0"&amp;1</f>
        <v>P36-01</v>
      </c>
      <c r="CF353" s="4" t="str">
        <f>IFERROR(INDEX('DESEMPATE Y DISCAPACIDAD'!$D$3:$D$450,MATCH(CE353,'DESEMPATE Y DISCAPACIDAD'!$C$3:$C$450,0)),"")</f>
        <v>PROGIN COLOMBIA</v>
      </c>
      <c r="CG353" s="4">
        <f>IF(OR(CE353="",CF353=""),"",SUMIF(D353:D362,CF353,CD353:CD362))</f>
        <v>1</v>
      </c>
      <c r="CH353" s="4" t="str">
        <f t="shared" si="264"/>
        <v>CUMPLE</v>
      </c>
      <c r="CI353" s="4">
        <f>IF(CF353="","",IF(ISTEXT(CF353),1,0))</f>
        <v>1</v>
      </c>
      <c r="CJ353" s="4" t="str">
        <f>IF(OR(CD353="",CE353="",CF353="",CG353="",CH353="",CI353=""),"",IF(COUNTIF(CH353:CH362,"CUMPLE")=COUNTIF(CI353:CI362,1),"CUMPLE","NO CUMPLE"))</f>
        <v>CUMPLE</v>
      </c>
      <c r="CK353" s="4"/>
      <c r="CL353" s="4">
        <f t="shared" si="290"/>
        <v>0</v>
      </c>
      <c r="CM353" s="4">
        <f t="shared" si="291"/>
        <v>0</v>
      </c>
      <c r="CN353" s="4" t="str">
        <f>IF(OR(CL353="",CM353=""),"",IF(AND(CL353=0,CM353=0),"N/A",IF(AND(CL353=1,CM353=0),"COND. A",IF(AND(CL353=0,CM353=1),"COND. B",IF(AND(CL353=1,CM353=1),"COND. A Y B","")))))</f>
        <v>N/A</v>
      </c>
      <c r="CO353" s="4" t="str">
        <f>IF(COUNTIF(CN353:CN362,"N/A")=10,"NO CUMPLE",IF(COUNTIF(CN353:CN362,"COND. A Y B")&gt;1,"CUMPLE",IF(AND(COUNTIF(CN353:CN362,"COND. A")&gt;0,COUNTIF(CN353:CN362,"COND. B")&gt;0),"CUMPLE",IF(AND(COUNTIF(CN353:CN362,"COND. A Y B")&gt;0,COUNTIF(CN353:CN362,"COND. A")&gt;0),"CUMPLE",IF(AND(COUNTIF(CN353:CN362,"COND. A Y B")&gt;0,COUNTIF(CN353:CN362,"COND. B")&gt;0),"CUMPLE","NO CUMPLE")))))</f>
        <v>CUMPLE</v>
      </c>
      <c r="CP353" s="4"/>
      <c r="CQ353" s="29" t="str">
        <f t="shared" si="310"/>
        <v>N/A</v>
      </c>
      <c r="CR353" s="29">
        <f t="shared" si="311"/>
        <v>41654.994100000004</v>
      </c>
      <c r="CS353" s="4"/>
    </row>
    <row r="354" spans="1:103" ht="40" customHeight="1">
      <c r="B354" s="481"/>
      <c r="C354" s="118" t="s">
        <v>435</v>
      </c>
      <c r="D354" s="119" t="str">
        <f>+IFERROR(INDEX('DESEMPATE Y DISCAPACIDAD'!$D$3:$D$450,MATCH(C354,'DESEMPATE Y DISCAPACIDAD'!$C$3:$C$450,0)),"")</f>
        <v>EPYPSA S.A.S.</v>
      </c>
      <c r="E354" s="120" t="str">
        <f>IFERROR(IF(D354="","",IF(VLOOKUP(D354,'DESEMPATE Y DISCAPACIDAD'!D$3:$E$450,2,FALSE)=1,"N/A",IF(VLOOKUP(D354,'DESEMPATE Y DISCAPACIDAD'!D$3:$F$450,3,FALSE)="X","SI","NO"))),"")</f>
        <v>NO</v>
      </c>
      <c r="F354" s="286" t="s">
        <v>663</v>
      </c>
      <c r="G354" s="286" t="s">
        <v>660</v>
      </c>
      <c r="H354" s="284" t="s">
        <v>1329</v>
      </c>
      <c r="I354" s="294" t="s">
        <v>1330</v>
      </c>
      <c r="J354" s="284" t="s">
        <v>74</v>
      </c>
      <c r="K354" s="284" t="s">
        <v>74</v>
      </c>
      <c r="L354" s="284" t="s">
        <v>74</v>
      </c>
      <c r="M354" s="284" t="s">
        <v>74</v>
      </c>
      <c r="N354" s="121" t="str">
        <f t="shared" ref="N354:N362" si="319">IFERROR(IF(OR(J354="",K354=""),"",IF(J354="NO","NO",K354)),"")</f>
        <v>SI</v>
      </c>
      <c r="O354" s="121" t="str">
        <f>IFERROR(IF(OR(J354="",L354=""),"",IF(J354="NO","NO",L354)),"")</f>
        <v>SI</v>
      </c>
      <c r="P354" s="121" t="str">
        <f t="shared" ref="P354:P362" si="320">IFERROR(IF(OR(J354="",M354=""),"",IF(J354="NO","NO",M354)),"")</f>
        <v>SI</v>
      </c>
      <c r="Q354" s="121" t="str">
        <f t="shared" si="294"/>
        <v>SI</v>
      </c>
      <c r="R354" s="322">
        <v>0.51</v>
      </c>
      <c r="S354" s="323">
        <v>41907</v>
      </c>
      <c r="T354" s="323">
        <v>43093</v>
      </c>
      <c r="U354" s="121">
        <f t="shared" ref="U354:U362" si="321">IFERROR(IF(T354="","",YEAR(T354)),"")</f>
        <v>2017</v>
      </c>
      <c r="V354" s="124">
        <f>IF(U354=2023,1160000,IFERROR(INDEX(SMMLV!$B$2:$B$101,MATCH(U354,SMMLV!$A$2:$A$101,0)),""))</f>
        <v>737717</v>
      </c>
      <c r="W354" s="342" t="s">
        <v>670</v>
      </c>
      <c r="X354" s="286" t="s">
        <v>671</v>
      </c>
      <c r="Y354" s="286">
        <v>58</v>
      </c>
      <c r="Z354" s="509" t="s">
        <v>74</v>
      </c>
      <c r="AA354" s="510"/>
      <c r="AB354" s="511"/>
      <c r="AC354" s="125" t="str">
        <f t="shared" ref="AC354:AC362" si="322">IFERROR(IF(Y354="","",IF(ISNUMBER(Y354),IF(COUNTIF(Z354,"SI")&gt;0,"SI","NO"),Y354)),"")</f>
        <v>SI</v>
      </c>
      <c r="AD354" s="117" t="str">
        <f t="shared" si="297"/>
        <v>N/A</v>
      </c>
      <c r="AE354" s="343">
        <v>10433.94</v>
      </c>
      <c r="AF354" s="117">
        <f t="shared" si="288"/>
        <v>5321.3094000000001</v>
      </c>
      <c r="AG354" s="470"/>
      <c r="AH354" s="470"/>
      <c r="AI354" s="125" t="str">
        <f t="shared" si="289"/>
        <v>CUMPLE</v>
      </c>
      <c r="AJ354" s="470"/>
      <c r="AK354" s="470"/>
      <c r="AL354" s="472"/>
      <c r="AM354" s="496"/>
      <c r="AN354" s="286" t="s">
        <v>75</v>
      </c>
      <c r="AO354" s="507"/>
      <c r="AP354" s="286" t="s">
        <v>74</v>
      </c>
      <c r="AQ354" s="490"/>
      <c r="AR354" s="522"/>
      <c r="AS354" s="519"/>
      <c r="AT354" s="204"/>
      <c r="AU354" s="671"/>
      <c r="AV354" s="671"/>
      <c r="AW354" s="561"/>
      <c r="AX354" s="561"/>
      <c r="AY354" s="19"/>
      <c r="CB354" s="29" t="str">
        <f>IFERROR(IF(COUNTIF(AF353:AF362,"")=10,"",IF(COUNTIF(E353:E362,"N/A")&gt;0,IF(AF354&gt;=CMEMM1,AF354,0),"N/A")),"")</f>
        <v>N/A</v>
      </c>
      <c r="CC354" s="4"/>
      <c r="CD354" s="4">
        <f>IFERROR(IF(COUNTIF(AF353:AF362,"")=10,"",IF(AF354="","",IF(AF354&gt;=CMEMM1,1,0))),"")</f>
        <v>1</v>
      </c>
      <c r="CE354" s="4" t="str">
        <f>B353&amp;"-0"&amp;2</f>
        <v>P36-02</v>
      </c>
      <c r="CF354" s="4" t="str">
        <f>IFERROR(INDEX('DESEMPATE Y DISCAPACIDAD'!$D$3:$D$450,MATCH(CE354,'DESEMPATE Y DISCAPACIDAD'!$C$3:$C$450,0)),"")</f>
        <v>EPYPSA S.A.S.</v>
      </c>
      <c r="CG354" s="4">
        <f>IF(OR(CE354="",CF354=""),"",SUMIF(D353:D362,CF354,CD353:CD362))</f>
        <v>1</v>
      </c>
      <c r="CH354" s="4" t="str">
        <f t="shared" ref="CH354:CH417" si="323">IF(OR(CE354="",CF354="",CG354=""),"",IF(CG354&gt;0,"CUMPLE","NO CUMPLE"))</f>
        <v>CUMPLE</v>
      </c>
      <c r="CI354" s="4">
        <f t="shared" ref="CI354:CI362" si="324">IF(CF354="","",IF(ISTEXT(CF354),1,0))</f>
        <v>1</v>
      </c>
      <c r="CJ354" s="4"/>
      <c r="CK354" s="4"/>
      <c r="CL354" s="4">
        <f t="shared" si="290"/>
        <v>1</v>
      </c>
      <c r="CM354" s="4">
        <f t="shared" si="291"/>
        <v>1</v>
      </c>
      <c r="CN354" s="4" t="str">
        <f t="shared" ref="CN354:CN362" si="325">IF(OR(CL354="",CM354=""),"",IF(AND(CL354=0,CM354=0),"N/A",IF(AND(CL354=1,CM354=0),"COND. A",IF(AND(CL354=0,CM354=1),"COND. B",IF(AND(CL354=1,CM354=1),"COND. A Y B","")))))</f>
        <v>COND. A Y B</v>
      </c>
      <c r="CO354" s="4"/>
      <c r="CP354" s="4"/>
      <c r="CQ354" s="29" t="str">
        <f t="shared" si="310"/>
        <v>N/A</v>
      </c>
      <c r="CR354" s="29">
        <f t="shared" si="311"/>
        <v>5321.3094000000001</v>
      </c>
      <c r="CS354" s="4"/>
    </row>
    <row r="355" spans="1:103" ht="40" customHeight="1">
      <c r="B355" s="481"/>
      <c r="C355" s="118" t="s">
        <v>436</v>
      </c>
      <c r="D355" s="126" t="str">
        <f>+IFERROR(INDEX('DESEMPATE Y DISCAPACIDAD'!$D$3:$D$450,MATCH(C355,'DESEMPATE Y DISCAPACIDAD'!$C$3:$C$450,0)),"")</f>
        <v>DESARROLLO TECNOLOGÍA Y PLANEACIÓN COLOMBIA S.A.S.</v>
      </c>
      <c r="E355" s="127" t="str">
        <f>IFERROR(IF(D355="","",IF(VLOOKUP(D355,'DESEMPATE Y DISCAPACIDAD'!D$3:$E$450,2,FALSE)=1,"N/A",IF(VLOOKUP(D355,'DESEMPATE Y DISCAPACIDAD'!D$3:$F$450,3,FALSE)="X","SI","NO"))),"")</f>
        <v>NO</v>
      </c>
      <c r="F355" s="284" t="s">
        <v>1331</v>
      </c>
      <c r="G355" s="284" t="s">
        <v>980</v>
      </c>
      <c r="H355" s="286" t="s">
        <v>670</v>
      </c>
      <c r="I355" s="290" t="s">
        <v>1332</v>
      </c>
      <c r="J355" s="286" t="s">
        <v>74</v>
      </c>
      <c r="K355" s="286" t="s">
        <v>74</v>
      </c>
      <c r="L355" s="286" t="s">
        <v>75</v>
      </c>
      <c r="M355" s="286" t="s">
        <v>74</v>
      </c>
      <c r="N355" s="125" t="str">
        <f t="shared" si="319"/>
        <v>SI</v>
      </c>
      <c r="O355" s="125" t="str">
        <f>IFERROR(IF(OR(J355="",L355=""),"",IF(J355="NO","NO",L355)),"")</f>
        <v>NO</v>
      </c>
      <c r="P355" s="125" t="str">
        <f t="shared" si="320"/>
        <v>SI</v>
      </c>
      <c r="Q355" s="125" t="str">
        <f t="shared" si="294"/>
        <v>SI</v>
      </c>
      <c r="R355" s="316">
        <v>1</v>
      </c>
      <c r="S355" s="317">
        <v>40271</v>
      </c>
      <c r="T355" s="317">
        <v>41820</v>
      </c>
      <c r="U355" s="125">
        <f t="shared" si="321"/>
        <v>2014</v>
      </c>
      <c r="V355" s="117">
        <f>IF(U355=2023,1160000,IFERROR(INDEX(SMMLV!$B$2:$B$101,MATCH(U355,SMMLV!$A$2:$A$101,0)),""))</f>
        <v>616000</v>
      </c>
      <c r="W355" s="343" t="s">
        <v>670</v>
      </c>
      <c r="X355" s="286" t="s">
        <v>1338</v>
      </c>
      <c r="Y355" s="286">
        <v>24</v>
      </c>
      <c r="Z355" s="509" t="s">
        <v>74</v>
      </c>
      <c r="AA355" s="510"/>
      <c r="AB355" s="511"/>
      <c r="AC355" s="125" t="str">
        <f t="shared" si="322"/>
        <v>SI</v>
      </c>
      <c r="AD355" s="117" t="str">
        <f t="shared" si="297"/>
        <v>N/A</v>
      </c>
      <c r="AE355" s="343">
        <v>15041.39</v>
      </c>
      <c r="AF355" s="117">
        <f t="shared" si="288"/>
        <v>15041.39</v>
      </c>
      <c r="AG355" s="470"/>
      <c r="AH355" s="470"/>
      <c r="AI355" s="125" t="str">
        <f t="shared" si="289"/>
        <v>CUMPLE</v>
      </c>
      <c r="AJ355" s="470"/>
      <c r="AK355" s="470"/>
      <c r="AL355" s="472"/>
      <c r="AM355" s="496"/>
      <c r="AN355" s="286" t="s">
        <v>75</v>
      </c>
      <c r="AO355" s="507"/>
      <c r="AP355" s="286" t="s">
        <v>74</v>
      </c>
      <c r="AQ355" s="490"/>
      <c r="AR355" s="522"/>
      <c r="AS355" s="519"/>
      <c r="AT355" s="204"/>
      <c r="AU355" s="671"/>
      <c r="AV355" s="671"/>
      <c r="AW355" s="561"/>
      <c r="AX355" s="561"/>
      <c r="AY355" s="19"/>
      <c r="CB355" s="29" t="str">
        <f>IFERROR(IF(COUNTIF(AF353:AF362,"")=10,"",IF(COUNTIF(E353:E362,"N/A")&gt;0,IF(AF355&gt;=CMEMM1,AF355,0),"N/A")),"")</f>
        <v>N/A</v>
      </c>
      <c r="CC355" s="4"/>
      <c r="CD355" s="4">
        <f>IFERROR(IF(COUNTIF(AF353:AF362,"")=10,"",IF(AF355="","",IF(AF355&gt;=CMEMM1,1,0))),"")</f>
        <v>1</v>
      </c>
      <c r="CE355" s="4" t="str">
        <f>B353&amp;"-0"&amp;3</f>
        <v>P36-03</v>
      </c>
      <c r="CF355" s="4" t="str">
        <f>IFERROR(INDEX('DESEMPATE Y DISCAPACIDAD'!$D$3:$D$450,MATCH(CE355,'DESEMPATE Y DISCAPACIDAD'!$C$3:$C$450,0)),"")</f>
        <v>DESARROLLO TECNOLOGÍA Y PLANEACIÓN COLOMBIA S.A.S.</v>
      </c>
      <c r="CG355" s="4">
        <f>IF(OR(CE355="",CF355=""),"",SUMIF(D353:D362,CF355,CD353:CD362))</f>
        <v>1</v>
      </c>
      <c r="CH355" s="4" t="str">
        <f t="shared" si="323"/>
        <v>CUMPLE</v>
      </c>
      <c r="CI355" s="4">
        <f t="shared" si="324"/>
        <v>1</v>
      </c>
      <c r="CJ355" s="4"/>
      <c r="CK355" s="4"/>
      <c r="CL355" s="4">
        <f t="shared" si="290"/>
        <v>1</v>
      </c>
      <c r="CM355" s="4">
        <f t="shared" si="291"/>
        <v>0</v>
      </c>
      <c r="CN355" s="4" t="str">
        <f t="shared" si="325"/>
        <v>COND. A</v>
      </c>
      <c r="CO355" s="4"/>
      <c r="CP355" s="4"/>
      <c r="CQ355" s="29" t="str">
        <f t="shared" si="310"/>
        <v>N/A</v>
      </c>
      <c r="CR355" s="29">
        <f t="shared" si="311"/>
        <v>15041.39</v>
      </c>
      <c r="CS355" s="4"/>
    </row>
    <row r="356" spans="1:103" ht="40" customHeight="1">
      <c r="B356" s="481"/>
      <c r="C356" s="118"/>
      <c r="D356" s="126" t="str">
        <f>+IFERROR(INDEX('DESEMPATE Y DISCAPACIDAD'!$D$3:$D$450,MATCH(C356,'DESEMPATE Y DISCAPACIDAD'!$C$3:$C$450,0)),"")</f>
        <v/>
      </c>
      <c r="E356" s="127" t="str">
        <f>IFERROR(IF(D356="","",IF(VLOOKUP(D356,'DESEMPATE Y DISCAPACIDAD'!D$3:$E$450,2,FALSE)=1,"N/A",IF(VLOOKUP(D356,'DESEMPATE Y DISCAPACIDAD'!D$3:$F$450,3,FALSE)="X","SI","NO"))),"")</f>
        <v/>
      </c>
      <c r="F356" s="282"/>
      <c r="G356" s="286"/>
      <c r="H356" s="286"/>
      <c r="I356" s="290"/>
      <c r="J356" s="286"/>
      <c r="K356" s="286"/>
      <c r="L356" s="286"/>
      <c r="M356" s="286"/>
      <c r="N356" s="125" t="str">
        <f t="shared" si="319"/>
        <v/>
      </c>
      <c r="O356" s="125" t="str">
        <f>IFERROR(IF(OR(J356="",L356=""),"",IF(J356="NO","NO",L356)),"")</f>
        <v/>
      </c>
      <c r="P356" s="125" t="str">
        <f t="shared" si="320"/>
        <v/>
      </c>
      <c r="Q356" s="125" t="str">
        <f t="shared" si="294"/>
        <v/>
      </c>
      <c r="R356" s="316"/>
      <c r="S356" s="317"/>
      <c r="T356" s="317"/>
      <c r="U356" s="125" t="str">
        <f t="shared" si="321"/>
        <v/>
      </c>
      <c r="V356" s="117" t="str">
        <f>IF(U356=2023,1160000,IFERROR(INDEX(SMMLV!$B$2:$B$101,MATCH(U356,SMMLV!$A$2:$A$101,0)),""))</f>
        <v/>
      </c>
      <c r="W356" s="343"/>
      <c r="X356" s="286"/>
      <c r="Y356" s="286"/>
      <c r="Z356" s="509"/>
      <c r="AA356" s="510"/>
      <c r="AB356" s="511"/>
      <c r="AC356" s="125" t="str">
        <f t="shared" si="322"/>
        <v/>
      </c>
      <c r="AD356" s="117" t="str">
        <f t="shared" si="297"/>
        <v/>
      </c>
      <c r="AE356" s="343" t="str">
        <f t="shared" si="301"/>
        <v/>
      </c>
      <c r="AF356" s="117" t="str">
        <f t="shared" si="288"/>
        <v/>
      </c>
      <c r="AG356" s="470"/>
      <c r="AH356" s="470"/>
      <c r="AI356" s="125" t="str">
        <f t="shared" si="289"/>
        <v/>
      </c>
      <c r="AJ356" s="470"/>
      <c r="AK356" s="470"/>
      <c r="AL356" s="472"/>
      <c r="AM356" s="496"/>
      <c r="AN356" s="286"/>
      <c r="AO356" s="507"/>
      <c r="AP356" s="286"/>
      <c r="AQ356" s="490"/>
      <c r="AR356" s="522"/>
      <c r="AS356" s="519"/>
      <c r="AT356" s="204"/>
      <c r="AU356" s="671"/>
      <c r="AV356" s="671"/>
      <c r="AW356" s="561"/>
      <c r="AX356" s="561"/>
      <c r="AY356" s="19"/>
      <c r="CB356" s="29" t="str">
        <f>IFERROR(IF(COUNTIF(AF353:AF362,"")=10,"",IF(COUNTIF(E353:E362,"N/A")&gt;0,IF(AF356&gt;=CMEMM1,AF356,0),"N/A")),"")</f>
        <v>N/A</v>
      </c>
      <c r="CC356" s="4"/>
      <c r="CD356" s="4" t="str">
        <f>IFERROR(IF(COUNTIF(AF353:AF362,"")=10,"",IF(AF356="","",IF(AF356&gt;=CMEMM1,1,0))),"")</f>
        <v/>
      </c>
      <c r="CE356" s="4" t="str">
        <f>B353&amp;"-0"&amp;4</f>
        <v>P36-04</v>
      </c>
      <c r="CF356" s="4">
        <f>IFERROR(INDEX('DESEMPATE Y DISCAPACIDAD'!$D$3:$D$450,MATCH(CE356,'DESEMPATE Y DISCAPACIDAD'!$C$3:$C$450,0)),"")</f>
        <v>0</v>
      </c>
      <c r="CG356" s="4">
        <f>IF(OR(CE356="",CF356=""),"",SUMIF(D353:D362,CF356,CD353:CD362))</f>
        <v>0</v>
      </c>
      <c r="CH356" s="4" t="str">
        <f t="shared" si="323"/>
        <v>NO CUMPLE</v>
      </c>
      <c r="CI356" s="4">
        <f t="shared" si="324"/>
        <v>0</v>
      </c>
      <c r="CJ356" s="4"/>
      <c r="CK356" s="4"/>
      <c r="CL356" s="4" t="str">
        <f t="shared" si="290"/>
        <v/>
      </c>
      <c r="CM356" s="4" t="str">
        <f t="shared" si="291"/>
        <v/>
      </c>
      <c r="CN356" s="4" t="str">
        <f t="shared" si="325"/>
        <v/>
      </c>
      <c r="CO356" s="4"/>
      <c r="CP356" s="4"/>
      <c r="CQ356" s="29" t="str">
        <f t="shared" si="310"/>
        <v/>
      </c>
      <c r="CR356" s="29" t="str">
        <f t="shared" si="311"/>
        <v/>
      </c>
      <c r="CS356" s="4"/>
    </row>
    <row r="357" spans="1:103" ht="40" customHeight="1">
      <c r="B357" s="481"/>
      <c r="C357" s="118"/>
      <c r="D357" s="126" t="str">
        <f>+IFERROR(INDEX('DESEMPATE Y DISCAPACIDAD'!$D$3:$D$450,MATCH(C357,'DESEMPATE Y DISCAPACIDAD'!$C$3:$C$450,0)),"")</f>
        <v/>
      </c>
      <c r="E357" s="127" t="str">
        <f>IFERROR(IF(D357="","",IF(VLOOKUP(D357,'DESEMPATE Y DISCAPACIDAD'!D$3:$E$450,2,FALSE)=1,"N/A",IF(VLOOKUP(D357,'DESEMPATE Y DISCAPACIDAD'!D$3:$F$450,3,FALSE)="X","SI","NO"))),"")</f>
        <v/>
      </c>
      <c r="F357" s="286"/>
      <c r="G357" s="286"/>
      <c r="H357" s="286"/>
      <c r="I357" s="290"/>
      <c r="J357" s="286"/>
      <c r="K357" s="286"/>
      <c r="L357" s="286"/>
      <c r="M357" s="286"/>
      <c r="N357" s="125" t="str">
        <f t="shared" si="319"/>
        <v/>
      </c>
      <c r="O357" s="125" t="str">
        <f t="shared" ref="O357:O362" si="326">IFERROR(IF(OR(J357="",L357=""),"",IF(J357="NO","NO",L357)),"")</f>
        <v/>
      </c>
      <c r="P357" s="125" t="str">
        <f t="shared" si="320"/>
        <v/>
      </c>
      <c r="Q357" s="125" t="str">
        <f t="shared" si="294"/>
        <v/>
      </c>
      <c r="R357" s="316"/>
      <c r="S357" s="317"/>
      <c r="T357" s="317"/>
      <c r="U357" s="125" t="str">
        <f t="shared" si="321"/>
        <v/>
      </c>
      <c r="V357" s="117" t="str">
        <f>IF(U357=2023,1160000,IFERROR(INDEX(SMMLV!$B$2:$B$101,MATCH(U357,SMMLV!$A$2:$A$101,0)),""))</f>
        <v/>
      </c>
      <c r="W357" s="343"/>
      <c r="X357" s="286"/>
      <c r="Y357" s="286"/>
      <c r="Z357" s="509"/>
      <c r="AA357" s="510"/>
      <c r="AB357" s="511"/>
      <c r="AC357" s="125" t="str">
        <f t="shared" si="322"/>
        <v/>
      </c>
      <c r="AD357" s="117" t="str">
        <f t="shared" si="297"/>
        <v/>
      </c>
      <c r="AE357" s="343" t="str">
        <f t="shared" si="301"/>
        <v/>
      </c>
      <c r="AF357" s="117" t="str">
        <f t="shared" si="288"/>
        <v/>
      </c>
      <c r="AG357" s="470"/>
      <c r="AH357" s="470"/>
      <c r="AI357" s="125" t="str">
        <f t="shared" si="289"/>
        <v/>
      </c>
      <c r="AJ357" s="470"/>
      <c r="AK357" s="470"/>
      <c r="AL357" s="472"/>
      <c r="AM357" s="496"/>
      <c r="AN357" s="286"/>
      <c r="AO357" s="507"/>
      <c r="AP357" s="286"/>
      <c r="AQ357" s="490"/>
      <c r="AR357" s="522"/>
      <c r="AS357" s="519"/>
      <c r="AT357" s="204"/>
      <c r="AU357" s="671"/>
      <c r="AV357" s="671"/>
      <c r="AW357" s="561"/>
      <c r="AX357" s="561"/>
      <c r="AY357" s="19"/>
      <c r="CB357" s="29" t="str">
        <f>IFERROR(IF(COUNTIF(AF353:AF362,"")=10,"",IF(COUNTIF(E353:E362,"N/A")&gt;0,IF(AF357&gt;=CMEMM1,AF357,0),"N/A")),"")</f>
        <v>N/A</v>
      </c>
      <c r="CC357" s="4"/>
      <c r="CD357" s="4" t="str">
        <f>IFERROR(IF(COUNTIF(AF353:AF362,"")=10,"",IF(AF357="","",IF(AF357&gt;=CMEMM1,1,0))),"")</f>
        <v/>
      </c>
      <c r="CE357" s="4" t="str">
        <f>B353&amp;"-0"&amp;5</f>
        <v>P36-05</v>
      </c>
      <c r="CF357" s="4">
        <f>IFERROR(INDEX('DESEMPATE Y DISCAPACIDAD'!$D$3:$D$450,MATCH(CE357,'DESEMPATE Y DISCAPACIDAD'!$C$3:$C$450,0)),"")</f>
        <v>0</v>
      </c>
      <c r="CG357" s="4">
        <f>IF(OR(CE357="",CF357=""),"",SUMIF(D353:D362,CF357,CD353:CD362))</f>
        <v>0</v>
      </c>
      <c r="CH357" s="4" t="str">
        <f t="shared" si="323"/>
        <v>NO CUMPLE</v>
      </c>
      <c r="CI357" s="4">
        <f t="shared" si="324"/>
        <v>0</v>
      </c>
      <c r="CJ357" s="4"/>
      <c r="CK357" s="4"/>
      <c r="CL357" s="4" t="str">
        <f t="shared" si="290"/>
        <v/>
      </c>
      <c r="CM357" s="4" t="str">
        <f t="shared" si="291"/>
        <v/>
      </c>
      <c r="CN357" s="4" t="str">
        <f t="shared" si="325"/>
        <v/>
      </c>
      <c r="CO357" s="4"/>
      <c r="CP357" s="4"/>
      <c r="CQ357" s="29" t="str">
        <f t="shared" si="310"/>
        <v/>
      </c>
      <c r="CR357" s="29" t="str">
        <f t="shared" si="311"/>
        <v/>
      </c>
      <c r="CS357" s="4"/>
    </row>
    <row r="358" spans="1:103" ht="40" customHeight="1">
      <c r="B358" s="481"/>
      <c r="C358" s="118"/>
      <c r="D358" s="126" t="str">
        <f>+IFERROR(INDEX('DESEMPATE Y DISCAPACIDAD'!$D$3:$D$450,MATCH(C358,'DESEMPATE Y DISCAPACIDAD'!$C$3:$C$450,0)),"")</f>
        <v/>
      </c>
      <c r="E358" s="127" t="str">
        <f>IFERROR(IF(D358="","",IF(VLOOKUP(D358,'DESEMPATE Y DISCAPACIDAD'!D$3:$E$450,2,FALSE)=1,"N/A",IF(VLOOKUP(D358,'DESEMPATE Y DISCAPACIDAD'!D$3:$F$450,3,FALSE)="X","SI","NO"))),"")</f>
        <v/>
      </c>
      <c r="F358" s="286"/>
      <c r="G358" s="286"/>
      <c r="H358" s="286"/>
      <c r="I358" s="290"/>
      <c r="J358" s="286"/>
      <c r="K358" s="286"/>
      <c r="L358" s="286"/>
      <c r="M358" s="286"/>
      <c r="N358" s="125" t="str">
        <f t="shared" si="319"/>
        <v/>
      </c>
      <c r="O358" s="125" t="str">
        <f t="shared" si="326"/>
        <v/>
      </c>
      <c r="P358" s="125" t="str">
        <f t="shared" si="320"/>
        <v/>
      </c>
      <c r="Q358" s="125" t="str">
        <f t="shared" si="294"/>
        <v/>
      </c>
      <c r="R358" s="316"/>
      <c r="S358" s="317"/>
      <c r="T358" s="317"/>
      <c r="U358" s="125" t="str">
        <f t="shared" si="321"/>
        <v/>
      </c>
      <c r="V358" s="117" t="str">
        <f>IF(U358=2023,1160000,IFERROR(INDEX(SMMLV!$B$2:$B$101,MATCH(U358,SMMLV!$A$2:$A$101,0)),""))</f>
        <v/>
      </c>
      <c r="W358" s="343"/>
      <c r="X358" s="286"/>
      <c r="Y358" s="286"/>
      <c r="Z358" s="509"/>
      <c r="AA358" s="510"/>
      <c r="AB358" s="511"/>
      <c r="AC358" s="125" t="str">
        <f t="shared" si="322"/>
        <v/>
      </c>
      <c r="AD358" s="117" t="str">
        <f t="shared" si="297"/>
        <v/>
      </c>
      <c r="AE358" s="343" t="str">
        <f t="shared" si="301"/>
        <v/>
      </c>
      <c r="AF358" s="117" t="str">
        <f t="shared" si="288"/>
        <v/>
      </c>
      <c r="AG358" s="470"/>
      <c r="AH358" s="470"/>
      <c r="AI358" s="125" t="str">
        <f t="shared" si="289"/>
        <v/>
      </c>
      <c r="AJ358" s="470"/>
      <c r="AK358" s="470"/>
      <c r="AL358" s="472"/>
      <c r="AM358" s="496"/>
      <c r="AN358" s="286"/>
      <c r="AO358" s="507"/>
      <c r="AP358" s="286"/>
      <c r="AQ358" s="490"/>
      <c r="AR358" s="522"/>
      <c r="AS358" s="519"/>
      <c r="AT358" s="204"/>
      <c r="AU358" s="671"/>
      <c r="AV358" s="671"/>
      <c r="AW358" s="561"/>
      <c r="AX358" s="561"/>
      <c r="AY358" s="19"/>
      <c r="CB358" s="29" t="str">
        <f>IFERROR(IF(COUNTIF(AF353:AF362,"")=10,"",IF(COUNTIF(E353:E362,"N/A")&gt;0,IF(AF358&gt;=CMEMM1,AF358,0),"N/A")),"")</f>
        <v>N/A</v>
      </c>
      <c r="CC358" s="4"/>
      <c r="CD358" s="4" t="str">
        <f>IFERROR(IF(COUNTIF(AF353:AF362,"")=10,"",IF(AF358="","",IF(AF358&gt;=CMEMM1,1,0))),"")</f>
        <v/>
      </c>
      <c r="CE358" s="4" t="str">
        <f>B353&amp;"-0"&amp;6</f>
        <v>P36-06</v>
      </c>
      <c r="CF358" s="4">
        <f>IFERROR(INDEX('DESEMPATE Y DISCAPACIDAD'!$D$3:$D$450,MATCH(CE358,'DESEMPATE Y DISCAPACIDAD'!$C$3:$C$450,0)),"")</f>
        <v>0</v>
      </c>
      <c r="CG358" s="4">
        <f>IF(OR(CE358="",CF358=""),"",SUMIF(D353:D362,CF358,CD353:CD362))</f>
        <v>0</v>
      </c>
      <c r="CH358" s="4" t="str">
        <f t="shared" si="323"/>
        <v>NO CUMPLE</v>
      </c>
      <c r="CI358" s="4">
        <f t="shared" si="324"/>
        <v>0</v>
      </c>
      <c r="CJ358" s="4"/>
      <c r="CK358" s="4"/>
      <c r="CL358" s="4" t="str">
        <f t="shared" si="290"/>
        <v/>
      </c>
      <c r="CM358" s="4" t="str">
        <f t="shared" si="291"/>
        <v/>
      </c>
      <c r="CN358" s="4" t="str">
        <f t="shared" si="325"/>
        <v/>
      </c>
      <c r="CO358" s="4"/>
      <c r="CP358" s="4"/>
      <c r="CQ358" s="29" t="str">
        <f t="shared" si="310"/>
        <v/>
      </c>
      <c r="CR358" s="29" t="str">
        <f t="shared" si="311"/>
        <v/>
      </c>
      <c r="CS358" s="4"/>
    </row>
    <row r="359" spans="1:103" ht="40" customHeight="1">
      <c r="B359" s="481"/>
      <c r="C359" s="118"/>
      <c r="D359" s="126" t="str">
        <f>+IFERROR(INDEX('DESEMPATE Y DISCAPACIDAD'!$D$3:$D$450,MATCH(C359,'DESEMPATE Y DISCAPACIDAD'!$C$3:$C$450,0)),"")</f>
        <v/>
      </c>
      <c r="E359" s="127" t="str">
        <f>IFERROR(IF(D359="","",IF(VLOOKUP(D359,'DESEMPATE Y DISCAPACIDAD'!D$3:$E$450,2,FALSE)=1,"N/A",IF(VLOOKUP(D359,'DESEMPATE Y DISCAPACIDAD'!D$3:$F$450,3,FALSE)="X","SI","NO"))),"")</f>
        <v/>
      </c>
      <c r="F359" s="286"/>
      <c r="G359" s="286"/>
      <c r="H359" s="286"/>
      <c r="I359" s="290"/>
      <c r="J359" s="286"/>
      <c r="K359" s="286"/>
      <c r="L359" s="286"/>
      <c r="M359" s="286"/>
      <c r="N359" s="125" t="str">
        <f t="shared" si="319"/>
        <v/>
      </c>
      <c r="O359" s="125" t="str">
        <f t="shared" si="326"/>
        <v/>
      </c>
      <c r="P359" s="125" t="str">
        <f t="shared" si="320"/>
        <v/>
      </c>
      <c r="Q359" s="125" t="str">
        <f t="shared" si="294"/>
        <v/>
      </c>
      <c r="R359" s="316"/>
      <c r="S359" s="317"/>
      <c r="T359" s="317"/>
      <c r="U359" s="125" t="str">
        <f t="shared" si="321"/>
        <v/>
      </c>
      <c r="V359" s="117" t="str">
        <f>IF(U359=2023,1160000,IFERROR(INDEX(SMMLV!$B$2:$B$101,MATCH(U359,SMMLV!$A$2:$A$101,0)),""))</f>
        <v/>
      </c>
      <c r="W359" s="343"/>
      <c r="X359" s="286"/>
      <c r="Y359" s="286"/>
      <c r="Z359" s="509"/>
      <c r="AA359" s="510"/>
      <c r="AB359" s="511"/>
      <c r="AC359" s="125" t="str">
        <f t="shared" si="322"/>
        <v/>
      </c>
      <c r="AD359" s="117" t="str">
        <f t="shared" si="297"/>
        <v/>
      </c>
      <c r="AE359" s="343" t="str">
        <f t="shared" si="301"/>
        <v/>
      </c>
      <c r="AF359" s="117" t="str">
        <f t="shared" si="288"/>
        <v/>
      </c>
      <c r="AG359" s="470"/>
      <c r="AH359" s="470"/>
      <c r="AI359" s="125" t="str">
        <f t="shared" si="289"/>
        <v/>
      </c>
      <c r="AJ359" s="470"/>
      <c r="AK359" s="470"/>
      <c r="AL359" s="472"/>
      <c r="AM359" s="496"/>
      <c r="AN359" s="286"/>
      <c r="AO359" s="507"/>
      <c r="AP359" s="286"/>
      <c r="AQ359" s="490"/>
      <c r="AR359" s="522"/>
      <c r="AS359" s="519"/>
      <c r="AT359" s="204"/>
      <c r="AU359" s="671"/>
      <c r="AV359" s="671"/>
      <c r="AW359" s="561"/>
      <c r="AX359" s="561"/>
      <c r="AY359" s="19"/>
      <c r="CB359" s="29" t="str">
        <f>IFERROR(IF(COUNTIF(AF353:AF362,"")=10,"",IF(COUNTIF(E353:E362,"N/A")&gt;0,IF(AF359&gt;=CMEMM1,AF359,0),"N/A")),"")</f>
        <v>N/A</v>
      </c>
      <c r="CC359" s="4"/>
      <c r="CD359" s="4" t="str">
        <f>IFERROR(IF(COUNTIF(AF353:AF362,"")=10,"",IF(AF359="","",IF(AF359&gt;=CMEMM1,1,0))),"")</f>
        <v/>
      </c>
      <c r="CE359" s="4" t="str">
        <f>B353&amp;"-0"&amp;7</f>
        <v>P36-07</v>
      </c>
      <c r="CF359" s="4" t="str">
        <f>IFERROR(INDEX('DESEMPATE Y DISCAPACIDAD'!$D$3:$D$450,MATCH(CE359,'DESEMPATE Y DISCAPACIDAD'!$C$3:$C$450,0)),"")</f>
        <v/>
      </c>
      <c r="CG359" s="4" t="str">
        <f>IF(OR(CE359="",CF359=""),"",SUMIF(D353:D362,CF359,CD353:CD362))</f>
        <v/>
      </c>
      <c r="CH359" s="4" t="str">
        <f t="shared" si="323"/>
        <v/>
      </c>
      <c r="CI359" s="4" t="str">
        <f t="shared" si="324"/>
        <v/>
      </c>
      <c r="CJ359" s="4"/>
      <c r="CK359" s="4"/>
      <c r="CL359" s="4" t="str">
        <f t="shared" si="290"/>
        <v/>
      </c>
      <c r="CM359" s="4" t="str">
        <f t="shared" si="291"/>
        <v/>
      </c>
      <c r="CN359" s="4" t="str">
        <f t="shared" si="325"/>
        <v/>
      </c>
      <c r="CO359" s="4"/>
      <c r="CP359" s="4"/>
      <c r="CQ359" s="29" t="str">
        <f t="shared" si="310"/>
        <v/>
      </c>
      <c r="CR359" s="29" t="str">
        <f t="shared" si="311"/>
        <v/>
      </c>
      <c r="CS359" s="4"/>
    </row>
    <row r="360" spans="1:103" ht="40" customHeight="1">
      <c r="B360" s="481"/>
      <c r="C360" s="118"/>
      <c r="D360" s="126" t="str">
        <f>+IFERROR(INDEX('DESEMPATE Y DISCAPACIDAD'!$D$3:$D$450,MATCH(C360,'DESEMPATE Y DISCAPACIDAD'!$C$3:$C$450,0)),"")</f>
        <v/>
      </c>
      <c r="E360" s="127" t="str">
        <f>IFERROR(IF(D360="","",IF(VLOOKUP(D360,'DESEMPATE Y DISCAPACIDAD'!D$3:$E$450,2,FALSE)=1,"N/A",IF(VLOOKUP(D360,'DESEMPATE Y DISCAPACIDAD'!D$3:$F$450,3,FALSE)="X","SI","NO"))),"")</f>
        <v/>
      </c>
      <c r="F360" s="286"/>
      <c r="G360" s="286"/>
      <c r="H360" s="286"/>
      <c r="I360" s="290"/>
      <c r="J360" s="286"/>
      <c r="K360" s="286"/>
      <c r="L360" s="286"/>
      <c r="M360" s="286"/>
      <c r="N360" s="125" t="str">
        <f t="shared" si="319"/>
        <v/>
      </c>
      <c r="O360" s="125" t="str">
        <f t="shared" si="326"/>
        <v/>
      </c>
      <c r="P360" s="125" t="str">
        <f t="shared" si="320"/>
        <v/>
      </c>
      <c r="Q360" s="125" t="str">
        <f t="shared" si="294"/>
        <v/>
      </c>
      <c r="R360" s="316"/>
      <c r="S360" s="317"/>
      <c r="T360" s="317"/>
      <c r="U360" s="125" t="str">
        <f t="shared" si="321"/>
        <v/>
      </c>
      <c r="V360" s="117" t="str">
        <f>IF(U360=2023,1160000,IFERROR(INDEX(SMMLV!$B$2:$B$101,MATCH(U360,SMMLV!$A$2:$A$101,0)),""))</f>
        <v/>
      </c>
      <c r="W360" s="343"/>
      <c r="X360" s="286"/>
      <c r="Y360" s="286"/>
      <c r="Z360" s="509"/>
      <c r="AA360" s="510"/>
      <c r="AB360" s="511"/>
      <c r="AC360" s="125" t="str">
        <f t="shared" si="322"/>
        <v/>
      </c>
      <c r="AD360" s="117" t="str">
        <f t="shared" si="297"/>
        <v/>
      </c>
      <c r="AE360" s="343" t="str">
        <f t="shared" si="301"/>
        <v/>
      </c>
      <c r="AF360" s="117" t="str">
        <f t="shared" si="288"/>
        <v/>
      </c>
      <c r="AG360" s="470"/>
      <c r="AH360" s="470"/>
      <c r="AI360" s="125" t="str">
        <f t="shared" si="289"/>
        <v/>
      </c>
      <c r="AJ360" s="470"/>
      <c r="AK360" s="470"/>
      <c r="AL360" s="472"/>
      <c r="AM360" s="496"/>
      <c r="AN360" s="286"/>
      <c r="AO360" s="507"/>
      <c r="AP360" s="286"/>
      <c r="AQ360" s="490"/>
      <c r="AR360" s="522"/>
      <c r="AS360" s="519"/>
      <c r="AT360" s="204"/>
      <c r="AU360" s="671"/>
      <c r="AV360" s="671"/>
      <c r="AW360" s="561"/>
      <c r="AX360" s="561"/>
      <c r="AY360" s="19"/>
      <c r="CB360" s="29" t="str">
        <f>IFERROR(IF(COUNTIF(AF353:AF362,"")=10,"",IF(COUNTIF(E353:E362,"N/A")&gt;0,IF(AF360&gt;=CMEMM1,AF360,0),"N/A")),"")</f>
        <v>N/A</v>
      </c>
      <c r="CC360" s="4"/>
      <c r="CD360" s="4" t="str">
        <f>IFERROR(IF(COUNTIF(AF353:AF362,"")=10,"",IF(AF360="","",IF(AF360&gt;=CMEMM1,1,0))),"")</f>
        <v/>
      </c>
      <c r="CE360" s="4" t="str">
        <f>B353&amp;"-0"&amp;8</f>
        <v>P36-08</v>
      </c>
      <c r="CF360" s="4" t="str">
        <f>IFERROR(INDEX('DESEMPATE Y DISCAPACIDAD'!$D$3:$D$450,MATCH(CE360,'DESEMPATE Y DISCAPACIDAD'!$C$3:$C$450,0)),"")</f>
        <v/>
      </c>
      <c r="CG360" s="4" t="str">
        <f>IF(OR(CE360="",CF360=""),"",SUMIF(D353:D362,CF360,CD353:CD362))</f>
        <v/>
      </c>
      <c r="CH360" s="4" t="str">
        <f t="shared" si="323"/>
        <v/>
      </c>
      <c r="CI360" s="4" t="str">
        <f t="shared" si="324"/>
        <v/>
      </c>
      <c r="CJ360" s="4"/>
      <c r="CK360" s="4"/>
      <c r="CL360" s="4" t="str">
        <f t="shared" si="290"/>
        <v/>
      </c>
      <c r="CM360" s="4" t="str">
        <f t="shared" si="291"/>
        <v/>
      </c>
      <c r="CN360" s="4" t="str">
        <f t="shared" si="325"/>
        <v/>
      </c>
      <c r="CO360" s="4"/>
      <c r="CP360" s="4"/>
      <c r="CQ360" s="29" t="str">
        <f t="shared" si="310"/>
        <v/>
      </c>
      <c r="CR360" s="29" t="str">
        <f t="shared" si="311"/>
        <v/>
      </c>
      <c r="CS360" s="4"/>
    </row>
    <row r="361" spans="1:103" ht="40" customHeight="1">
      <c r="B361" s="481"/>
      <c r="C361" s="118"/>
      <c r="D361" s="126" t="str">
        <f>+IFERROR(INDEX('DESEMPATE Y DISCAPACIDAD'!$D$3:$D$450,MATCH(C361,'DESEMPATE Y DISCAPACIDAD'!$C$3:$C$450,0)),"")</f>
        <v/>
      </c>
      <c r="E361" s="127" t="str">
        <f>IFERROR(IF(D361="","",IF(VLOOKUP(D361,'DESEMPATE Y DISCAPACIDAD'!D$3:$E$450,2,FALSE)=1,"N/A",IF(VLOOKUP(D361,'DESEMPATE Y DISCAPACIDAD'!D$3:$F$450,3,FALSE)="X","SI","NO"))),"")</f>
        <v/>
      </c>
      <c r="F361" s="286"/>
      <c r="G361" s="286"/>
      <c r="H361" s="286"/>
      <c r="I361" s="290"/>
      <c r="J361" s="286"/>
      <c r="K361" s="286"/>
      <c r="L361" s="286"/>
      <c r="M361" s="286"/>
      <c r="N361" s="125" t="str">
        <f t="shared" si="319"/>
        <v/>
      </c>
      <c r="O361" s="125" t="str">
        <f t="shared" si="326"/>
        <v/>
      </c>
      <c r="P361" s="125" t="str">
        <f t="shared" si="320"/>
        <v/>
      </c>
      <c r="Q361" s="125" t="str">
        <f t="shared" si="294"/>
        <v/>
      </c>
      <c r="R361" s="316"/>
      <c r="S361" s="317"/>
      <c r="T361" s="317"/>
      <c r="U361" s="125" t="str">
        <f t="shared" si="321"/>
        <v/>
      </c>
      <c r="V361" s="117" t="str">
        <f>IF(U361=2023,1160000,IFERROR(INDEX(SMMLV!$B$2:$B$101,MATCH(U361,SMMLV!$A$2:$A$101,0)),""))</f>
        <v/>
      </c>
      <c r="W361" s="343"/>
      <c r="X361" s="286"/>
      <c r="Y361" s="286"/>
      <c r="Z361" s="509"/>
      <c r="AA361" s="510"/>
      <c r="AB361" s="511"/>
      <c r="AC361" s="125" t="str">
        <f t="shared" si="322"/>
        <v/>
      </c>
      <c r="AD361" s="117" t="str">
        <f t="shared" si="297"/>
        <v/>
      </c>
      <c r="AE361" s="343" t="str">
        <f t="shared" si="301"/>
        <v/>
      </c>
      <c r="AF361" s="117" t="str">
        <f t="shared" si="288"/>
        <v/>
      </c>
      <c r="AG361" s="470"/>
      <c r="AH361" s="470"/>
      <c r="AI361" s="125" t="str">
        <f t="shared" si="289"/>
        <v/>
      </c>
      <c r="AJ361" s="470"/>
      <c r="AK361" s="470"/>
      <c r="AL361" s="472"/>
      <c r="AM361" s="496"/>
      <c r="AN361" s="286"/>
      <c r="AO361" s="507"/>
      <c r="AP361" s="286"/>
      <c r="AQ361" s="490"/>
      <c r="AR361" s="522"/>
      <c r="AS361" s="519"/>
      <c r="AT361" s="204"/>
      <c r="AU361" s="671"/>
      <c r="AV361" s="671"/>
      <c r="AW361" s="561"/>
      <c r="AX361" s="561"/>
      <c r="AY361" s="19"/>
      <c r="CB361" s="29" t="str">
        <f>IFERROR(IF(COUNTIF(AF353:AF362,"")=10,"",IF(COUNTIF(E353:E362,"N/A")&gt;0,IF(AF361&gt;=CMEMM1,AF361,0),"N/A")),"")</f>
        <v>N/A</v>
      </c>
      <c r="CC361" s="4"/>
      <c r="CD361" s="4" t="str">
        <f>IFERROR(IF(COUNTIF(AF353:AF362,"")=10,"",IF(AF361="","",IF(AF361&gt;=CMEMM1,1,0))),"")</f>
        <v/>
      </c>
      <c r="CE361" s="4" t="str">
        <f>B353&amp;"-0"&amp;9</f>
        <v>P36-09</v>
      </c>
      <c r="CF361" s="4" t="str">
        <f>IFERROR(INDEX('DESEMPATE Y DISCAPACIDAD'!$D$3:$D$450,MATCH(CE361,'DESEMPATE Y DISCAPACIDAD'!$C$3:$C$450,0)),"")</f>
        <v/>
      </c>
      <c r="CG361" s="4" t="str">
        <f>IF(OR(CE361="",CF361=""),"",SUMIF(D353:D362,CF361,CD353:CD362))</f>
        <v/>
      </c>
      <c r="CH361" s="4" t="str">
        <f t="shared" si="323"/>
        <v/>
      </c>
      <c r="CI361" s="4" t="str">
        <f t="shared" si="324"/>
        <v/>
      </c>
      <c r="CJ361" s="4"/>
      <c r="CK361" s="4"/>
      <c r="CL361" s="4" t="str">
        <f t="shared" si="290"/>
        <v/>
      </c>
      <c r="CM361" s="4" t="str">
        <f t="shared" si="291"/>
        <v/>
      </c>
      <c r="CN361" s="4" t="str">
        <f t="shared" si="325"/>
        <v/>
      </c>
      <c r="CO361" s="4"/>
      <c r="CP361" s="4"/>
      <c r="CQ361" s="29" t="str">
        <f t="shared" si="310"/>
        <v/>
      </c>
      <c r="CR361" s="29" t="str">
        <f t="shared" si="311"/>
        <v/>
      </c>
      <c r="CS361" s="4"/>
    </row>
    <row r="362" spans="1:103" ht="40" customHeight="1" thickBot="1">
      <c r="B362" s="482"/>
      <c r="C362" s="130"/>
      <c r="D362" s="131" t="str">
        <f>+IFERROR(INDEX('DESEMPATE Y DISCAPACIDAD'!$D$3:$D$450,MATCH(C362,'DESEMPATE Y DISCAPACIDAD'!$C$3:$C$450,0)),"")</f>
        <v/>
      </c>
      <c r="E362" s="132" t="str">
        <f>IFERROR(IF(D362="","",IF(VLOOKUP(D362,'DESEMPATE Y DISCAPACIDAD'!D$3:$E$450,2,FALSE)=1,"N/A",IF(VLOOKUP(D362,'DESEMPATE Y DISCAPACIDAD'!D$3:$F$450,3,FALSE)="X","SI","NO"))),"")</f>
        <v/>
      </c>
      <c r="F362" s="291"/>
      <c r="G362" s="291"/>
      <c r="H362" s="291"/>
      <c r="I362" s="292"/>
      <c r="J362" s="291"/>
      <c r="K362" s="291"/>
      <c r="L362" s="291"/>
      <c r="M362" s="291"/>
      <c r="N362" s="133" t="str">
        <f t="shared" si="319"/>
        <v/>
      </c>
      <c r="O362" s="133" t="str">
        <f t="shared" si="326"/>
        <v/>
      </c>
      <c r="P362" s="133" t="str">
        <f t="shared" si="320"/>
        <v/>
      </c>
      <c r="Q362" s="133" t="str">
        <f t="shared" si="294"/>
        <v/>
      </c>
      <c r="R362" s="318"/>
      <c r="S362" s="319"/>
      <c r="T362" s="319"/>
      <c r="U362" s="133" t="str">
        <f t="shared" si="321"/>
        <v/>
      </c>
      <c r="V362" s="136" t="str">
        <f>IF(U362=2023,1160000,IFERROR(INDEX(SMMLV!$B$2:$B$101,MATCH(U362,SMMLV!$A$2:$A$101,0)),""))</f>
        <v/>
      </c>
      <c r="W362" s="344"/>
      <c r="X362" s="291"/>
      <c r="Y362" s="291"/>
      <c r="Z362" s="512"/>
      <c r="AA362" s="513"/>
      <c r="AB362" s="514"/>
      <c r="AC362" s="133" t="str">
        <f t="shared" si="322"/>
        <v/>
      </c>
      <c r="AD362" s="136" t="str">
        <f t="shared" si="297"/>
        <v/>
      </c>
      <c r="AE362" s="344" t="str">
        <f t="shared" si="301"/>
        <v/>
      </c>
      <c r="AF362" s="136" t="str">
        <f t="shared" si="288"/>
        <v/>
      </c>
      <c r="AG362" s="471"/>
      <c r="AH362" s="471"/>
      <c r="AI362" s="133" t="str">
        <f t="shared" si="289"/>
        <v/>
      </c>
      <c r="AJ362" s="471"/>
      <c r="AK362" s="471"/>
      <c r="AL362" s="473"/>
      <c r="AM362" s="497"/>
      <c r="AN362" s="291"/>
      <c r="AO362" s="508"/>
      <c r="AP362" s="291"/>
      <c r="AQ362" s="491"/>
      <c r="AR362" s="523"/>
      <c r="AS362" s="520"/>
      <c r="AT362" s="206"/>
      <c r="AU362" s="672"/>
      <c r="AV362" s="672"/>
      <c r="AW362" s="562"/>
      <c r="AX362" s="562"/>
      <c r="AY362" s="19"/>
      <c r="CB362" s="29" t="str">
        <f>IFERROR(IF(COUNTIF(AF353:AF362,"")=10,"",IF(COUNTIF(E353:E362,"N/A")&gt;0,IF(AF362&gt;=CMEMM1,AF362,0),"N/A")),"")</f>
        <v>N/A</v>
      </c>
      <c r="CC362" s="4"/>
      <c r="CD362" s="4" t="str">
        <f>IFERROR(IF(COUNTIF(AF353:AF362,"")=10,"",IF(AF362="","",IF(AF362&gt;=CMEMM1,1,0))),"")</f>
        <v/>
      </c>
      <c r="CE362" s="4" t="str">
        <f>B353&amp;"-"&amp;10</f>
        <v>P36-10</v>
      </c>
      <c r="CF362" s="4" t="str">
        <f>IFERROR(INDEX('DESEMPATE Y DISCAPACIDAD'!$D$3:$D$450,MATCH(CE362,'DESEMPATE Y DISCAPACIDAD'!$C$3:$C$450,0)),"")</f>
        <v/>
      </c>
      <c r="CG362" s="4" t="str">
        <f>IF(OR(CE362="",CF362=""),"",SUMIF(D353:D362,CF362,CD353:CD362))</f>
        <v/>
      </c>
      <c r="CH362" s="4" t="str">
        <f t="shared" si="323"/>
        <v/>
      </c>
      <c r="CI362" s="4" t="str">
        <f t="shared" si="324"/>
        <v/>
      </c>
      <c r="CJ362" s="4"/>
      <c r="CK362" s="4"/>
      <c r="CL362" s="4" t="str">
        <f t="shared" si="290"/>
        <v/>
      </c>
      <c r="CM362" s="4" t="str">
        <f t="shared" si="291"/>
        <v/>
      </c>
      <c r="CN362" s="4" t="str">
        <f t="shared" si="325"/>
        <v/>
      </c>
      <c r="CO362" s="4"/>
      <c r="CP362" s="4"/>
      <c r="CQ362" s="29" t="str">
        <f t="shared" si="310"/>
        <v/>
      </c>
      <c r="CR362" s="29" t="str">
        <f t="shared" si="311"/>
        <v/>
      </c>
      <c r="CS362" s="4"/>
    </row>
    <row r="363" spans="1:103" ht="40" customHeight="1">
      <c r="A363" s="4" t="str">
        <f>"A"&amp;B363</f>
        <v>AP37</v>
      </c>
      <c r="B363" s="480" t="s">
        <v>298</v>
      </c>
      <c r="C363" s="108" t="s">
        <v>440</v>
      </c>
      <c r="D363" s="119" t="str">
        <f>+IFERROR(INDEX('DESEMPATE Y DISCAPACIDAD'!$D$3:$D$450,MATCH(C363,'DESEMPATE Y DISCAPACIDAD'!$C$3:$C$450,0)),"")</f>
        <v>INGERTECOL SAS BIC</v>
      </c>
      <c r="E363" s="120" t="str">
        <f>IFERROR(IF(D363="","",IF(VLOOKUP(D363,'DESEMPATE Y DISCAPACIDAD'!D$3:$E$450,2,FALSE)=1,"N/A",IF(VLOOKUP(D363,'DESEMPATE Y DISCAPACIDAD'!D$3:$F$450,3,FALSE)="X","SI","NO"))),"")</f>
        <v>NO</v>
      </c>
      <c r="F363" s="125" t="s">
        <v>659</v>
      </c>
      <c r="G363" s="125" t="s">
        <v>660</v>
      </c>
      <c r="H363" s="121" t="s">
        <v>661</v>
      </c>
      <c r="I363" s="122" t="s">
        <v>662</v>
      </c>
      <c r="J363" s="121" t="s">
        <v>74</v>
      </c>
      <c r="K363" s="121" t="s">
        <v>75</v>
      </c>
      <c r="L363" s="121" t="s">
        <v>75</v>
      </c>
      <c r="M363" s="121" t="s">
        <v>74</v>
      </c>
      <c r="N363" s="121" t="str">
        <f>IFERROR(IF(OR(J363="",K363=""),"",IF(J363="NO","NO",K363)),"")</f>
        <v>NO</v>
      </c>
      <c r="O363" s="121" t="str">
        <f>IFERROR(IF(OR(J363="",L363=""),"",IF(J363="NO","NO",L363)),"")</f>
        <v>NO</v>
      </c>
      <c r="P363" s="121" t="str">
        <f>IFERROR(IF(OR(J363="",M363=""),"",IF(J363="NO","NO",M363)),"")</f>
        <v>SI</v>
      </c>
      <c r="Q363" s="121" t="str">
        <f t="shared" si="294"/>
        <v>SI</v>
      </c>
      <c r="R363" s="103">
        <v>0.5</v>
      </c>
      <c r="S363" s="123">
        <v>41711</v>
      </c>
      <c r="T363" s="123">
        <v>42794</v>
      </c>
      <c r="U363" s="121">
        <f>IFERROR(IF(T363="","",YEAR(T363)),"")</f>
        <v>2017</v>
      </c>
      <c r="V363" s="124">
        <f>IF(U363=2023,1160000,IFERROR(INDEX(SMMLV!$B$2:$B$101,MATCH(U363,SMMLV!$A$2:$A$101,0)),""))</f>
        <v>737717</v>
      </c>
      <c r="W363" s="124" t="s">
        <v>670</v>
      </c>
      <c r="X363" s="121" t="s">
        <v>671</v>
      </c>
      <c r="Y363" s="121">
        <v>7</v>
      </c>
      <c r="Z363" s="483" t="s">
        <v>74</v>
      </c>
      <c r="AA363" s="484"/>
      <c r="AB363" s="485"/>
      <c r="AC363" s="121" t="str">
        <f>IFERROR(IF(Y363="","",IF(ISNUMBER(Y363),IF(COUNTIF(Z363,"SI")&gt;0,"SI","NO"),Y363)),"")</f>
        <v>SI</v>
      </c>
      <c r="AD363" s="124" t="str">
        <f t="shared" si="297"/>
        <v>N/A</v>
      </c>
      <c r="AE363" s="117">
        <v>20530.330000000002</v>
      </c>
      <c r="AF363" s="124">
        <f t="shared" si="288"/>
        <v>10265.165000000001</v>
      </c>
      <c r="AG363" s="486" t="str">
        <f>IFERROR(IF(COUNTIF(AF363:AF372,"")=10,"",IF(COUNTIF(E363:E372,"N/A")&gt;0,IF(SUM(CB363:CB372)&gt;=CMEM1,"CUMPLE","NO CUMPLE"),IF(SUM(AF363:AF372)&gt;=CMEM1,"CUMPLE","NO CUMPLE"))),"")</f>
        <v>CUMPLE</v>
      </c>
      <c r="AH363" s="486" t="str">
        <f>IF(COUNTIF(AF363:AF372,"")=10,"",IF(SUMIF(C363:C372,C363,AF363:AF372)&gt;=CMLM1,"CUMPLE",IF(SUMIF(C363:C372,C364,AF363:AF372)&gt;=CMLM1,"CUMPLE",IF(SUMIF(C363:C372,C365,AF363:AF372)&gt;=CMLM1,"CUMPLE",IF(SUMIF(C363:C372,C366,AF363:AF372)&gt;=CMLM1,"CUMPLE",IF(SUMIF(C363:C372,C367,AF363:AF372)&gt;=CMLM1,"CUMPLE",IF(SUMIF(C363:C372,C368,AF363:AF372)&gt;=CMLM1,"CUMPLE",IF(SUMIF(C363:C372,C369,AF363:AF372)&gt;=CMLM1,"CUMPLE",IF(SUMIF(C363:C372,C370,AF363:AF372)&gt;=CMLM1,"CUMPLE",IF(SUMIF(C363:C372,C371,AF363:AF372)&gt;=CMLM1,"CUMPLE",IF(SUMIF(C363:C372,C372,AF363:AF372)&gt;=CMLM1,"CUMPLE","NO CUMPLE")))))))))))</f>
        <v>CUMPLE</v>
      </c>
      <c r="AI363" s="121" t="str">
        <f t="shared" si="289"/>
        <v>CUMPLE</v>
      </c>
      <c r="AJ363" s="469" t="str">
        <f>IFERROR(IF(COUNTIF(AF363:AF372,"")=10,"",IF(COUNTIF(E363:E372,"N/A")&gt;0,"N/A",CJ363)),"")</f>
        <v>CUMPLE</v>
      </c>
      <c r="AK363" s="469" t="str">
        <f>IFERROR(IF(AND(COUNTIF(N363:N372,"SI")&gt;=1,COUNTIF(O363:O372,"SI")&gt;=1,COUNTIF(P363:P372,"SI")&gt;=1,COUNTIF(J363:J372,"SI")&lt;=10,CO363="CUMPLE"),"CUMPLE","NO CUMPLE"),"")</f>
        <v>CUMPLE</v>
      </c>
      <c r="AL363" s="472" t="s">
        <v>77</v>
      </c>
      <c r="AM363" s="495">
        <f>IFERROR(IF(B363&lt;&gt;"",IF(VLOOKUP(B363,'DESEMPATE Y DISCAPACIDAD'!$A$3:$Q$450,10,FALSE)="","",VLOOKUP(B363,'DESEMPATE Y DISCAPACIDAD'!$A$3:$Q$450,10,FALSE)+6),""),"")</f>
        <v>8</v>
      </c>
      <c r="AN363" s="121" t="s">
        <v>75</v>
      </c>
      <c r="AO363" s="490" t="s">
        <v>74</v>
      </c>
      <c r="AP363" s="121" t="s">
        <v>74</v>
      </c>
      <c r="AQ363" s="490">
        <f>IFERROR(IF(COUNTIF(AP363:AP372,"")=10,"",IF(AO363="NO",0,COUNTIF(AP363:AP372,"SI"))),"")</f>
        <v>4</v>
      </c>
      <c r="AR363" s="521">
        <f>IFERROR(IF(COUNTIF(AF363:AF372,"")=10,"",IF(AO363="NO",0,IF(COUNTIF(E363:E372,"N/A")&gt;0,SUM(CQ363:CQ372),SUM(CR363:CR372)))),"")</f>
        <v>83993.594322399993</v>
      </c>
      <c r="AS363" s="518">
        <f>IFERROR(IF(OR(COUNTIF(AF363:AF372,"")=10,AQ363="",AR363=""),"",IF(AO363="NO",0,AR363/AQ363)),"")</f>
        <v>20998.398580599998</v>
      </c>
      <c r="AT363" s="207"/>
      <c r="AU363" s="682" t="s">
        <v>749</v>
      </c>
      <c r="AV363" s="685" t="s">
        <v>747</v>
      </c>
      <c r="AW363" s="688" t="s">
        <v>1357</v>
      </c>
      <c r="AX363" s="688" t="s">
        <v>1357</v>
      </c>
      <c r="AY363" s="19"/>
      <c r="CB363" s="29" t="str">
        <f>IFERROR(IF(COUNTIF(AF363:AF372,"")=10,"",IF(COUNTIF(E363:E372,"N/A")&gt;0,IF(AF363&gt;=CMEMM1,AF363,0),"N/A")),"")</f>
        <v>N/A</v>
      </c>
      <c r="CC363" s="4"/>
      <c r="CD363" s="4">
        <f>IFERROR(IF(COUNTIF(AF363:AF372,"")=10,"",IF(AF363="","",IF(AF363&gt;=CMEMM1,1,0))),"")</f>
        <v>1</v>
      </c>
      <c r="CE363" s="4" t="str">
        <f>B363&amp;"-0"&amp;1</f>
        <v>P37-01</v>
      </c>
      <c r="CF363" s="4" t="str">
        <f>IFERROR(INDEX('DESEMPATE Y DISCAPACIDAD'!$D$3:$D$450,MATCH(CE363,'DESEMPATE Y DISCAPACIDAD'!$C$3:$C$450,0)),"")</f>
        <v>INGERTECOL SAS BIC</v>
      </c>
      <c r="CG363" s="4">
        <f>IF(OR(CE363="",CF363=""),"",SUMIF(D363:D372,CF363,CD363:CD372))</f>
        <v>1</v>
      </c>
      <c r="CH363" s="4" t="str">
        <f t="shared" si="323"/>
        <v>CUMPLE</v>
      </c>
      <c r="CI363" s="4">
        <f>IF(CF363="","",IF(ISTEXT(CF363),1,0))</f>
        <v>1</v>
      </c>
      <c r="CJ363" s="4" t="str">
        <f>IF(OR(CD363="",CE363="",CF363="",CG363="",CH363="",CI363=""),"",IF(COUNTIF(CH363:CH372,"CUMPLE")=COUNTIF(CI363:CI372,1),"CUMPLE","NO CUMPLE"))</f>
        <v>CUMPLE</v>
      </c>
      <c r="CK363" s="4"/>
      <c r="CL363" s="4">
        <f t="shared" si="290"/>
        <v>0</v>
      </c>
      <c r="CM363" s="4">
        <f t="shared" si="291"/>
        <v>0</v>
      </c>
      <c r="CN363" s="4" t="str">
        <f>IF(OR(CL363="",CM363=""),"",IF(AND(CL363=0,CM363=0),"N/A",IF(AND(CL363=1,CM363=0),"COND. A",IF(AND(CL363=0,CM363=1),"COND. B",IF(AND(CL363=1,CM363=1),"COND. A Y B","")))))</f>
        <v>N/A</v>
      </c>
      <c r="CO363" s="4" t="str">
        <f>IF(COUNTIF(CN363:CN372,"N/A")=10,"NO CUMPLE",IF(COUNTIF(CN363:CN372,"COND. A Y B")&gt;1,"CUMPLE",IF(AND(COUNTIF(CN363:CN372,"COND. A")&gt;0,COUNTIF(CN363:CN372,"COND. B")&gt;0),"CUMPLE",IF(AND(COUNTIF(CN363:CN372,"COND. A Y B")&gt;0,COUNTIF(CN363:CN372,"COND. A")&gt;0),"CUMPLE",IF(AND(COUNTIF(CN363:CN372,"COND. A Y B")&gt;0,COUNTIF(CN363:CN372,"COND. B")&gt;0),"CUMPLE","NO CUMPLE")))))</f>
        <v>CUMPLE</v>
      </c>
      <c r="CP363" s="4"/>
      <c r="CQ363" s="29" t="str">
        <f t="shared" si="310"/>
        <v>N/A</v>
      </c>
      <c r="CR363" s="29">
        <f t="shared" si="311"/>
        <v>10265.165000000001</v>
      </c>
      <c r="CS363" s="4"/>
    </row>
    <row r="364" spans="1:103" ht="45" customHeight="1">
      <c r="B364" s="481"/>
      <c r="C364" s="118" t="s">
        <v>441</v>
      </c>
      <c r="D364" s="119" t="str">
        <f>+IFERROR(INDEX('DESEMPATE Y DISCAPACIDAD'!$D$3:$D$450,MATCH(C364,'DESEMPATE Y DISCAPACIDAD'!$C$3:$C$450,0)),"")</f>
        <v>ACI PROYECTOS SAS</v>
      </c>
      <c r="E364" s="120" t="str">
        <f>IFERROR(IF(D364="","",IF(VLOOKUP(D364,'DESEMPATE Y DISCAPACIDAD'!D$3:$E$450,2,FALSE)=1,"N/A",IF(VLOOKUP(D364,'DESEMPATE Y DISCAPACIDAD'!D$3:$F$450,3,FALSE)="X","SI","NO"))),"")</f>
        <v>NO</v>
      </c>
      <c r="F364" s="3" t="s">
        <v>663</v>
      </c>
      <c r="G364" s="3" t="s">
        <v>660</v>
      </c>
      <c r="H364" s="179" t="s">
        <v>664</v>
      </c>
      <c r="I364" s="122" t="s">
        <v>665</v>
      </c>
      <c r="J364" s="121" t="s">
        <v>74</v>
      </c>
      <c r="K364" s="121" t="s">
        <v>74</v>
      </c>
      <c r="L364" s="121" t="s">
        <v>74</v>
      </c>
      <c r="M364" s="121" t="s">
        <v>74</v>
      </c>
      <c r="N364" s="121" t="str">
        <f t="shared" ref="N364:N372" si="327">IFERROR(IF(OR(J364="",K364=""),"",IF(J364="NO","NO",K364)),"")</f>
        <v>SI</v>
      </c>
      <c r="O364" s="121" t="str">
        <f>IFERROR(IF(OR(J364="",L364=""),"",IF(J364="NO","NO",L364)),"")</f>
        <v>SI</v>
      </c>
      <c r="P364" s="121" t="str">
        <f t="shared" ref="P364:P372" si="328">IFERROR(IF(OR(J364="",M364=""),"",IF(J364="NO","NO",M364)),"")</f>
        <v>SI</v>
      </c>
      <c r="Q364" s="121" t="str">
        <f t="shared" si="294"/>
        <v>SI</v>
      </c>
      <c r="R364" s="103">
        <v>0.83499999999999996</v>
      </c>
      <c r="S364" s="123">
        <v>38337</v>
      </c>
      <c r="T364" s="123">
        <v>41440</v>
      </c>
      <c r="U364" s="121">
        <f t="shared" ref="U364:U372" si="329">IFERROR(IF(T364="","",YEAR(T364)),"")</f>
        <v>2013</v>
      </c>
      <c r="V364" s="124">
        <f>IF(U364=2023,1160000,IFERROR(INDEX(SMMLV!$B$2:$B$101,MATCH(U364,SMMLV!$A$2:$A$101,0)),""))</f>
        <v>589500</v>
      </c>
      <c r="W364" s="124" t="s">
        <v>670</v>
      </c>
      <c r="X364" s="125" t="s">
        <v>671</v>
      </c>
      <c r="Y364" s="125">
        <v>37</v>
      </c>
      <c r="Z364" s="474" t="s">
        <v>74</v>
      </c>
      <c r="AA364" s="475"/>
      <c r="AB364" s="476"/>
      <c r="AC364" s="125" t="str">
        <f t="shared" ref="AC364:AC372" si="330">IFERROR(IF(Y364="","",IF(ISNUMBER(Y364),IF(COUNTIF(Z364,"SI")&gt;0,"SI","NO"),Y364)),"")</f>
        <v>SI</v>
      </c>
      <c r="AD364" s="117" t="str">
        <f t="shared" si="297"/>
        <v>N/A</v>
      </c>
      <c r="AE364" s="117">
        <v>15762.04</v>
      </c>
      <c r="AF364" s="117">
        <f t="shared" si="288"/>
        <v>13161.303400000001</v>
      </c>
      <c r="AG364" s="470"/>
      <c r="AH364" s="470"/>
      <c r="AI364" s="125" t="str">
        <f t="shared" si="289"/>
        <v>CUMPLE</v>
      </c>
      <c r="AJ364" s="470"/>
      <c r="AK364" s="470"/>
      <c r="AL364" s="472"/>
      <c r="AM364" s="496"/>
      <c r="AN364" s="125" t="s">
        <v>75</v>
      </c>
      <c r="AO364" s="490"/>
      <c r="AP364" s="125" t="s">
        <v>74</v>
      </c>
      <c r="AQ364" s="490"/>
      <c r="AR364" s="522"/>
      <c r="AS364" s="519"/>
      <c r="AT364" s="240"/>
      <c r="AU364" s="683"/>
      <c r="AV364" s="686"/>
      <c r="AW364" s="689"/>
      <c r="AX364" s="689"/>
      <c r="AY364" s="19"/>
      <c r="CB364" s="29" t="str">
        <f>IFERROR(IF(COUNTIF(AF363:AF372,"")=10,"",IF(COUNTIF(E363:E372,"N/A")&gt;0,IF(AF364&gt;=CMEMM1,AF364,0),"N/A")),"")</f>
        <v>N/A</v>
      </c>
      <c r="CC364" s="4"/>
      <c r="CD364" s="4">
        <f>IFERROR(IF(COUNTIF(AF363:AF372,"")=10,"",IF(AF364="","",IF(AF364&gt;=CMEMM1,1,0))),"")</f>
        <v>1</v>
      </c>
      <c r="CE364" s="4" t="str">
        <f>B363&amp;"-0"&amp;2</f>
        <v>P37-02</v>
      </c>
      <c r="CF364" s="4" t="str">
        <f>IFERROR(INDEX('DESEMPATE Y DISCAPACIDAD'!$D$3:$D$450,MATCH(CE364,'DESEMPATE Y DISCAPACIDAD'!$C$3:$C$450,0)),"")</f>
        <v>ACI PROYECTOS SAS</v>
      </c>
      <c r="CG364" s="4">
        <f>IF(OR(CE364="",CF364=""),"",SUMIF(D363:D372,CF364,CD363:CD372))</f>
        <v>1</v>
      </c>
      <c r="CH364" s="4" t="str">
        <f t="shared" si="323"/>
        <v>CUMPLE</v>
      </c>
      <c r="CI364" s="4">
        <f t="shared" ref="CI364:CI372" si="331">IF(CF364="","",IF(ISTEXT(CF364),1,0))</f>
        <v>1</v>
      </c>
      <c r="CJ364" s="4"/>
      <c r="CK364" s="4"/>
      <c r="CL364" s="4">
        <f t="shared" si="290"/>
        <v>1</v>
      </c>
      <c r="CM364" s="4">
        <f t="shared" si="291"/>
        <v>1</v>
      </c>
      <c r="CN364" s="4" t="str">
        <f t="shared" ref="CN364:CN372" si="332">IF(OR(CL364="",CM364=""),"",IF(AND(CL364=0,CM364=0),"N/A",IF(AND(CL364=1,CM364=0),"COND. A",IF(AND(CL364=0,CM364=1),"COND. B",IF(AND(CL364=1,CM364=1),"COND. A Y B","")))))</f>
        <v>COND. A Y B</v>
      </c>
      <c r="CO364" s="4"/>
      <c r="CP364" s="4"/>
      <c r="CQ364" s="29" t="str">
        <f t="shared" si="310"/>
        <v>N/A</v>
      </c>
      <c r="CR364" s="29">
        <f t="shared" si="311"/>
        <v>13161.303400000001</v>
      </c>
      <c r="CS364" s="4"/>
    </row>
    <row r="365" spans="1:103" ht="45" customHeight="1">
      <c r="B365" s="481"/>
      <c r="C365" s="118" t="s">
        <v>442</v>
      </c>
      <c r="D365" s="126" t="str">
        <f>+IFERROR(INDEX('DESEMPATE Y DISCAPACIDAD'!$D$3:$D$450,MATCH(C365,'DESEMPATE Y DISCAPACIDAD'!$C$3:$C$450,0)),"")</f>
        <v>CONSULTORES EN INGENIERIA S.A.S</v>
      </c>
      <c r="E365" s="127" t="str">
        <f>IFERROR(IF(D365="","",IF(VLOOKUP(D365,'DESEMPATE Y DISCAPACIDAD'!D$3:$E$450,2,FALSE)=1,"N/A",IF(VLOOKUP(D365,'DESEMPATE Y DISCAPACIDAD'!D$3:$F$450,3,FALSE)="X","SI","NO"))),"")</f>
        <v>NO</v>
      </c>
      <c r="F365" s="179" t="s">
        <v>663</v>
      </c>
      <c r="G365" s="179" t="s">
        <v>660</v>
      </c>
      <c r="H365" s="3" t="s">
        <v>666</v>
      </c>
      <c r="I365" s="128" t="s">
        <v>667</v>
      </c>
      <c r="J365" s="125" t="s">
        <v>74</v>
      </c>
      <c r="K365" s="125" t="s">
        <v>74</v>
      </c>
      <c r="L365" s="125" t="s">
        <v>74</v>
      </c>
      <c r="M365" s="125" t="s">
        <v>74</v>
      </c>
      <c r="N365" s="125" t="str">
        <f t="shared" si="327"/>
        <v>SI</v>
      </c>
      <c r="O365" s="125" t="str">
        <f>IFERROR(IF(OR(J365="",L365=""),"",IF(J365="NO","NO",L365)),"")</f>
        <v>SI</v>
      </c>
      <c r="P365" s="125" t="str">
        <f t="shared" si="328"/>
        <v>SI</v>
      </c>
      <c r="Q365" s="125" t="str">
        <f t="shared" si="294"/>
        <v>SI</v>
      </c>
      <c r="R365" s="68">
        <v>0.49</v>
      </c>
      <c r="S365" s="129">
        <v>41943</v>
      </c>
      <c r="T365" s="129">
        <v>44865</v>
      </c>
      <c r="U365" s="125">
        <f t="shared" si="329"/>
        <v>2022</v>
      </c>
      <c r="V365" s="117">
        <f>IF(U365=2023,1160000,IFERROR(INDEX(SMMLV!$B$2:$B$101,MATCH(U365,SMMLV!$A$2:$A$101,0)),""))</f>
        <v>1000000</v>
      </c>
      <c r="W365" s="117" t="s">
        <v>670</v>
      </c>
      <c r="X365" s="125" t="s">
        <v>671</v>
      </c>
      <c r="Y365" s="125">
        <v>216</v>
      </c>
      <c r="Z365" s="474" t="s">
        <v>74</v>
      </c>
      <c r="AA365" s="475"/>
      <c r="AB365" s="476"/>
      <c r="AC365" s="125" t="str">
        <f t="shared" si="330"/>
        <v>SI</v>
      </c>
      <c r="AD365" s="117" t="str">
        <f t="shared" si="297"/>
        <v>N/A</v>
      </c>
      <c r="AE365" s="117">
        <v>51498.12</v>
      </c>
      <c r="AF365" s="117">
        <f t="shared" si="288"/>
        <v>25234.078799999999</v>
      </c>
      <c r="AG365" s="470"/>
      <c r="AH365" s="470"/>
      <c r="AI365" s="125" t="str">
        <f t="shared" si="289"/>
        <v>CUMPLE</v>
      </c>
      <c r="AJ365" s="470"/>
      <c r="AK365" s="470"/>
      <c r="AL365" s="472"/>
      <c r="AM365" s="496"/>
      <c r="AN365" s="125" t="s">
        <v>75</v>
      </c>
      <c r="AO365" s="490"/>
      <c r="AP365" s="125" t="s">
        <v>74</v>
      </c>
      <c r="AQ365" s="490"/>
      <c r="AR365" s="522"/>
      <c r="AS365" s="519"/>
      <c r="AT365" s="240"/>
      <c r="AU365" s="683"/>
      <c r="AV365" s="686"/>
      <c r="AW365" s="689"/>
      <c r="AX365" s="689"/>
      <c r="AY365" s="19"/>
      <c r="AZ365" s="19"/>
      <c r="BA365" s="19"/>
      <c r="BB365" s="19"/>
      <c r="BC365" s="19"/>
      <c r="BD365" s="19"/>
      <c r="BE365" s="19"/>
      <c r="BF365" s="19"/>
      <c r="BG365" s="19"/>
      <c r="BH365" s="19"/>
      <c r="BI365" s="19"/>
      <c r="BJ365" s="19"/>
      <c r="BZ365" s="4"/>
      <c r="CA365" s="4"/>
      <c r="CB365" s="29" t="str">
        <f>IFERROR(IF(COUNTIF(AF363:AF372,"")=10,"",IF(COUNTIF(E363:E372,"N/A")&gt;0,IF(AF365&gt;=CMEMM1,AF365,0),"N/A")),"")</f>
        <v>N/A</v>
      </c>
      <c r="CC365" s="4"/>
      <c r="CD365" s="4">
        <f>IFERROR(IF(COUNTIF(AF363:AF372,"")=10,"",IF(AF365="","",IF(AF365&gt;=CMEMM1,1,0))),"")</f>
        <v>1</v>
      </c>
      <c r="CE365" s="4" t="str">
        <f>B363&amp;"-0"&amp;3</f>
        <v>P37-03</v>
      </c>
      <c r="CF365" s="4" t="str">
        <f>IFERROR(INDEX('DESEMPATE Y DISCAPACIDAD'!$D$3:$D$450,MATCH(CE365,'DESEMPATE Y DISCAPACIDAD'!$C$3:$C$450,0)),"")</f>
        <v>CONSULTORES EN INGENIERIA S.A.S</v>
      </c>
      <c r="CG365" s="4">
        <f>IF(OR(CE365="",CF365=""),"",SUMIF(D363:D372,CF365,CD363:CD372))</f>
        <v>1</v>
      </c>
      <c r="CH365" s="4" t="str">
        <f t="shared" si="323"/>
        <v>CUMPLE</v>
      </c>
      <c r="CI365" s="4">
        <f t="shared" si="331"/>
        <v>1</v>
      </c>
      <c r="CJ365" s="4"/>
      <c r="CK365" s="4"/>
      <c r="CL365" s="4">
        <f t="shared" si="290"/>
        <v>1</v>
      </c>
      <c r="CM365" s="4">
        <f t="shared" si="291"/>
        <v>1</v>
      </c>
      <c r="CN365" s="4" t="str">
        <f t="shared" si="332"/>
        <v>COND. A Y B</v>
      </c>
      <c r="CO365" s="4"/>
      <c r="CP365" s="4"/>
      <c r="CQ365" s="29" t="str">
        <f t="shared" si="310"/>
        <v>N/A</v>
      </c>
      <c r="CR365" s="29">
        <f t="shared" si="311"/>
        <v>25234.078799999999</v>
      </c>
      <c r="CS365" s="4"/>
    </row>
    <row r="366" spans="1:103" ht="45" customHeight="1">
      <c r="B366" s="481"/>
      <c r="C366" s="118" t="s">
        <v>443</v>
      </c>
      <c r="D366" s="126" t="str">
        <f>+IFERROR(INDEX('DESEMPATE Y DISCAPACIDAD'!$D$3:$D$450,MATCH(C366,'DESEMPATE Y DISCAPACIDAD'!$C$3:$C$450,0)),"")</f>
        <v>RESTREPO Y URIBE S.A.S</v>
      </c>
      <c r="E366" s="127" t="str">
        <f>IFERROR(IF(D366="","",IF(VLOOKUP(D366,'DESEMPATE Y DISCAPACIDAD'!D$3:$E$450,2,FALSE)=1,"N/A",IF(VLOOKUP(D366,'DESEMPATE Y DISCAPACIDAD'!D$3:$F$450,3,FALSE)="X","SI","NO"))),"")</f>
        <v>NO</v>
      </c>
      <c r="F366" s="367" t="s">
        <v>663</v>
      </c>
      <c r="G366" s="3" t="s">
        <v>660</v>
      </c>
      <c r="H366" s="3" t="s">
        <v>668</v>
      </c>
      <c r="I366" s="364" t="s">
        <v>669</v>
      </c>
      <c r="J366" s="3" t="s">
        <v>74</v>
      </c>
      <c r="K366" s="3" t="s">
        <v>74</v>
      </c>
      <c r="L366" s="3" t="s">
        <v>74</v>
      </c>
      <c r="M366" s="3" t="s">
        <v>74</v>
      </c>
      <c r="N366" s="3" t="str">
        <f t="shared" si="327"/>
        <v>SI</v>
      </c>
      <c r="O366" s="3" t="str">
        <f>IFERROR(IF(OR(J366="",L366=""),"",IF(J366="NO","NO",L366)),"")</f>
        <v>SI</v>
      </c>
      <c r="P366" s="3" t="str">
        <f t="shared" si="328"/>
        <v>SI</v>
      </c>
      <c r="Q366" s="3" t="str">
        <f t="shared" si="294"/>
        <v>SI</v>
      </c>
      <c r="R366" s="7">
        <v>0.4</v>
      </c>
      <c r="S366" s="248">
        <v>41012</v>
      </c>
      <c r="T366" s="248">
        <v>44938</v>
      </c>
      <c r="U366" s="3">
        <f t="shared" si="329"/>
        <v>2023</v>
      </c>
      <c r="V366" s="21">
        <f>IF(U366=2023,1160000,IFERROR(INDEX(SMMLV!$B$2:$B$101,MATCH(U366,SMMLV!$A$2:$A$101,0)),""))</f>
        <v>1160000</v>
      </c>
      <c r="W366" s="21">
        <v>102465836655</v>
      </c>
      <c r="X366" s="3" t="s">
        <v>671</v>
      </c>
      <c r="Y366" s="3">
        <v>259</v>
      </c>
      <c r="Z366" s="477" t="s">
        <v>74</v>
      </c>
      <c r="AA366" s="478"/>
      <c r="AB366" s="479"/>
      <c r="AC366" s="3" t="str">
        <f t="shared" si="330"/>
        <v>SI</v>
      </c>
      <c r="AD366" s="21">
        <f t="shared" si="297"/>
        <v>102465836655</v>
      </c>
      <c r="AE366" s="21">
        <v>88332.617805999995</v>
      </c>
      <c r="AF366" s="21">
        <f t="shared" si="288"/>
        <v>35333.047122399999</v>
      </c>
      <c r="AG366" s="470"/>
      <c r="AH366" s="470"/>
      <c r="AI366" s="125" t="str">
        <f t="shared" si="289"/>
        <v>CUMPLE</v>
      </c>
      <c r="AJ366" s="470"/>
      <c r="AK366" s="470"/>
      <c r="AL366" s="472"/>
      <c r="AM366" s="496"/>
      <c r="AN366" s="125" t="s">
        <v>75</v>
      </c>
      <c r="AO366" s="490"/>
      <c r="AP366" s="125" t="s">
        <v>74</v>
      </c>
      <c r="AQ366" s="490"/>
      <c r="AR366" s="522"/>
      <c r="AS366" s="519"/>
      <c r="AT366" s="240"/>
      <c r="AU366" s="683"/>
      <c r="AV366" s="686"/>
      <c r="AW366" s="689"/>
      <c r="AX366" s="689"/>
      <c r="AY366" s="19"/>
      <c r="AZ366" s="19"/>
      <c r="BA366" s="19"/>
      <c r="BB366" s="19"/>
      <c r="BC366" s="19"/>
      <c r="BD366" s="19"/>
      <c r="BE366" s="19"/>
      <c r="BF366" s="19"/>
      <c r="BG366" s="19"/>
      <c r="BH366" s="19"/>
      <c r="BI366" s="19"/>
      <c r="BJ366" s="19"/>
      <c r="BZ366" s="4"/>
      <c r="CA366" s="4"/>
      <c r="CB366" s="29" t="str">
        <f>IFERROR(IF(COUNTIF(AF363:AF372,"")=10,"",IF(COUNTIF(E363:E372,"N/A")&gt;0,IF(AF366&gt;=CMEMM1,AF366,0),"N/A")),"")</f>
        <v>N/A</v>
      </c>
      <c r="CC366" s="4"/>
      <c r="CD366" s="4">
        <f>IFERROR(IF(COUNTIF(AF363:AF372,"")=10,"",IF(AF366="","",IF(AF366&gt;=CMEMM1,1,0))),"")</f>
        <v>1</v>
      </c>
      <c r="CE366" s="4" t="str">
        <f>B363&amp;"-0"&amp;4</f>
        <v>P37-04</v>
      </c>
      <c r="CF366" s="4" t="str">
        <f>IFERROR(INDEX('DESEMPATE Y DISCAPACIDAD'!$D$3:$D$450,MATCH(CE366,'DESEMPATE Y DISCAPACIDAD'!$C$3:$C$450,0)),"")</f>
        <v>RESTREPO Y URIBE S.A.S</v>
      </c>
      <c r="CG366" s="4">
        <f>IF(OR(CE366="",CF366=""),"",SUMIF(D363:D372,CF366,CD363:CD372))</f>
        <v>1</v>
      </c>
      <c r="CH366" s="4" t="str">
        <f t="shared" si="323"/>
        <v>CUMPLE</v>
      </c>
      <c r="CI366" s="4">
        <f t="shared" si="331"/>
        <v>1</v>
      </c>
      <c r="CJ366" s="4"/>
      <c r="CK366" s="4"/>
      <c r="CL366" s="4">
        <f t="shared" si="290"/>
        <v>1</v>
      </c>
      <c r="CM366" s="4">
        <f t="shared" si="291"/>
        <v>1</v>
      </c>
      <c r="CN366" s="4" t="str">
        <f t="shared" si="332"/>
        <v>COND. A Y B</v>
      </c>
      <c r="CO366" s="4"/>
      <c r="CP366" s="4"/>
      <c r="CQ366" s="29" t="str">
        <f t="shared" si="310"/>
        <v>N/A</v>
      </c>
      <c r="CR366" s="29">
        <f t="shared" si="311"/>
        <v>35333.047122399999</v>
      </c>
      <c r="CS366" s="4"/>
    </row>
    <row r="367" spans="1:103" ht="45" customHeight="1">
      <c r="B367" s="481"/>
      <c r="C367" s="118"/>
      <c r="D367" s="126" t="str">
        <f>+IFERROR(INDEX('DESEMPATE Y DISCAPACIDAD'!$D$3:$D$450,MATCH(C367,'DESEMPATE Y DISCAPACIDAD'!$C$3:$C$450,0)),"")</f>
        <v/>
      </c>
      <c r="E367" s="127" t="str">
        <f>IFERROR(IF(D367="","",IF(VLOOKUP(D367,'DESEMPATE Y DISCAPACIDAD'!D$3:$E$450,2,FALSE)=1,"N/A",IF(VLOOKUP(D367,'DESEMPATE Y DISCAPACIDAD'!D$3:$F$450,3,FALSE)="X","SI","NO"))),"")</f>
        <v/>
      </c>
      <c r="F367" s="125"/>
      <c r="G367" s="125"/>
      <c r="H367" s="125"/>
      <c r="I367" s="128"/>
      <c r="J367" s="125"/>
      <c r="K367" s="125"/>
      <c r="L367" s="125"/>
      <c r="M367" s="125"/>
      <c r="N367" s="125" t="str">
        <f t="shared" si="327"/>
        <v/>
      </c>
      <c r="O367" s="125" t="str">
        <f t="shared" ref="O367:O372" si="333">IFERROR(IF(OR(J367="",L367=""),"",IF(J367="NO","NO",L367)),"")</f>
        <v/>
      </c>
      <c r="P367" s="125" t="str">
        <f t="shared" si="328"/>
        <v/>
      </c>
      <c r="Q367" s="125" t="str">
        <f t="shared" si="294"/>
        <v/>
      </c>
      <c r="R367" s="68"/>
      <c r="S367" s="129"/>
      <c r="T367" s="129"/>
      <c r="U367" s="125" t="str">
        <f t="shared" si="329"/>
        <v/>
      </c>
      <c r="V367" s="117" t="str">
        <f>IF(U367=2023,1160000,IFERROR(INDEX(SMMLV!$B$2:$B$101,MATCH(U367,SMMLV!$A$2:$A$101,0)),""))</f>
        <v/>
      </c>
      <c r="W367" s="117"/>
      <c r="X367" s="125"/>
      <c r="Y367" s="125"/>
      <c r="Z367" s="474"/>
      <c r="AA367" s="475"/>
      <c r="AB367" s="476"/>
      <c r="AC367" s="125" t="str">
        <f t="shared" si="330"/>
        <v/>
      </c>
      <c r="AD367" s="117" t="str">
        <f t="shared" si="297"/>
        <v/>
      </c>
      <c r="AE367" s="117" t="str">
        <f t="shared" ref="AE367:AE382" si="334">IFERROR(IF(OR(V367="",AD367=""),"",ROUND(AD367/V367,2)),"")</f>
        <v/>
      </c>
      <c r="AF367" s="117" t="str">
        <f t="shared" si="288"/>
        <v/>
      </c>
      <c r="AG367" s="470"/>
      <c r="AH367" s="470"/>
      <c r="AI367" s="125" t="str">
        <f t="shared" si="289"/>
        <v/>
      </c>
      <c r="AJ367" s="470"/>
      <c r="AK367" s="470"/>
      <c r="AL367" s="472"/>
      <c r="AM367" s="496"/>
      <c r="AN367" s="125"/>
      <c r="AO367" s="490"/>
      <c r="AP367" s="125"/>
      <c r="AQ367" s="490"/>
      <c r="AR367" s="522"/>
      <c r="AS367" s="519"/>
      <c r="AT367" s="204"/>
      <c r="AU367" s="683"/>
      <c r="AV367" s="686"/>
      <c r="AW367" s="689"/>
      <c r="AX367" s="689"/>
      <c r="AY367" s="19"/>
      <c r="AZ367" s="19"/>
      <c r="BA367" s="19"/>
      <c r="BB367" s="19"/>
      <c r="BC367" s="19"/>
      <c r="BD367" s="19"/>
      <c r="BE367" s="19"/>
      <c r="BF367" s="19"/>
      <c r="BG367" s="19"/>
      <c r="BH367" s="19"/>
      <c r="BI367" s="19"/>
      <c r="BJ367" s="19"/>
      <c r="BZ367" s="4"/>
      <c r="CA367" s="4"/>
      <c r="CB367" s="29" t="str">
        <f>IFERROR(IF(COUNTIF(AF363:AF372,"")=10,"",IF(COUNTIF(E363:E372,"N/A")&gt;0,IF(AF367&gt;=CMEMM1,AF367,0),"N/A")),"")</f>
        <v>N/A</v>
      </c>
      <c r="CC367" s="4"/>
      <c r="CD367" s="4" t="str">
        <f>IFERROR(IF(COUNTIF(AF363:AF372,"")=10,"",IF(AF367="","",IF(AF367&gt;=CMEMM1,1,0))),"")</f>
        <v/>
      </c>
      <c r="CE367" s="4" t="str">
        <f>B363&amp;"-0"&amp;5</f>
        <v>P37-05</v>
      </c>
      <c r="CF367" s="4">
        <f>IFERROR(INDEX('DESEMPATE Y DISCAPACIDAD'!$D$3:$D$450,MATCH(CE367,'DESEMPATE Y DISCAPACIDAD'!$C$3:$C$450,0)),"")</f>
        <v>0</v>
      </c>
      <c r="CG367" s="4">
        <f>IF(OR(CE367="",CF367=""),"",SUMIF(D363:D372,CF367,CD363:CD372))</f>
        <v>0</v>
      </c>
      <c r="CH367" s="4" t="str">
        <f t="shared" si="323"/>
        <v>NO CUMPLE</v>
      </c>
      <c r="CI367" s="4">
        <f t="shared" si="331"/>
        <v>0</v>
      </c>
      <c r="CJ367" s="4"/>
      <c r="CK367" s="4"/>
      <c r="CL367" s="4" t="str">
        <f t="shared" si="290"/>
        <v/>
      </c>
      <c r="CM367" s="4" t="str">
        <f t="shared" si="291"/>
        <v/>
      </c>
      <c r="CN367" s="4" t="str">
        <f t="shared" si="332"/>
        <v/>
      </c>
      <c r="CO367" s="4"/>
      <c r="CP367" s="4"/>
      <c r="CQ367" s="29" t="str">
        <f t="shared" si="310"/>
        <v/>
      </c>
      <c r="CR367" s="29" t="str">
        <f t="shared" si="311"/>
        <v/>
      </c>
      <c r="CS367" s="4"/>
      <c r="CT367" s="4"/>
      <c r="CU367" s="4"/>
      <c r="CV367" s="4"/>
      <c r="CW367" s="4"/>
      <c r="CX367" s="4"/>
      <c r="CY367" s="4"/>
    </row>
    <row r="368" spans="1:103" ht="45" customHeight="1">
      <c r="B368" s="481"/>
      <c r="C368" s="118"/>
      <c r="D368" s="126" t="str">
        <f>+IFERROR(INDEX('DESEMPATE Y DISCAPACIDAD'!$D$3:$D$450,MATCH(C368,'DESEMPATE Y DISCAPACIDAD'!$C$3:$C$450,0)),"")</f>
        <v/>
      </c>
      <c r="E368" s="127" t="str">
        <f>IFERROR(IF(D368="","",IF(VLOOKUP(D368,'DESEMPATE Y DISCAPACIDAD'!D$3:$E$450,2,FALSE)=1,"N/A",IF(VLOOKUP(D368,'DESEMPATE Y DISCAPACIDAD'!D$3:$F$450,3,FALSE)="X","SI","NO"))),"")</f>
        <v/>
      </c>
      <c r="F368" s="125"/>
      <c r="G368" s="125"/>
      <c r="H368" s="125"/>
      <c r="I368" s="128"/>
      <c r="J368" s="125"/>
      <c r="K368" s="125"/>
      <c r="L368" s="125"/>
      <c r="M368" s="125"/>
      <c r="N368" s="125" t="str">
        <f t="shared" si="327"/>
        <v/>
      </c>
      <c r="O368" s="125" t="str">
        <f t="shared" si="333"/>
        <v/>
      </c>
      <c r="P368" s="125" t="str">
        <f t="shared" si="328"/>
        <v/>
      </c>
      <c r="Q368" s="125" t="str">
        <f t="shared" si="294"/>
        <v/>
      </c>
      <c r="R368" s="68"/>
      <c r="S368" s="129"/>
      <c r="T368" s="129"/>
      <c r="U368" s="125" t="str">
        <f t="shared" si="329"/>
        <v/>
      </c>
      <c r="V368" s="117" t="str">
        <f>IF(U368=2023,1160000,IFERROR(INDEX(SMMLV!$B$2:$B$101,MATCH(U368,SMMLV!$A$2:$A$101,0)),""))</f>
        <v/>
      </c>
      <c r="W368" s="117"/>
      <c r="X368" s="125"/>
      <c r="Y368" s="125"/>
      <c r="Z368" s="474"/>
      <c r="AA368" s="475"/>
      <c r="AB368" s="476"/>
      <c r="AC368" s="125" t="str">
        <f t="shared" si="330"/>
        <v/>
      </c>
      <c r="AD368" s="117" t="str">
        <f t="shared" si="297"/>
        <v/>
      </c>
      <c r="AE368" s="117" t="str">
        <f t="shared" si="334"/>
        <v/>
      </c>
      <c r="AF368" s="117" t="str">
        <f t="shared" si="288"/>
        <v/>
      </c>
      <c r="AG368" s="470"/>
      <c r="AH368" s="470"/>
      <c r="AI368" s="125" t="str">
        <f t="shared" si="289"/>
        <v/>
      </c>
      <c r="AJ368" s="470"/>
      <c r="AK368" s="470"/>
      <c r="AL368" s="472"/>
      <c r="AM368" s="496"/>
      <c r="AN368" s="125"/>
      <c r="AO368" s="490"/>
      <c r="AP368" s="125"/>
      <c r="AQ368" s="490"/>
      <c r="AR368" s="522"/>
      <c r="AS368" s="519"/>
      <c r="AT368" s="204"/>
      <c r="AU368" s="683"/>
      <c r="AV368" s="686"/>
      <c r="AW368" s="689"/>
      <c r="AX368" s="689"/>
      <c r="AY368" s="19"/>
      <c r="AZ368" s="19"/>
      <c r="BA368" s="19"/>
      <c r="BB368" s="19"/>
      <c r="BC368" s="19"/>
      <c r="BD368" s="19"/>
      <c r="BE368" s="19"/>
      <c r="BF368" s="19"/>
      <c r="BG368" s="19"/>
      <c r="BH368" s="19"/>
      <c r="BI368" s="19"/>
      <c r="BJ368" s="19"/>
      <c r="BZ368" s="4"/>
      <c r="CA368" s="4"/>
      <c r="CB368" s="29" t="str">
        <f>IFERROR(IF(COUNTIF(AF363:AF372,"")=10,"",IF(COUNTIF(E363:E372,"N/A")&gt;0,IF(AF368&gt;=CMEMM1,AF368,0),"N/A")),"")</f>
        <v>N/A</v>
      </c>
      <c r="CC368" s="4"/>
      <c r="CD368" s="4" t="str">
        <f>IFERROR(IF(COUNTIF(AF363:AF372,"")=10,"",IF(AF368="","",IF(AF368&gt;=CMEMM1,1,0))),"")</f>
        <v/>
      </c>
      <c r="CE368" s="4" t="str">
        <f>B363&amp;"-0"&amp;6</f>
        <v>P37-06</v>
      </c>
      <c r="CF368" s="4">
        <f>IFERROR(INDEX('DESEMPATE Y DISCAPACIDAD'!$D$3:$D$450,MATCH(CE368,'DESEMPATE Y DISCAPACIDAD'!$C$3:$C$450,0)),"")</f>
        <v>0</v>
      </c>
      <c r="CG368" s="4">
        <f>IF(OR(CE368="",CF368=""),"",SUMIF(D363:D372,CF368,CD363:CD372))</f>
        <v>0</v>
      </c>
      <c r="CH368" s="4" t="str">
        <f t="shared" si="323"/>
        <v>NO CUMPLE</v>
      </c>
      <c r="CI368" s="4">
        <f t="shared" si="331"/>
        <v>0</v>
      </c>
      <c r="CJ368" s="4"/>
      <c r="CK368" s="4"/>
      <c r="CL368" s="4" t="str">
        <f t="shared" si="290"/>
        <v/>
      </c>
      <c r="CM368" s="4" t="str">
        <f t="shared" si="291"/>
        <v/>
      </c>
      <c r="CN368" s="4" t="str">
        <f t="shared" si="332"/>
        <v/>
      </c>
      <c r="CO368" s="4"/>
      <c r="CP368" s="4"/>
      <c r="CQ368" s="29" t="str">
        <f t="shared" si="310"/>
        <v/>
      </c>
      <c r="CR368" s="29" t="str">
        <f t="shared" si="311"/>
        <v/>
      </c>
      <c r="CS368" s="4"/>
      <c r="CT368" s="4"/>
      <c r="CU368" s="4"/>
      <c r="CV368" s="4"/>
      <c r="CW368" s="4"/>
      <c r="CX368" s="4"/>
      <c r="CY368" s="4"/>
    </row>
    <row r="369" spans="1:176" ht="45" customHeight="1">
      <c r="B369" s="481"/>
      <c r="C369" s="118"/>
      <c r="D369" s="126" t="str">
        <f>+IFERROR(INDEX('DESEMPATE Y DISCAPACIDAD'!$D$3:$D$450,MATCH(C369,'DESEMPATE Y DISCAPACIDAD'!$C$3:$C$450,0)),"")</f>
        <v/>
      </c>
      <c r="E369" s="127" t="str">
        <f>IFERROR(IF(D369="","",IF(VLOOKUP(D369,'DESEMPATE Y DISCAPACIDAD'!D$3:$E$450,2,FALSE)=1,"N/A",IF(VLOOKUP(D369,'DESEMPATE Y DISCAPACIDAD'!D$3:$F$450,3,FALSE)="X","SI","NO"))),"")</f>
        <v/>
      </c>
      <c r="F369" s="125"/>
      <c r="G369" s="125"/>
      <c r="H369" s="125"/>
      <c r="I369" s="128"/>
      <c r="J369" s="125"/>
      <c r="K369" s="125"/>
      <c r="L369" s="125"/>
      <c r="M369" s="125"/>
      <c r="N369" s="125" t="str">
        <f t="shared" si="327"/>
        <v/>
      </c>
      <c r="O369" s="125" t="str">
        <f t="shared" si="333"/>
        <v/>
      </c>
      <c r="P369" s="125" t="str">
        <f t="shared" si="328"/>
        <v/>
      </c>
      <c r="Q369" s="125" t="str">
        <f t="shared" si="294"/>
        <v/>
      </c>
      <c r="R369" s="68"/>
      <c r="S369" s="129"/>
      <c r="T369" s="129"/>
      <c r="U369" s="125" t="str">
        <f t="shared" si="329"/>
        <v/>
      </c>
      <c r="V369" s="117" t="str">
        <f>IF(U369=2023,1160000,IFERROR(INDEX(SMMLV!$B$2:$B$101,MATCH(U369,SMMLV!$A$2:$A$101,0)),""))</f>
        <v/>
      </c>
      <c r="W369" s="117"/>
      <c r="X369" s="125"/>
      <c r="Y369" s="125"/>
      <c r="Z369" s="474"/>
      <c r="AA369" s="475"/>
      <c r="AB369" s="476"/>
      <c r="AC369" s="125" t="str">
        <f t="shared" si="330"/>
        <v/>
      </c>
      <c r="AD369" s="117" t="str">
        <f t="shared" si="297"/>
        <v/>
      </c>
      <c r="AE369" s="117" t="str">
        <f t="shared" si="334"/>
        <v/>
      </c>
      <c r="AF369" s="117" t="str">
        <f t="shared" si="288"/>
        <v/>
      </c>
      <c r="AG369" s="470"/>
      <c r="AH369" s="470"/>
      <c r="AI369" s="125" t="str">
        <f t="shared" si="289"/>
        <v/>
      </c>
      <c r="AJ369" s="470"/>
      <c r="AK369" s="470"/>
      <c r="AL369" s="472"/>
      <c r="AM369" s="496"/>
      <c r="AN369" s="125"/>
      <c r="AO369" s="490"/>
      <c r="AP369" s="125"/>
      <c r="AQ369" s="490"/>
      <c r="AR369" s="522"/>
      <c r="AS369" s="519"/>
      <c r="AT369" s="204"/>
      <c r="AU369" s="683"/>
      <c r="AV369" s="686"/>
      <c r="AW369" s="689"/>
      <c r="AX369" s="689"/>
      <c r="AY369" s="19"/>
      <c r="AZ369" s="19"/>
      <c r="BA369" s="19"/>
      <c r="BB369" s="19"/>
      <c r="BC369" s="19"/>
      <c r="BD369" s="19"/>
      <c r="BE369" s="19"/>
      <c r="BF369" s="19"/>
      <c r="BG369" s="19"/>
      <c r="BH369" s="19"/>
      <c r="BI369" s="19"/>
      <c r="BJ369" s="19"/>
      <c r="BZ369" s="4"/>
      <c r="CA369" s="4"/>
      <c r="CB369" s="29" t="str">
        <f>IFERROR(IF(COUNTIF(AF363:AF372,"")=10,"",IF(COUNTIF(E363:E372,"N/A")&gt;0,IF(AF369&gt;=CMEMM1,AF369,0),"N/A")),"")</f>
        <v>N/A</v>
      </c>
      <c r="CC369" s="4"/>
      <c r="CD369" s="4" t="str">
        <f>IFERROR(IF(COUNTIF(AF363:AF372,"")=10,"",IF(AF369="","",IF(AF369&gt;=CMEMM1,1,0))),"")</f>
        <v/>
      </c>
      <c r="CE369" s="4" t="str">
        <f>B363&amp;"-0"&amp;7</f>
        <v>P37-07</v>
      </c>
      <c r="CF369" s="4" t="str">
        <f>IFERROR(INDEX('DESEMPATE Y DISCAPACIDAD'!$D$3:$D$450,MATCH(CE369,'DESEMPATE Y DISCAPACIDAD'!$C$3:$C$450,0)),"")</f>
        <v/>
      </c>
      <c r="CG369" s="4" t="str">
        <f>IF(OR(CE369="",CF369=""),"",SUMIF(D363:D372,CF369,CD363:CD372))</f>
        <v/>
      </c>
      <c r="CH369" s="4" t="str">
        <f t="shared" si="323"/>
        <v/>
      </c>
      <c r="CI369" s="4" t="str">
        <f t="shared" si="331"/>
        <v/>
      </c>
      <c r="CJ369" s="4"/>
      <c r="CK369" s="4"/>
      <c r="CL369" s="4" t="str">
        <f t="shared" si="290"/>
        <v/>
      </c>
      <c r="CM369" s="4" t="str">
        <f t="shared" si="291"/>
        <v/>
      </c>
      <c r="CN369" s="4" t="str">
        <f t="shared" si="332"/>
        <v/>
      </c>
      <c r="CO369" s="4"/>
      <c r="CP369" s="4"/>
      <c r="CQ369" s="29" t="str">
        <f t="shared" si="310"/>
        <v/>
      </c>
      <c r="CR369" s="29" t="str">
        <f t="shared" si="311"/>
        <v/>
      </c>
      <c r="CS369" s="4"/>
      <c r="CT369" s="4"/>
      <c r="CU369" s="4"/>
      <c r="CV369" s="4"/>
      <c r="CW369" s="4"/>
      <c r="CX369" s="4"/>
      <c r="CY369" s="4"/>
    </row>
    <row r="370" spans="1:176" ht="45" customHeight="1">
      <c r="B370" s="481"/>
      <c r="C370" s="118"/>
      <c r="D370" s="126" t="str">
        <f>+IFERROR(INDEX('DESEMPATE Y DISCAPACIDAD'!$D$3:$D$450,MATCH(C370,'DESEMPATE Y DISCAPACIDAD'!$C$3:$C$450,0)),"")</f>
        <v/>
      </c>
      <c r="E370" s="127" t="str">
        <f>IFERROR(IF(D370="","",IF(VLOOKUP(D370,'DESEMPATE Y DISCAPACIDAD'!D$3:$E$450,2,FALSE)=1,"N/A",IF(VLOOKUP(D370,'DESEMPATE Y DISCAPACIDAD'!D$3:$F$450,3,FALSE)="X","SI","NO"))),"")</f>
        <v/>
      </c>
      <c r="F370" s="125"/>
      <c r="G370" s="125"/>
      <c r="H370" s="125"/>
      <c r="I370" s="128"/>
      <c r="J370" s="125"/>
      <c r="K370" s="125"/>
      <c r="L370" s="125"/>
      <c r="M370" s="125"/>
      <c r="N370" s="125" t="str">
        <f t="shared" si="327"/>
        <v/>
      </c>
      <c r="O370" s="125" t="str">
        <f t="shared" si="333"/>
        <v/>
      </c>
      <c r="P370" s="125" t="str">
        <f t="shared" si="328"/>
        <v/>
      </c>
      <c r="Q370" s="125" t="str">
        <f t="shared" si="294"/>
        <v/>
      </c>
      <c r="R370" s="68"/>
      <c r="S370" s="129"/>
      <c r="T370" s="129"/>
      <c r="U370" s="125" t="str">
        <f t="shared" si="329"/>
        <v/>
      </c>
      <c r="V370" s="117" t="str">
        <f>IF(U370=2023,1160000,IFERROR(INDEX(SMMLV!$B$2:$B$101,MATCH(U370,SMMLV!$A$2:$A$101,0)),""))</f>
        <v/>
      </c>
      <c r="W370" s="117"/>
      <c r="X370" s="125"/>
      <c r="Y370" s="125"/>
      <c r="Z370" s="474"/>
      <c r="AA370" s="475"/>
      <c r="AB370" s="476"/>
      <c r="AC370" s="125" t="str">
        <f t="shared" si="330"/>
        <v/>
      </c>
      <c r="AD370" s="117" t="str">
        <f t="shared" si="297"/>
        <v/>
      </c>
      <c r="AE370" s="117" t="str">
        <f t="shared" si="334"/>
        <v/>
      </c>
      <c r="AF370" s="117" t="str">
        <f t="shared" si="288"/>
        <v/>
      </c>
      <c r="AG370" s="470"/>
      <c r="AH370" s="470"/>
      <c r="AI370" s="125" t="str">
        <f t="shared" si="289"/>
        <v/>
      </c>
      <c r="AJ370" s="470"/>
      <c r="AK370" s="470"/>
      <c r="AL370" s="472"/>
      <c r="AM370" s="496"/>
      <c r="AN370" s="125"/>
      <c r="AO370" s="490"/>
      <c r="AP370" s="125"/>
      <c r="AQ370" s="490"/>
      <c r="AR370" s="522"/>
      <c r="AS370" s="519"/>
      <c r="AT370" s="204"/>
      <c r="AU370" s="683"/>
      <c r="AV370" s="686"/>
      <c r="AW370" s="689"/>
      <c r="AX370" s="689"/>
      <c r="AY370" s="19"/>
      <c r="AZ370" s="19"/>
      <c r="BA370" s="19"/>
      <c r="BB370" s="19"/>
      <c r="BC370" s="19"/>
      <c r="BD370" s="19"/>
      <c r="BE370" s="19"/>
      <c r="BF370" s="19"/>
      <c r="BG370" s="19"/>
      <c r="BH370" s="19"/>
      <c r="BI370" s="19"/>
      <c r="BJ370" s="19"/>
      <c r="BZ370" s="4"/>
      <c r="CA370" s="4"/>
      <c r="CB370" s="29" t="str">
        <f>IFERROR(IF(COUNTIF(AF363:AF372,"")=10,"",IF(COUNTIF(E363:E372,"N/A")&gt;0,IF(AF370&gt;=CMEMM1,AF370,0),"N/A")),"")</f>
        <v>N/A</v>
      </c>
      <c r="CC370" s="4"/>
      <c r="CD370" s="4" t="str">
        <f>IFERROR(IF(COUNTIF(AF363:AF372,"")=10,"",IF(AF370="","",IF(AF370&gt;=CMEMM1,1,0))),"")</f>
        <v/>
      </c>
      <c r="CE370" s="4" t="str">
        <f>B363&amp;"-0"&amp;8</f>
        <v>P37-08</v>
      </c>
      <c r="CF370" s="4" t="str">
        <f>IFERROR(INDEX('DESEMPATE Y DISCAPACIDAD'!$D$3:$D$450,MATCH(CE370,'DESEMPATE Y DISCAPACIDAD'!$C$3:$C$450,0)),"")</f>
        <v/>
      </c>
      <c r="CG370" s="4" t="str">
        <f>IF(OR(CE370="",CF370=""),"",SUMIF(D363:D372,CF370,CD363:CD372))</f>
        <v/>
      </c>
      <c r="CH370" s="4" t="str">
        <f t="shared" si="323"/>
        <v/>
      </c>
      <c r="CI370" s="4" t="str">
        <f t="shared" si="331"/>
        <v/>
      </c>
      <c r="CJ370" s="4"/>
      <c r="CK370" s="4"/>
      <c r="CL370" s="4" t="str">
        <f t="shared" si="290"/>
        <v/>
      </c>
      <c r="CM370" s="4" t="str">
        <f t="shared" si="291"/>
        <v/>
      </c>
      <c r="CN370" s="4" t="str">
        <f t="shared" si="332"/>
        <v/>
      </c>
      <c r="CO370" s="4"/>
      <c r="CP370" s="4"/>
      <c r="CQ370" s="29" t="str">
        <f t="shared" ref="CQ370:CQ401" si="335">IF(OR(AN370="",CB370=""),"",IF(AN370="NO",CB370,0))</f>
        <v/>
      </c>
      <c r="CR370" s="29" t="str">
        <f t="shared" ref="CR370:CR401" si="336">IF(OR(AN370="",AF370=""),"",IF(AN370="NO",AF370,0))</f>
        <v/>
      </c>
      <c r="CS370" s="4"/>
      <c r="CT370" s="4"/>
      <c r="CU370" s="4"/>
      <c r="CV370" s="4"/>
      <c r="CW370" s="4"/>
      <c r="CX370" s="4"/>
      <c r="CY370" s="4"/>
    </row>
    <row r="371" spans="1:176" ht="45" customHeight="1">
      <c r="B371" s="481"/>
      <c r="C371" s="118"/>
      <c r="D371" s="126" t="str">
        <f>+IFERROR(INDEX('DESEMPATE Y DISCAPACIDAD'!$D$3:$D$450,MATCH(C371,'DESEMPATE Y DISCAPACIDAD'!$C$3:$C$450,0)),"")</f>
        <v/>
      </c>
      <c r="E371" s="127" t="str">
        <f>IFERROR(IF(D371="","",IF(VLOOKUP(D371,'DESEMPATE Y DISCAPACIDAD'!D$3:$E$450,2,FALSE)=1,"N/A",IF(VLOOKUP(D371,'DESEMPATE Y DISCAPACIDAD'!D$3:$F$450,3,FALSE)="X","SI","NO"))),"")</f>
        <v/>
      </c>
      <c r="F371" s="125"/>
      <c r="G371" s="125"/>
      <c r="H371" s="125"/>
      <c r="I371" s="128"/>
      <c r="J371" s="125"/>
      <c r="K371" s="125"/>
      <c r="L371" s="125"/>
      <c r="M371" s="125"/>
      <c r="N371" s="125" t="str">
        <f t="shared" si="327"/>
        <v/>
      </c>
      <c r="O371" s="125" t="str">
        <f t="shared" si="333"/>
        <v/>
      </c>
      <c r="P371" s="125" t="str">
        <f t="shared" si="328"/>
        <v/>
      </c>
      <c r="Q371" s="125" t="str">
        <f t="shared" si="294"/>
        <v/>
      </c>
      <c r="R371" s="68"/>
      <c r="S371" s="129"/>
      <c r="T371" s="129"/>
      <c r="U371" s="125" t="str">
        <f t="shared" si="329"/>
        <v/>
      </c>
      <c r="V371" s="117" t="str">
        <f>IF(U371=2023,1160000,IFERROR(INDEX(SMMLV!$B$2:$B$101,MATCH(U371,SMMLV!$A$2:$A$101,0)),""))</f>
        <v/>
      </c>
      <c r="W371" s="117"/>
      <c r="X371" s="125"/>
      <c r="Y371" s="125"/>
      <c r="Z371" s="474"/>
      <c r="AA371" s="475"/>
      <c r="AB371" s="476"/>
      <c r="AC371" s="125" t="str">
        <f t="shared" si="330"/>
        <v/>
      </c>
      <c r="AD371" s="117" t="str">
        <f t="shared" si="297"/>
        <v/>
      </c>
      <c r="AE371" s="117" t="str">
        <f t="shared" si="334"/>
        <v/>
      </c>
      <c r="AF371" s="117" t="str">
        <f t="shared" si="288"/>
        <v/>
      </c>
      <c r="AG371" s="470"/>
      <c r="AH371" s="470"/>
      <c r="AI371" s="125" t="str">
        <f t="shared" si="289"/>
        <v/>
      </c>
      <c r="AJ371" s="470"/>
      <c r="AK371" s="470"/>
      <c r="AL371" s="472"/>
      <c r="AM371" s="496"/>
      <c r="AN371" s="125"/>
      <c r="AO371" s="490"/>
      <c r="AP371" s="125"/>
      <c r="AQ371" s="490"/>
      <c r="AR371" s="522"/>
      <c r="AS371" s="519"/>
      <c r="AT371" s="204"/>
      <c r="AU371" s="683"/>
      <c r="AV371" s="686"/>
      <c r="AW371" s="689"/>
      <c r="AX371" s="689"/>
      <c r="AY371" s="19"/>
      <c r="AZ371" s="19"/>
      <c r="BA371" s="19"/>
      <c r="BB371" s="19"/>
      <c r="BC371" s="19"/>
      <c r="BD371" s="19"/>
      <c r="BE371" s="19"/>
      <c r="BF371" s="19"/>
      <c r="BG371" s="19"/>
      <c r="BH371" s="19"/>
      <c r="BI371" s="19"/>
      <c r="BJ371" s="19"/>
      <c r="BZ371" s="4"/>
      <c r="CA371" s="4"/>
      <c r="CB371" s="29" t="str">
        <f>IFERROR(IF(COUNTIF(AF363:AF372,"")=10,"",IF(COUNTIF(E363:E372,"N/A")&gt;0,IF(AF371&gt;=CMEMM1,AF371,0),"N/A")),"")</f>
        <v>N/A</v>
      </c>
      <c r="CC371" s="4"/>
      <c r="CD371" s="4" t="str">
        <f>IFERROR(IF(COUNTIF(AF363:AF372,"")=10,"",IF(AF371="","",IF(AF371&gt;=CMEMM1,1,0))),"")</f>
        <v/>
      </c>
      <c r="CE371" s="4" t="str">
        <f>B363&amp;"-0"&amp;9</f>
        <v>P37-09</v>
      </c>
      <c r="CF371" s="4" t="str">
        <f>IFERROR(INDEX('DESEMPATE Y DISCAPACIDAD'!$D$3:$D$450,MATCH(CE371,'DESEMPATE Y DISCAPACIDAD'!$C$3:$C$450,0)),"")</f>
        <v/>
      </c>
      <c r="CG371" s="4" t="str">
        <f>IF(OR(CE371="",CF371=""),"",SUMIF(D363:D372,CF371,CD363:CD372))</f>
        <v/>
      </c>
      <c r="CH371" s="4" t="str">
        <f t="shared" si="323"/>
        <v/>
      </c>
      <c r="CI371" s="4" t="str">
        <f t="shared" si="331"/>
        <v/>
      </c>
      <c r="CJ371" s="4"/>
      <c r="CK371" s="4"/>
      <c r="CL371" s="4" t="str">
        <f t="shared" si="290"/>
        <v/>
      </c>
      <c r="CM371" s="4" t="str">
        <f t="shared" si="291"/>
        <v/>
      </c>
      <c r="CN371" s="4" t="str">
        <f t="shared" si="332"/>
        <v/>
      </c>
      <c r="CO371" s="4"/>
      <c r="CP371" s="4"/>
      <c r="CQ371" s="29" t="str">
        <f t="shared" si="335"/>
        <v/>
      </c>
      <c r="CR371" s="29" t="str">
        <f t="shared" si="336"/>
        <v/>
      </c>
      <c r="CS371" s="4"/>
      <c r="CT371" s="4"/>
      <c r="CU371" s="4"/>
      <c r="CV371" s="4"/>
      <c r="CW371" s="4"/>
      <c r="CX371" s="4"/>
      <c r="CY371" s="4"/>
    </row>
    <row r="372" spans="1:176" ht="45" customHeight="1" thickBot="1">
      <c r="B372" s="482"/>
      <c r="C372" s="130"/>
      <c r="D372" s="131" t="str">
        <f>+IFERROR(INDEX('DESEMPATE Y DISCAPACIDAD'!$D$3:$D$450,MATCH(C372,'DESEMPATE Y DISCAPACIDAD'!$C$3:$C$450,0)),"")</f>
        <v/>
      </c>
      <c r="E372" s="132" t="str">
        <f>IFERROR(IF(D372="","",IF(VLOOKUP(D372,'DESEMPATE Y DISCAPACIDAD'!D$3:$E$450,2,FALSE)=1,"N/A",IF(VLOOKUP(D372,'DESEMPATE Y DISCAPACIDAD'!D$3:$F$450,3,FALSE)="X","SI","NO"))),"")</f>
        <v/>
      </c>
      <c r="F372" s="133"/>
      <c r="G372" s="133"/>
      <c r="H372" s="133"/>
      <c r="I372" s="134"/>
      <c r="J372" s="133"/>
      <c r="K372" s="133"/>
      <c r="L372" s="133"/>
      <c r="M372" s="133"/>
      <c r="N372" s="133" t="str">
        <f t="shared" si="327"/>
        <v/>
      </c>
      <c r="O372" s="133" t="str">
        <f t="shared" si="333"/>
        <v/>
      </c>
      <c r="P372" s="133" t="str">
        <f t="shared" si="328"/>
        <v/>
      </c>
      <c r="Q372" s="133" t="str">
        <f t="shared" si="294"/>
        <v/>
      </c>
      <c r="R372" s="104"/>
      <c r="S372" s="135"/>
      <c r="T372" s="135"/>
      <c r="U372" s="133" t="str">
        <f t="shared" si="329"/>
        <v/>
      </c>
      <c r="V372" s="136" t="str">
        <f>IF(U372=2023,1160000,IFERROR(INDEX(SMMLV!$B$2:$B$101,MATCH(U372,SMMLV!$A$2:$A$101,0)),""))</f>
        <v/>
      </c>
      <c r="W372" s="136"/>
      <c r="X372" s="133"/>
      <c r="Y372" s="133"/>
      <c r="Z372" s="487"/>
      <c r="AA372" s="488"/>
      <c r="AB372" s="489"/>
      <c r="AC372" s="133" t="str">
        <f t="shared" si="330"/>
        <v/>
      </c>
      <c r="AD372" s="136" t="str">
        <f t="shared" si="297"/>
        <v/>
      </c>
      <c r="AE372" s="117" t="str">
        <f t="shared" si="334"/>
        <v/>
      </c>
      <c r="AF372" s="136" t="str">
        <f t="shared" si="288"/>
        <v/>
      </c>
      <c r="AG372" s="471"/>
      <c r="AH372" s="471"/>
      <c r="AI372" s="133" t="str">
        <f t="shared" si="289"/>
        <v/>
      </c>
      <c r="AJ372" s="471"/>
      <c r="AK372" s="471"/>
      <c r="AL372" s="473"/>
      <c r="AM372" s="497"/>
      <c r="AN372" s="133"/>
      <c r="AO372" s="491"/>
      <c r="AP372" s="133"/>
      <c r="AQ372" s="491"/>
      <c r="AR372" s="523"/>
      <c r="AS372" s="520"/>
      <c r="AT372" s="206"/>
      <c r="AU372" s="684"/>
      <c r="AV372" s="687"/>
      <c r="AW372" s="690"/>
      <c r="AX372" s="690"/>
      <c r="AY372" s="19"/>
      <c r="AZ372" s="19"/>
      <c r="BA372" s="19"/>
      <c r="BB372" s="19"/>
      <c r="BC372" s="19"/>
      <c r="BD372" s="19"/>
      <c r="BE372" s="19"/>
      <c r="BF372" s="19"/>
      <c r="BG372" s="19"/>
      <c r="BH372" s="19"/>
      <c r="BI372" s="19"/>
      <c r="BJ372" s="19"/>
      <c r="BZ372" s="4"/>
      <c r="CA372" s="4"/>
      <c r="CB372" s="29" t="str">
        <f>IFERROR(IF(COUNTIF(AF363:AF372,"")=10,"",IF(COUNTIF(E363:E372,"N/A")&gt;0,IF(AF372&gt;=CMEMM1,AF372,0),"N/A")),"")</f>
        <v>N/A</v>
      </c>
      <c r="CC372" s="4"/>
      <c r="CD372" s="4" t="str">
        <f>IFERROR(IF(COUNTIF(AF363:AF372,"")=10,"",IF(AF372="","",IF(AF372&gt;=CMEMM1,1,0))),"")</f>
        <v/>
      </c>
      <c r="CE372" s="4" t="str">
        <f>B363&amp;"-"&amp;10</f>
        <v>P37-10</v>
      </c>
      <c r="CF372" s="4" t="str">
        <f>IFERROR(INDEX('DESEMPATE Y DISCAPACIDAD'!$D$3:$D$450,MATCH(CE372,'DESEMPATE Y DISCAPACIDAD'!$C$3:$C$450,0)),"")</f>
        <v/>
      </c>
      <c r="CG372" s="4" t="str">
        <f>IF(OR(CE372="",CF372=""),"",SUMIF(D363:D372,CF372,CD363:CD372))</f>
        <v/>
      </c>
      <c r="CH372" s="4" t="str">
        <f t="shared" si="323"/>
        <v/>
      </c>
      <c r="CI372" s="4" t="str">
        <f t="shared" si="331"/>
        <v/>
      </c>
      <c r="CJ372" s="4"/>
      <c r="CK372" s="4"/>
      <c r="CL372" s="4" t="str">
        <f t="shared" si="290"/>
        <v/>
      </c>
      <c r="CM372" s="4" t="str">
        <f t="shared" si="291"/>
        <v/>
      </c>
      <c r="CN372" s="4" t="str">
        <f t="shared" si="332"/>
        <v/>
      </c>
      <c r="CO372" s="4"/>
      <c r="CP372" s="4"/>
      <c r="CQ372" s="29" t="str">
        <f t="shared" si="335"/>
        <v/>
      </c>
      <c r="CR372" s="29" t="str">
        <f t="shared" si="336"/>
        <v/>
      </c>
      <c r="CS372" s="4"/>
      <c r="CT372" s="4"/>
      <c r="CU372" s="4"/>
      <c r="CV372" s="4"/>
      <c r="CW372" s="4"/>
      <c r="CX372" s="4"/>
      <c r="CY372" s="4"/>
    </row>
    <row r="373" spans="1:176" s="107" customFormat="1" ht="45" customHeight="1">
      <c r="A373" s="107" t="str">
        <f>"A"&amp;B373</f>
        <v>AP38</v>
      </c>
      <c r="B373" s="480" t="s">
        <v>299</v>
      </c>
      <c r="C373" s="108" t="s">
        <v>446</v>
      </c>
      <c r="D373" s="119" t="str">
        <f>+IFERROR(INDEX('DESEMPATE Y DISCAPACIDAD'!$D$3:$D$450,MATCH(C373,'DESEMPATE Y DISCAPACIDAD'!$C$3:$C$450,0)),"")</f>
        <v>SALGADO, MELENDEZ INGENIERÍA S.A.S.</v>
      </c>
      <c r="E373" s="120" t="str">
        <f>IFERROR(IF(D373="","",IF(VLOOKUP(D373,'DESEMPATE Y DISCAPACIDAD'!D$3:$E$450,2,FALSE)=1,"N/A",IF(VLOOKUP(D373,'DESEMPATE Y DISCAPACIDAD'!D$3:$F$450,3,FALSE)="X","SI","NO"))),"")</f>
        <v>NO</v>
      </c>
      <c r="F373" s="125" t="s">
        <v>675</v>
      </c>
      <c r="G373" s="125" t="s">
        <v>660</v>
      </c>
      <c r="H373" s="121" t="s">
        <v>676</v>
      </c>
      <c r="I373" s="122" t="s">
        <v>677</v>
      </c>
      <c r="J373" s="121" t="s">
        <v>74</v>
      </c>
      <c r="K373" s="121" t="s">
        <v>74</v>
      </c>
      <c r="L373" s="121" t="s">
        <v>75</v>
      </c>
      <c r="M373" s="121" t="s">
        <v>74</v>
      </c>
      <c r="N373" s="121" t="str">
        <f>IFERROR(IF(OR(J373="",K373=""),"",IF(J373="NO","NO",K373)),"")</f>
        <v>SI</v>
      </c>
      <c r="O373" s="121" t="str">
        <f>IFERROR(IF(OR(J373="",L373=""),"",IF(J373="NO","NO",L373)),"")</f>
        <v>NO</v>
      </c>
      <c r="P373" s="121" t="str">
        <f>IFERROR(IF(OR(J373="",M373=""),"",IF(J373="NO","NO",M373)),"")</f>
        <v>SI</v>
      </c>
      <c r="Q373" s="121" t="str">
        <f t="shared" si="294"/>
        <v>SI</v>
      </c>
      <c r="R373" s="103">
        <v>1</v>
      </c>
      <c r="S373" s="123">
        <v>31454</v>
      </c>
      <c r="T373" s="123">
        <v>36037</v>
      </c>
      <c r="U373" s="121">
        <f>IFERROR(IF(T373="","",YEAR(T373)),"")</f>
        <v>1998</v>
      </c>
      <c r="V373" s="124">
        <f>IF(U373=2023,1160000,IFERROR(INDEX(SMMLV!$B$2:$B$101,MATCH(U373,SMMLV!$A$2:$A$101,0)),""))</f>
        <v>203826</v>
      </c>
      <c r="W373" s="124" t="s">
        <v>670</v>
      </c>
      <c r="X373" s="121" t="s">
        <v>671</v>
      </c>
      <c r="Y373" s="121" t="s">
        <v>690</v>
      </c>
      <c r="Z373" s="483" t="s">
        <v>74</v>
      </c>
      <c r="AA373" s="484"/>
      <c r="AB373" s="485"/>
      <c r="AC373" s="121" t="str">
        <f>IFERROR(IF(Y373="","",IF(ISNUMBER(Y373),IF(COUNTIF(Z373,"SI")&gt;0,"SI","NO"),Y373)),"")</f>
        <v xml:space="preserve">2
</v>
      </c>
      <c r="AD373" s="124" t="str">
        <f t="shared" si="297"/>
        <v>N/A</v>
      </c>
      <c r="AE373" s="117">
        <v>16613.68</v>
      </c>
      <c r="AF373" s="124">
        <f t="shared" si="288"/>
        <v>16613.68</v>
      </c>
      <c r="AG373" s="486" t="str">
        <f>IFERROR(IF(COUNTIF(AF373:AF382,"")=10,"",IF(COUNTIF(E373:E382,"N/A")&gt;0,IF(SUM(CB373:CB382)&gt;=CMEM1,"CUMPLE","NO CUMPLE"),IF(SUM(AF373:AF382)&gt;=CMEM1,"CUMPLE","NO CUMPLE"))),"")</f>
        <v>CUMPLE</v>
      </c>
      <c r="AH373" s="486" t="str">
        <f>IF(COUNTIF(AF373:AF382,"")=10,"",IF(SUMIF(C373:C382,C373,AF373:AF382)&gt;=CMLM1,"CUMPLE",IF(SUMIF(C373:C382,C374,AF373:AF382)&gt;=CMLM1,"CUMPLE",IF(SUMIF(C373:C382,C375,AF373:AF382)&gt;=CMLM1,"CUMPLE",IF(SUMIF(C373:C382,C376,AF373:AF382)&gt;=CMLM1,"CUMPLE",IF(SUMIF(C373:C382,C377,AF373:AF382)&gt;=CMLM1,"CUMPLE",IF(SUMIF(C373:C382,C378,AF373:AF382)&gt;=CMLM1,"CUMPLE",IF(SUMIF(C373:C382,C379,AF373:AF382)&gt;=CMLM1,"CUMPLE",IF(SUMIF(C373:C382,C380,AF373:AF382)&gt;=CMLM1,"CUMPLE",IF(SUMIF(C373:C382,C381,AF373:AF382)&gt;=CMLM1,"CUMPLE",IF(SUMIF(C373:C382,C382,AF373:AF382)&gt;=CMLM1,"CUMPLE","NO CUMPLE")))))))))))</f>
        <v>CUMPLE</v>
      </c>
      <c r="AI373" s="121" t="str">
        <f t="shared" si="289"/>
        <v>CUMPLE</v>
      </c>
      <c r="AJ373" s="469" t="str">
        <f>IFERROR(IF(COUNTIF(AF373:AF382,"")=10,"",IF(COUNTIF(E373:E382,"N/A")&gt;0,"N/A",CJ373)),"")</f>
        <v>CUMPLE</v>
      </c>
      <c r="AK373" s="469" t="str">
        <f>IFERROR(IF(AND(COUNTIF(N373:N382,"SI")&gt;=1,COUNTIF(O373:O382,"SI")&gt;=1,COUNTIF(P373:P382,"SI")&gt;=1,COUNTIF(J373:J382,"SI")&lt;=10,CO373="CUMPLE"),"CUMPLE","NO CUMPLE"),"")</f>
        <v>CUMPLE</v>
      </c>
      <c r="AL373" s="527" t="s">
        <v>77</v>
      </c>
      <c r="AM373" s="504">
        <f>IFERROR(IF(B373&lt;&gt;"",IF(VLOOKUP(B373,'DESEMPATE Y DISCAPACIDAD'!$A$3:$Q$450,10,FALSE)="","",VLOOKUP(B373,'DESEMPATE Y DISCAPACIDAD'!$A$3:$Q$450,10,FALSE)+6),""),"")</f>
        <v>8</v>
      </c>
      <c r="AN373" s="179" t="s">
        <v>75</v>
      </c>
      <c r="AO373" s="498" t="s">
        <v>74</v>
      </c>
      <c r="AP373" s="179" t="s">
        <v>74</v>
      </c>
      <c r="AQ373" s="498">
        <f>IFERROR(IF(COUNTIF(AP373:AP382,"")=10,"",IF(AO373="NO",0,COUNTIF(AP373:AP382,"SI"))),"")</f>
        <v>4</v>
      </c>
      <c r="AR373" s="599">
        <f>IFERROR(IF(COUNTIF(AF373:AF382,"")=10,"",IF(AO373="NO",0,IF(COUNTIF(E373:E382,"N/A")&gt;0,SUM(CQ373:CQ382),SUM(CR373:CR382)))),"")</f>
        <v>56922.468999999997</v>
      </c>
      <c r="AS373" s="586">
        <f>IFERROR(IF(OR(COUNTIF(AF373:AF382,"")=10,AQ373="",AR373=""),"",IF(AO373="NO",0,AR373/AQ373)),"")</f>
        <v>14230.617249999999</v>
      </c>
      <c r="AT373" s="207"/>
      <c r="AU373" s="682" t="s">
        <v>1346</v>
      </c>
      <c r="AV373" s="685" t="s">
        <v>748</v>
      </c>
      <c r="AW373" s="688" t="s">
        <v>1347</v>
      </c>
      <c r="AX373" s="688" t="s">
        <v>1348</v>
      </c>
      <c r="AY373" s="19"/>
      <c r="AZ373" s="19"/>
      <c r="BA373" s="19"/>
      <c r="BB373" s="19"/>
      <c r="BC373" s="19"/>
      <c r="BD373" s="19"/>
      <c r="BE373" s="19"/>
      <c r="BF373" s="19"/>
      <c r="BG373" s="19"/>
      <c r="BH373" s="19"/>
      <c r="BI373" s="19"/>
      <c r="BJ373" s="19"/>
      <c r="BK373" s="4"/>
      <c r="BL373" s="4"/>
      <c r="BM373" s="4"/>
      <c r="BN373" s="4"/>
      <c r="BO373" s="4"/>
      <c r="BP373" s="4"/>
      <c r="BQ373" s="4"/>
      <c r="BR373" s="4"/>
      <c r="BS373" s="4"/>
      <c r="BT373" s="4"/>
      <c r="BU373" s="4"/>
      <c r="BV373" s="4"/>
      <c r="BW373" s="4"/>
      <c r="BX373" s="4"/>
      <c r="BY373" s="4"/>
      <c r="BZ373" s="4"/>
      <c r="CA373" s="4"/>
      <c r="CB373" s="184" t="str">
        <f>IFERROR(IF(COUNTIF(AF373:AF382,"")=10,"",IF(COUNTIF(E373:E382,"N/A")&gt;0,IF(AF373&gt;=CMEMM1,AF373,0),"N/A")),"")</f>
        <v>N/A</v>
      </c>
      <c r="CD373" s="107">
        <f>IFERROR(IF(COUNTIF(AF373:AF382,"")=10,"",IF(AF373="","",IF(AF373&gt;=CMEMM1,1,0))),"")</f>
        <v>1</v>
      </c>
      <c r="CE373" s="107" t="str">
        <f>B373&amp;"-0"&amp;1</f>
        <v>P38-01</v>
      </c>
      <c r="CF373" s="4" t="str">
        <f>IFERROR(INDEX('DESEMPATE Y DISCAPACIDAD'!$D$3:$D$450,MATCH(CE373,'DESEMPATE Y DISCAPACIDAD'!$C$3:$C$450,0)),"")</f>
        <v>SALGADO, MELENDEZ INGENIERÍA S.A.S.</v>
      </c>
      <c r="CG373" s="107">
        <f>IF(OR(CE373="",CF373=""),"",SUMIF(D373:D382,CF373,CD373:CD382))</f>
        <v>1</v>
      </c>
      <c r="CH373" s="107" t="str">
        <f t="shared" si="323"/>
        <v>CUMPLE</v>
      </c>
      <c r="CI373" s="107">
        <f>IF(CF373="","",IF(ISTEXT(CF373),1,0))</f>
        <v>1</v>
      </c>
      <c r="CJ373" s="107" t="str">
        <f>IF(OR(CD373="",CE373="",CF373="",CG373="",CH373="",CI373=""),"",IF(COUNTIF(CH373:CH382,"CUMPLE")=COUNTIF(CI373:CI382,1),"CUMPLE","NO CUMPLE"))</f>
        <v>CUMPLE</v>
      </c>
      <c r="CL373" s="107">
        <f t="shared" si="290"/>
        <v>1</v>
      </c>
      <c r="CM373" s="107">
        <f t="shared" si="291"/>
        <v>0</v>
      </c>
      <c r="CN373" s="107" t="str">
        <f>IF(OR(CL373="",CM373=""),"",IF(AND(CL373=0,CM373=0),"N/A",IF(AND(CL373=1,CM373=0),"COND. A",IF(AND(CL373=0,CM373=1),"COND. B",IF(AND(CL373=1,CM373=1),"COND. A Y B","")))))</f>
        <v>COND. A</v>
      </c>
      <c r="CO373" s="107" t="str">
        <f>IF(COUNTIF(CN373:CN382,"N/A")=10,"NO CUMPLE",IF(COUNTIF(CN373:CN382,"COND. A Y B")&gt;1,"CUMPLE",IF(AND(COUNTIF(CN373:CN382,"COND. A")&gt;0,COUNTIF(CN373:CN382,"COND. B")&gt;0),"CUMPLE",IF(AND(COUNTIF(CN373:CN382,"COND. A Y B")&gt;0,COUNTIF(CN373:CN382,"COND. A")&gt;0),"CUMPLE",IF(AND(COUNTIF(CN373:CN382,"COND. A Y B")&gt;0,COUNTIF(CN373:CN382,"COND. B")&gt;0),"CUMPLE","NO CUMPLE")))))</f>
        <v>CUMPLE</v>
      </c>
      <c r="CQ373" s="184" t="str">
        <f t="shared" si="335"/>
        <v>N/A</v>
      </c>
      <c r="CR373" s="184">
        <f t="shared" si="336"/>
        <v>16613.68</v>
      </c>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FT373" s="4"/>
    </row>
    <row r="374" spans="1:176" s="107" customFormat="1" ht="45" customHeight="1">
      <c r="B374" s="481"/>
      <c r="C374" s="118" t="s">
        <v>447</v>
      </c>
      <c r="D374" s="119" t="str">
        <f>+IFERROR(INDEX('DESEMPATE Y DISCAPACIDAD'!$D$3:$D$450,MATCH(C374,'DESEMPATE Y DISCAPACIDAD'!$C$3:$C$450,0)),"")</f>
        <v>SALGADO, MELENDEZ Y ASOCIADOS INGENIEROS CONSULTORES S.A.S</v>
      </c>
      <c r="E374" s="120" t="str">
        <f>IFERROR(IF(D374="","",IF(VLOOKUP(D374,'DESEMPATE Y DISCAPACIDAD'!D$3:$E$450,2,FALSE)=1,"N/A",IF(VLOOKUP(D374,'DESEMPATE Y DISCAPACIDAD'!D$3:$F$450,3,FALSE)="X","SI","NO"))),"")</f>
        <v>NO</v>
      </c>
      <c r="F374" s="125" t="s">
        <v>678</v>
      </c>
      <c r="G374" s="125" t="s">
        <v>660</v>
      </c>
      <c r="H374" s="121" t="s">
        <v>679</v>
      </c>
      <c r="I374" s="122" t="s">
        <v>680</v>
      </c>
      <c r="J374" s="121" t="s">
        <v>74</v>
      </c>
      <c r="K374" s="121" t="s">
        <v>74</v>
      </c>
      <c r="L374" s="121" t="s">
        <v>74</v>
      </c>
      <c r="M374" s="121" t="s">
        <v>74</v>
      </c>
      <c r="N374" s="121" t="str">
        <f t="shared" ref="N374:N382" si="337">IFERROR(IF(OR(J374="",K374=""),"",IF(J374="NO","NO",K374)),"")</f>
        <v>SI</v>
      </c>
      <c r="O374" s="121" t="str">
        <f>IFERROR(IF(OR(J374="",L374=""),"",IF(J374="NO","NO",L374)),"")</f>
        <v>SI</v>
      </c>
      <c r="P374" s="121" t="str">
        <f t="shared" ref="P374:P382" si="338">IFERROR(IF(OR(J374="",M374=""),"",IF(J374="NO","NO",M374)),"")</f>
        <v>SI</v>
      </c>
      <c r="Q374" s="121" t="str">
        <f t="shared" si="294"/>
        <v>SI</v>
      </c>
      <c r="R374" s="103">
        <v>0.45</v>
      </c>
      <c r="S374" s="123">
        <v>39125</v>
      </c>
      <c r="T374" s="123">
        <v>45657</v>
      </c>
      <c r="U374" s="121">
        <f t="shared" ref="U374:U382" si="339">IFERROR(IF(T374="","",YEAR(T374)),"")</f>
        <v>2024</v>
      </c>
      <c r="V374" s="124" t="str">
        <f>IF(U374=2023,1160000,IFERROR(INDEX(SMMLV!$B$2:$B$101,MATCH(U374,SMMLV!$A$2:$A$101,0)),""))</f>
        <v/>
      </c>
      <c r="W374" s="124" t="s">
        <v>670</v>
      </c>
      <c r="X374" s="125" t="s">
        <v>671</v>
      </c>
      <c r="Y374" s="125" t="s">
        <v>691</v>
      </c>
      <c r="Z374" s="474" t="s">
        <v>74</v>
      </c>
      <c r="AA374" s="475"/>
      <c r="AB374" s="476"/>
      <c r="AC374" s="125" t="str">
        <f t="shared" ref="AC374:AC382" si="340">IFERROR(IF(Y374="","",IF(ISNUMBER(Y374),IF(COUNTIF(Z374,"SI")&gt;0,"SI","NO"),Y374)),"")</f>
        <v xml:space="preserve">311
</v>
      </c>
      <c r="AD374" s="117" t="str">
        <f t="shared" si="297"/>
        <v>N/A</v>
      </c>
      <c r="AE374" s="117">
        <v>43263.82</v>
      </c>
      <c r="AF374" s="117">
        <f t="shared" si="288"/>
        <v>19468.719000000001</v>
      </c>
      <c r="AG374" s="470"/>
      <c r="AH374" s="470"/>
      <c r="AI374" s="125" t="str">
        <f t="shared" si="289"/>
        <v>CUMPLE</v>
      </c>
      <c r="AJ374" s="470"/>
      <c r="AK374" s="470"/>
      <c r="AL374" s="527"/>
      <c r="AM374" s="505"/>
      <c r="AN374" s="3" t="s">
        <v>75</v>
      </c>
      <c r="AO374" s="498"/>
      <c r="AP374" s="3" t="s">
        <v>74</v>
      </c>
      <c r="AQ374" s="498"/>
      <c r="AR374" s="600"/>
      <c r="AS374" s="587"/>
      <c r="AT374" s="204"/>
      <c r="AU374" s="683"/>
      <c r="AV374" s="686"/>
      <c r="AW374" s="689"/>
      <c r="AX374" s="689"/>
      <c r="AY374" s="19"/>
      <c r="AZ374" s="19"/>
      <c r="BA374" s="19"/>
      <c r="BB374" s="19"/>
      <c r="BC374" s="19"/>
      <c r="BD374" s="19"/>
      <c r="BE374" s="19"/>
      <c r="BF374" s="19"/>
      <c r="BG374" s="19"/>
      <c r="BH374" s="19"/>
      <c r="BI374" s="19"/>
      <c r="BJ374" s="19"/>
      <c r="BK374" s="4"/>
      <c r="BL374" s="4"/>
      <c r="BM374" s="4"/>
      <c r="BN374" s="4"/>
      <c r="BO374" s="4"/>
      <c r="BP374" s="4"/>
      <c r="BQ374" s="4"/>
      <c r="BR374" s="4"/>
      <c r="BS374" s="4"/>
      <c r="BT374" s="4"/>
      <c r="BU374" s="4"/>
      <c r="BV374" s="4"/>
      <c r="BW374" s="4"/>
      <c r="BX374" s="4"/>
      <c r="BY374" s="4"/>
      <c r="BZ374" s="4"/>
      <c r="CA374" s="4"/>
      <c r="CB374" s="184" t="str">
        <f>IFERROR(IF(COUNTIF(AF373:AF382,"")=10,"",IF(COUNTIF(E373:E382,"N/A")&gt;0,IF(AF374&gt;=CMEMM1,AF374,0),"N/A")),"")</f>
        <v>N/A</v>
      </c>
      <c r="CD374" s="107">
        <f>IFERROR(IF(COUNTIF(AF373:AF382,"")=10,"",IF(AF374="","",IF(AF374&gt;=CMEMM1,1,0))),"")</f>
        <v>1</v>
      </c>
      <c r="CE374" s="107" t="str">
        <f>B373&amp;"-0"&amp;2</f>
        <v>P38-02</v>
      </c>
      <c r="CF374" s="4" t="str">
        <f>IFERROR(INDEX('DESEMPATE Y DISCAPACIDAD'!$D$3:$D$450,MATCH(CE374,'DESEMPATE Y DISCAPACIDAD'!$C$3:$C$450,0)),"")</f>
        <v>SALGADO, MELENDEZ Y ASOCIADOS INGENIEROS CONSULTORES S.A.S</v>
      </c>
      <c r="CG374" s="107">
        <f>IF(OR(CE374="",CF374=""),"",SUMIF(D373:D382,CF374,CD373:CD382))</f>
        <v>2</v>
      </c>
      <c r="CH374" s="107" t="str">
        <f t="shared" si="323"/>
        <v>CUMPLE</v>
      </c>
      <c r="CI374" s="107">
        <f t="shared" ref="CI374:CI382" si="341">IF(CF374="","",IF(ISTEXT(CF374),1,0))</f>
        <v>1</v>
      </c>
      <c r="CL374" s="107">
        <f t="shared" si="290"/>
        <v>1</v>
      </c>
      <c r="CM374" s="107">
        <f t="shared" si="291"/>
        <v>1</v>
      </c>
      <c r="CN374" s="107" t="str">
        <f t="shared" ref="CN374:CN382" si="342">IF(OR(CL374="",CM374=""),"",IF(AND(CL374=0,CM374=0),"N/A",IF(AND(CL374=1,CM374=0),"COND. A",IF(AND(CL374=0,CM374=1),"COND. B",IF(AND(CL374=1,CM374=1),"COND. A Y B","")))))</f>
        <v>COND. A Y B</v>
      </c>
      <c r="CQ374" s="184" t="str">
        <f t="shared" si="335"/>
        <v>N/A</v>
      </c>
      <c r="CR374" s="184">
        <f t="shared" si="336"/>
        <v>19468.719000000001</v>
      </c>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FT374" s="4"/>
    </row>
    <row r="375" spans="1:176" s="107" customFormat="1" ht="45" customHeight="1">
      <c r="B375" s="481"/>
      <c r="C375" s="118" t="s">
        <v>447</v>
      </c>
      <c r="D375" s="126" t="str">
        <f>+IFERROR(INDEX('DESEMPATE Y DISCAPACIDAD'!$D$3:$D$450,MATCH(C375,'DESEMPATE Y DISCAPACIDAD'!$C$3:$C$450,0)),"")</f>
        <v>SALGADO, MELENDEZ Y ASOCIADOS INGENIEROS CONSULTORES S.A.S</v>
      </c>
      <c r="E375" s="127" t="str">
        <f>IFERROR(IF(D375="","",IF(VLOOKUP(D375,'DESEMPATE Y DISCAPACIDAD'!D$3:$E$450,2,FALSE)=1,"N/A",IF(VLOOKUP(D375,'DESEMPATE Y DISCAPACIDAD'!D$3:$F$450,3,FALSE)="X","SI","NO"))),"")</f>
        <v>NO</v>
      </c>
      <c r="F375" s="121" t="s">
        <v>681</v>
      </c>
      <c r="G375" s="121" t="s">
        <v>660</v>
      </c>
      <c r="H375" s="125" t="s">
        <v>682</v>
      </c>
      <c r="I375" s="128" t="s">
        <v>683</v>
      </c>
      <c r="J375" s="125" t="s">
        <v>74</v>
      </c>
      <c r="K375" s="125" t="s">
        <v>75</v>
      </c>
      <c r="L375" s="125" t="s">
        <v>75</v>
      </c>
      <c r="M375" s="125" t="s">
        <v>74</v>
      </c>
      <c r="N375" s="125" t="str">
        <f t="shared" si="337"/>
        <v>NO</v>
      </c>
      <c r="O375" s="125" t="str">
        <f>IFERROR(IF(OR(J375="",L375=""),"",IF(J375="NO","NO",L375)),"")</f>
        <v>NO</v>
      </c>
      <c r="P375" s="125" t="str">
        <f t="shared" si="338"/>
        <v>SI</v>
      </c>
      <c r="Q375" s="125" t="str">
        <f t="shared" si="294"/>
        <v>SI</v>
      </c>
      <c r="R375" s="68">
        <v>1</v>
      </c>
      <c r="S375" s="129">
        <v>31241</v>
      </c>
      <c r="T375" s="129">
        <v>31739</v>
      </c>
      <c r="U375" s="125">
        <f t="shared" si="339"/>
        <v>1986</v>
      </c>
      <c r="V375" s="117" t="str">
        <f>IF(U375=2023,1160000,IFERROR(INDEX(SMMLV!$B$2:$B$101,MATCH(U375,SMMLV!$A$2:$A$101,0)),""))</f>
        <v/>
      </c>
      <c r="W375" s="117" t="s">
        <v>670</v>
      </c>
      <c r="X375" s="125" t="s">
        <v>671</v>
      </c>
      <c r="Y375" s="125" t="s">
        <v>692</v>
      </c>
      <c r="Z375" s="474" t="s">
        <v>74</v>
      </c>
      <c r="AA375" s="475"/>
      <c r="AB375" s="476"/>
      <c r="AC375" s="125" t="str">
        <f t="shared" si="340"/>
        <v xml:space="preserve">67
</v>
      </c>
      <c r="AD375" s="117" t="str">
        <f t="shared" si="297"/>
        <v>N/A</v>
      </c>
      <c r="AE375" s="117">
        <v>18167.73</v>
      </c>
      <c r="AF375" s="117">
        <f t="shared" si="288"/>
        <v>18167.73</v>
      </c>
      <c r="AG375" s="470"/>
      <c r="AH375" s="470"/>
      <c r="AI375" s="125" t="str">
        <f t="shared" si="289"/>
        <v>CUMPLE</v>
      </c>
      <c r="AJ375" s="470"/>
      <c r="AK375" s="470"/>
      <c r="AL375" s="527"/>
      <c r="AM375" s="505"/>
      <c r="AN375" s="3" t="s">
        <v>75</v>
      </c>
      <c r="AO375" s="498"/>
      <c r="AP375" s="3" t="s">
        <v>74</v>
      </c>
      <c r="AQ375" s="498"/>
      <c r="AR375" s="600"/>
      <c r="AS375" s="587"/>
      <c r="AT375" s="204"/>
      <c r="AU375" s="683"/>
      <c r="AV375" s="686"/>
      <c r="AW375" s="689"/>
      <c r="AX375" s="689"/>
      <c r="AY375" s="19"/>
      <c r="AZ375" s="19"/>
      <c r="BA375" s="19"/>
      <c r="BB375" s="19"/>
      <c r="BC375" s="19"/>
      <c r="BD375" s="19"/>
      <c r="BE375" s="19"/>
      <c r="BF375" s="19"/>
      <c r="BG375" s="19"/>
      <c r="BH375" s="19"/>
      <c r="BI375" s="19"/>
      <c r="BJ375" s="19"/>
      <c r="BK375" s="4"/>
      <c r="BL375" s="4"/>
      <c r="BM375" s="4"/>
      <c r="BN375" s="4"/>
      <c r="BO375" s="4"/>
      <c r="BP375" s="4"/>
      <c r="BQ375" s="4"/>
      <c r="BR375" s="4"/>
      <c r="BS375" s="4"/>
      <c r="BT375" s="4"/>
      <c r="BU375" s="4"/>
      <c r="BV375" s="4"/>
      <c r="BW375" s="4"/>
      <c r="BX375" s="4"/>
      <c r="BY375" s="4"/>
      <c r="BZ375" s="4"/>
      <c r="CA375" s="4"/>
      <c r="CB375" s="184" t="str">
        <f>IFERROR(IF(COUNTIF(AF373:AF382,"")=10,"",IF(COUNTIF(E373:E382,"N/A")&gt;0,IF(AF375&gt;=CMEMM1,AF375,0),"N/A")),"")</f>
        <v>N/A</v>
      </c>
      <c r="CD375" s="107">
        <f>IFERROR(IF(COUNTIF(AF373:AF382,"")=10,"",IF(AF375="","",IF(AF375&gt;=CMEMM1,1,0))),"")</f>
        <v>1</v>
      </c>
      <c r="CE375" s="107" t="str">
        <f>B373&amp;"-0"&amp;3</f>
        <v>P38-03</v>
      </c>
      <c r="CF375" s="4">
        <f>IFERROR(INDEX('DESEMPATE Y DISCAPACIDAD'!$D$3:$D$450,MATCH(CE375,'DESEMPATE Y DISCAPACIDAD'!$C$3:$C$450,0)),"")</f>
        <v>0</v>
      </c>
      <c r="CG375" s="107">
        <f>IF(OR(CE375="",CF375=""),"",SUMIF(D373:D382,CF375,CD373:CD382))</f>
        <v>0</v>
      </c>
      <c r="CH375" s="107" t="str">
        <f t="shared" si="323"/>
        <v>NO CUMPLE</v>
      </c>
      <c r="CI375" s="107">
        <f t="shared" si="341"/>
        <v>0</v>
      </c>
      <c r="CL375" s="107">
        <f t="shared" si="290"/>
        <v>0</v>
      </c>
      <c r="CM375" s="107">
        <f t="shared" si="291"/>
        <v>0</v>
      </c>
      <c r="CN375" s="107" t="str">
        <f t="shared" si="342"/>
        <v>N/A</v>
      </c>
      <c r="CQ375" s="184" t="str">
        <f t="shared" si="335"/>
        <v>N/A</v>
      </c>
      <c r="CR375" s="184">
        <f t="shared" si="336"/>
        <v>18167.73</v>
      </c>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FT375" s="4"/>
    </row>
    <row r="376" spans="1:176" s="107" customFormat="1" ht="45" customHeight="1">
      <c r="B376" s="481"/>
      <c r="C376" s="118" t="s">
        <v>447</v>
      </c>
      <c r="D376" s="126" t="str">
        <f>+IFERROR(INDEX('DESEMPATE Y DISCAPACIDAD'!$D$3:$D$450,MATCH(C376,'DESEMPATE Y DISCAPACIDAD'!$C$3:$C$450,0)),"")</f>
        <v>SALGADO, MELENDEZ Y ASOCIADOS INGENIEROS CONSULTORES S.A.S</v>
      </c>
      <c r="E376" s="127" t="str">
        <f>IFERROR(IF(D376="","",IF(VLOOKUP(D376,'DESEMPATE Y DISCAPACIDAD'!D$3:$E$450,2,FALSE)=1,"N/A",IF(VLOOKUP(D376,'DESEMPATE Y DISCAPACIDAD'!D$3:$F$450,3,FALSE)="X","SI","NO"))),"")</f>
        <v>NO</v>
      </c>
      <c r="F376" s="141" t="s">
        <v>684</v>
      </c>
      <c r="G376" s="125" t="s">
        <v>660</v>
      </c>
      <c r="H376" s="125" t="s">
        <v>685</v>
      </c>
      <c r="I376" s="128" t="s">
        <v>686</v>
      </c>
      <c r="J376" s="125" t="s">
        <v>74</v>
      </c>
      <c r="K376" s="125" t="s">
        <v>74</v>
      </c>
      <c r="L376" s="125" t="s">
        <v>75</v>
      </c>
      <c r="M376" s="125" t="s">
        <v>74</v>
      </c>
      <c r="N376" s="125" t="str">
        <f t="shared" si="337"/>
        <v>SI</v>
      </c>
      <c r="O376" s="125" t="str">
        <f>IFERROR(IF(OR(J376="",L376=""),"",IF(J376="NO","NO",L376)),"")</f>
        <v>NO</v>
      </c>
      <c r="P376" s="125" t="str">
        <f t="shared" si="338"/>
        <v>SI</v>
      </c>
      <c r="Q376" s="125" t="str">
        <f t="shared" si="294"/>
        <v>SI</v>
      </c>
      <c r="R376" s="68">
        <v>1</v>
      </c>
      <c r="S376" s="129">
        <v>41250</v>
      </c>
      <c r="T376" s="129">
        <v>41979</v>
      </c>
      <c r="U376" s="125">
        <f t="shared" si="339"/>
        <v>2014</v>
      </c>
      <c r="V376" s="117">
        <f>IF(U376=2023,1160000,IFERROR(INDEX(SMMLV!$B$2:$B$101,MATCH(U376,SMMLV!$A$2:$A$101,0)),""))</f>
        <v>616000</v>
      </c>
      <c r="W376" s="117" t="s">
        <v>670</v>
      </c>
      <c r="X376" s="125" t="s">
        <v>671</v>
      </c>
      <c r="Y376" s="125" t="s">
        <v>693</v>
      </c>
      <c r="Z376" s="474" t="s">
        <v>74</v>
      </c>
      <c r="AA376" s="475"/>
      <c r="AB376" s="476"/>
      <c r="AC376" s="125" t="str">
        <f t="shared" si="340"/>
        <v xml:space="preserve">48
</v>
      </c>
      <c r="AD376" s="117" t="str">
        <f t="shared" si="297"/>
        <v>N/A</v>
      </c>
      <c r="AE376" s="117">
        <v>2672.34</v>
      </c>
      <c r="AF376" s="117">
        <f t="shared" si="288"/>
        <v>2672.34</v>
      </c>
      <c r="AG376" s="470"/>
      <c r="AH376" s="470"/>
      <c r="AI376" s="125" t="str">
        <f t="shared" si="289"/>
        <v>NO CUMPLE</v>
      </c>
      <c r="AJ376" s="470"/>
      <c r="AK376" s="470"/>
      <c r="AL376" s="527"/>
      <c r="AM376" s="505"/>
      <c r="AN376" s="3" t="s">
        <v>75</v>
      </c>
      <c r="AO376" s="498"/>
      <c r="AP376" s="3" t="s">
        <v>74</v>
      </c>
      <c r="AQ376" s="498"/>
      <c r="AR376" s="600"/>
      <c r="AS376" s="587"/>
      <c r="AT376" s="204"/>
      <c r="AU376" s="683"/>
      <c r="AV376" s="686"/>
      <c r="AW376" s="689"/>
      <c r="AX376" s="689"/>
      <c r="AY376" s="19"/>
      <c r="AZ376" s="19"/>
      <c r="BA376" s="19"/>
      <c r="BB376" s="19"/>
      <c r="BC376" s="19"/>
      <c r="BD376" s="19"/>
      <c r="BE376" s="19"/>
      <c r="BF376" s="19"/>
      <c r="BG376" s="19"/>
      <c r="BH376" s="19"/>
      <c r="BI376" s="19"/>
      <c r="BJ376" s="19"/>
      <c r="BK376" s="4"/>
      <c r="BL376" s="4"/>
      <c r="BM376" s="4"/>
      <c r="BN376" s="4"/>
      <c r="BO376" s="4"/>
      <c r="BP376" s="4"/>
      <c r="BQ376" s="4"/>
      <c r="BR376" s="4"/>
      <c r="BS376" s="4"/>
      <c r="BT376" s="4"/>
      <c r="BU376" s="4"/>
      <c r="BV376" s="4"/>
      <c r="BW376" s="4"/>
      <c r="BX376" s="4"/>
      <c r="BY376" s="4"/>
      <c r="BZ376" s="4"/>
      <c r="CA376" s="4"/>
      <c r="CB376" s="184" t="str">
        <f>IFERROR(IF(COUNTIF(AF373:AF382,"")=10,"",IF(COUNTIF(E373:E382,"N/A")&gt;0,IF(AF376&gt;=CMEMM1,AF376,0),"N/A")),"")</f>
        <v>N/A</v>
      </c>
      <c r="CD376" s="107">
        <f>IFERROR(IF(COUNTIF(AF373:AF382,"")=10,"",IF(AF376="","",IF(AF376&gt;=CMEMM1,1,0))),"")</f>
        <v>0</v>
      </c>
      <c r="CE376" s="107" t="str">
        <f>B373&amp;"-0"&amp;4</f>
        <v>P38-04</v>
      </c>
      <c r="CF376" s="4">
        <f>IFERROR(INDEX('DESEMPATE Y DISCAPACIDAD'!$D$3:$D$450,MATCH(CE376,'DESEMPATE Y DISCAPACIDAD'!$C$3:$C$450,0)),"")</f>
        <v>0</v>
      </c>
      <c r="CG376" s="107">
        <f>IF(OR(CE376="",CF376=""),"",SUMIF(D373:D382,CF376,CD373:CD382))</f>
        <v>0</v>
      </c>
      <c r="CH376" s="107" t="str">
        <f t="shared" si="323"/>
        <v>NO CUMPLE</v>
      </c>
      <c r="CI376" s="107">
        <f t="shared" si="341"/>
        <v>0</v>
      </c>
      <c r="CL376" s="107">
        <f t="shared" si="290"/>
        <v>1</v>
      </c>
      <c r="CM376" s="107">
        <f t="shared" si="291"/>
        <v>0</v>
      </c>
      <c r="CN376" s="107" t="str">
        <f t="shared" si="342"/>
        <v>COND. A</v>
      </c>
      <c r="CQ376" s="184" t="str">
        <f t="shared" si="335"/>
        <v>N/A</v>
      </c>
      <c r="CR376" s="184">
        <f t="shared" si="336"/>
        <v>2672.34</v>
      </c>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FT376" s="4"/>
    </row>
    <row r="377" spans="1:176" s="107" customFormat="1" ht="45" customHeight="1">
      <c r="B377" s="481"/>
      <c r="C377" s="118" t="s">
        <v>446</v>
      </c>
      <c r="D377" s="126" t="str">
        <f>+IFERROR(INDEX('DESEMPATE Y DISCAPACIDAD'!$D$3:$D$450,MATCH(C377,'DESEMPATE Y DISCAPACIDAD'!$C$3:$C$450,0)),"")</f>
        <v>SALGADO, MELENDEZ INGENIERÍA S.A.S.</v>
      </c>
      <c r="E377" s="127" t="str">
        <f>IFERROR(IF(D377="","",IF(VLOOKUP(D377,'DESEMPATE Y DISCAPACIDAD'!D$3:$E$450,2,FALSE)=1,"N/A",IF(VLOOKUP(D377,'DESEMPATE Y DISCAPACIDAD'!D$3:$F$450,3,FALSE)="X","SI","NO"))),"")</f>
        <v>NO</v>
      </c>
      <c r="F377" s="125" t="s">
        <v>687</v>
      </c>
      <c r="G377" s="125" t="s">
        <v>660</v>
      </c>
      <c r="H377" s="125" t="s">
        <v>688</v>
      </c>
      <c r="I377" s="128" t="s">
        <v>689</v>
      </c>
      <c r="J377" s="125" t="s">
        <v>75</v>
      </c>
      <c r="K377" s="125" t="s">
        <v>74</v>
      </c>
      <c r="L377" s="125" t="s">
        <v>75</v>
      </c>
      <c r="M377" s="125" t="s">
        <v>74</v>
      </c>
      <c r="N377" s="125" t="str">
        <f t="shared" si="337"/>
        <v>NO</v>
      </c>
      <c r="O377" s="125" t="str">
        <f t="shared" ref="O377:O382" si="343">IFERROR(IF(OR(J377="",L377=""),"",IF(J377="NO","NO",L377)),"")</f>
        <v>NO</v>
      </c>
      <c r="P377" s="125" t="str">
        <f t="shared" si="338"/>
        <v>NO</v>
      </c>
      <c r="Q377" s="125" t="str">
        <f t="shared" si="294"/>
        <v>SI</v>
      </c>
      <c r="R377" s="68">
        <v>0.9</v>
      </c>
      <c r="S377" s="129">
        <v>40157</v>
      </c>
      <c r="T377" s="129">
        <v>41965</v>
      </c>
      <c r="U377" s="125">
        <f t="shared" si="339"/>
        <v>2014</v>
      </c>
      <c r="V377" s="117">
        <f>IF(U377=2023,1160000,IFERROR(INDEX(SMMLV!$B$2:$B$101,MATCH(U377,SMMLV!$A$2:$A$101,0)),""))</f>
        <v>616000</v>
      </c>
      <c r="W377" s="117" t="s">
        <v>670</v>
      </c>
      <c r="X377" s="125" t="s">
        <v>671</v>
      </c>
      <c r="Y377" s="125" t="s">
        <v>694</v>
      </c>
      <c r="Z377" s="474" t="s">
        <v>74</v>
      </c>
      <c r="AA377" s="475"/>
      <c r="AB377" s="476"/>
      <c r="AC377" s="125" t="str">
        <f t="shared" si="340"/>
        <v xml:space="preserve">34 
</v>
      </c>
      <c r="AD377" s="117" t="str">
        <f t="shared" si="297"/>
        <v>N/A</v>
      </c>
      <c r="AE377" s="117">
        <v>5102.6000000000004</v>
      </c>
      <c r="AF377" s="117" t="str">
        <f t="shared" si="288"/>
        <v/>
      </c>
      <c r="AG377" s="470"/>
      <c r="AH377" s="470"/>
      <c r="AI377" s="125" t="str">
        <f t="shared" si="289"/>
        <v/>
      </c>
      <c r="AJ377" s="470"/>
      <c r="AK377" s="470"/>
      <c r="AL377" s="527"/>
      <c r="AM377" s="505"/>
      <c r="AN377" s="3" t="s">
        <v>74</v>
      </c>
      <c r="AO377" s="498"/>
      <c r="AP377" s="3" t="s">
        <v>75</v>
      </c>
      <c r="AQ377" s="498"/>
      <c r="AR377" s="600"/>
      <c r="AS377" s="587"/>
      <c r="AT377" s="240"/>
      <c r="AU377" s="683"/>
      <c r="AV377" s="686"/>
      <c r="AW377" s="689"/>
      <c r="AX377" s="689"/>
      <c r="AY377" s="19"/>
      <c r="AZ377" s="19"/>
      <c r="BA377" s="19"/>
      <c r="BB377" s="19"/>
      <c r="BC377" s="19"/>
      <c r="BD377" s="19"/>
      <c r="BE377" s="19"/>
      <c r="BF377" s="19"/>
      <c r="BG377" s="19"/>
      <c r="BH377" s="19"/>
      <c r="BI377" s="19"/>
      <c r="BJ377" s="19"/>
      <c r="BK377" s="4"/>
      <c r="BL377" s="4"/>
      <c r="BM377" s="4"/>
      <c r="BN377" s="4"/>
      <c r="BO377" s="4"/>
      <c r="BP377" s="4"/>
      <c r="BQ377" s="4"/>
      <c r="BR377" s="4"/>
      <c r="BS377" s="4"/>
      <c r="BT377" s="4"/>
      <c r="BU377" s="4"/>
      <c r="BV377" s="4"/>
      <c r="BW377" s="4"/>
      <c r="BX377" s="4"/>
      <c r="BY377" s="4"/>
      <c r="BZ377" s="4"/>
      <c r="CA377" s="4"/>
      <c r="CB377" s="184" t="str">
        <f>IFERROR(IF(COUNTIF(AF373:AF382,"")=10,"",IF(COUNTIF(E373:E382,"N/A")&gt;0,IF(AF377&gt;=CMEMM1,AF377,0),"N/A")),"")</f>
        <v>N/A</v>
      </c>
      <c r="CD377" s="107" t="str">
        <f>IFERROR(IF(COUNTIF(AF373:AF382,"")=10,"",IF(AF377="","",IF(AF377&gt;=CMEMM1,1,0))),"")</f>
        <v/>
      </c>
      <c r="CE377" s="107" t="str">
        <f>B373&amp;"-0"&amp;5</f>
        <v>P38-05</v>
      </c>
      <c r="CF377" s="4">
        <f>IFERROR(INDEX('DESEMPATE Y DISCAPACIDAD'!$D$3:$D$450,MATCH(CE377,'DESEMPATE Y DISCAPACIDAD'!$C$3:$C$450,0)),"")</f>
        <v>0</v>
      </c>
      <c r="CG377" s="107">
        <f>IF(OR(CE377="",CF377=""),"",SUMIF(D373:D382,CF377,CD373:CD382))</f>
        <v>0</v>
      </c>
      <c r="CH377" s="107" t="str">
        <f t="shared" si="323"/>
        <v>NO CUMPLE</v>
      </c>
      <c r="CI377" s="107">
        <f t="shared" si="341"/>
        <v>0</v>
      </c>
      <c r="CL377" s="107">
        <f t="shared" si="290"/>
        <v>0</v>
      </c>
      <c r="CM377" s="107">
        <f t="shared" si="291"/>
        <v>0</v>
      </c>
      <c r="CN377" s="107" t="str">
        <f t="shared" si="342"/>
        <v>N/A</v>
      </c>
      <c r="CQ377" s="184">
        <f t="shared" si="335"/>
        <v>0</v>
      </c>
      <c r="CR377" s="184" t="str">
        <f t="shared" si="336"/>
        <v/>
      </c>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FT377" s="4"/>
    </row>
    <row r="378" spans="1:176" ht="2" customHeight="1">
      <c r="B378" s="481"/>
      <c r="C378" s="118"/>
      <c r="D378" s="126" t="str">
        <f>+IFERROR(INDEX('DESEMPATE Y DISCAPACIDAD'!$D$3:$D$450,MATCH(C378,'DESEMPATE Y DISCAPACIDAD'!$C$3:$C$450,0)),"")</f>
        <v/>
      </c>
      <c r="E378" s="127" t="str">
        <f>IFERROR(IF(D378="","",IF(VLOOKUP(D378,'DESEMPATE Y DISCAPACIDAD'!D$3:$E$450,2,FALSE)=1,"N/A",IF(VLOOKUP(D378,'DESEMPATE Y DISCAPACIDAD'!D$3:$F$450,3,FALSE)="X","SI","NO"))),"")</f>
        <v/>
      </c>
      <c r="F378" s="125"/>
      <c r="G378" s="125"/>
      <c r="H378" s="125"/>
      <c r="I378" s="128"/>
      <c r="J378" s="125"/>
      <c r="K378" s="125"/>
      <c r="L378" s="125"/>
      <c r="M378" s="125"/>
      <c r="N378" s="125" t="str">
        <f t="shared" si="337"/>
        <v/>
      </c>
      <c r="O378" s="125" t="str">
        <f t="shared" si="343"/>
        <v/>
      </c>
      <c r="P378" s="125" t="str">
        <f t="shared" si="338"/>
        <v/>
      </c>
      <c r="Q378" s="125" t="str">
        <f t="shared" si="294"/>
        <v/>
      </c>
      <c r="R378" s="68"/>
      <c r="S378" s="129"/>
      <c r="T378" s="129"/>
      <c r="U378" s="125" t="str">
        <f t="shared" si="339"/>
        <v/>
      </c>
      <c r="V378" s="117" t="str">
        <f>IF(U378=2023,1160000,IFERROR(INDEX(SMMLV!$B$2:$B$101,MATCH(U378,SMMLV!$A$2:$A$101,0)),""))</f>
        <v/>
      </c>
      <c r="W378" s="117"/>
      <c r="X378" s="125"/>
      <c r="Y378" s="125"/>
      <c r="Z378" s="474"/>
      <c r="AA378" s="475"/>
      <c r="AB378" s="476"/>
      <c r="AC378" s="125" t="str">
        <f t="shared" si="340"/>
        <v/>
      </c>
      <c r="AD378" s="117" t="str">
        <f t="shared" si="297"/>
        <v/>
      </c>
      <c r="AE378" s="117" t="str">
        <f t="shared" si="334"/>
        <v/>
      </c>
      <c r="AF378" s="117" t="str">
        <f t="shared" si="288"/>
        <v/>
      </c>
      <c r="AG378" s="470"/>
      <c r="AH378" s="470"/>
      <c r="AI378" s="125" t="str">
        <f t="shared" si="289"/>
        <v/>
      </c>
      <c r="AJ378" s="470"/>
      <c r="AK378" s="470"/>
      <c r="AL378" s="527"/>
      <c r="AM378" s="505"/>
      <c r="AN378" s="3"/>
      <c r="AO378" s="498"/>
      <c r="AP378" s="3"/>
      <c r="AQ378" s="498"/>
      <c r="AR378" s="600"/>
      <c r="AS378" s="587"/>
      <c r="AT378" s="204"/>
      <c r="AU378" s="683"/>
      <c r="AV378" s="686"/>
      <c r="AW378" s="689"/>
      <c r="AX378" s="689"/>
      <c r="AY378" s="19"/>
      <c r="AZ378" s="19"/>
      <c r="BA378" s="19"/>
      <c r="BB378" s="19"/>
      <c r="BC378" s="19"/>
      <c r="BD378" s="19"/>
      <c r="BE378" s="19"/>
      <c r="BF378" s="19"/>
      <c r="BG378" s="19"/>
      <c r="BH378" s="19"/>
      <c r="BI378" s="19"/>
      <c r="BJ378" s="19"/>
      <c r="BZ378" s="4"/>
      <c r="CA378" s="4"/>
      <c r="CB378" s="29" t="str">
        <f>IFERROR(IF(COUNTIF(AF373:AF382,"")=10,"",IF(COUNTIF(E373:E382,"N/A")&gt;0,IF(AF378&gt;=CMEMM1,AF378,0),"N/A")),"")</f>
        <v>N/A</v>
      </c>
      <c r="CC378" s="4"/>
      <c r="CD378" s="4" t="str">
        <f>IFERROR(IF(COUNTIF(AF373:AF382,"")=10,"",IF(AF378="","",IF(AF378&gt;=CMEMM1,1,0))),"")</f>
        <v/>
      </c>
      <c r="CE378" s="4" t="str">
        <f>B373&amp;"-0"&amp;6</f>
        <v>P38-06</v>
      </c>
      <c r="CF378" s="4">
        <f>IFERROR(INDEX('DESEMPATE Y DISCAPACIDAD'!$D$3:$D$450,MATCH(CE378,'DESEMPATE Y DISCAPACIDAD'!$C$3:$C$450,0)),"")</f>
        <v>0</v>
      </c>
      <c r="CG378" s="4">
        <f>IF(OR(CE378="",CF378=""),"",SUMIF(D373:D382,CF378,CD373:CD382))</f>
        <v>0</v>
      </c>
      <c r="CH378" s="4" t="str">
        <f t="shared" si="323"/>
        <v>NO CUMPLE</v>
      </c>
      <c r="CI378" s="4">
        <f t="shared" si="341"/>
        <v>0</v>
      </c>
      <c r="CJ378" s="4"/>
      <c r="CK378" s="4"/>
      <c r="CL378" s="4" t="str">
        <f t="shared" si="290"/>
        <v/>
      </c>
      <c r="CM378" s="4" t="str">
        <f t="shared" si="291"/>
        <v/>
      </c>
      <c r="CN378" s="4" t="str">
        <f t="shared" si="342"/>
        <v/>
      </c>
      <c r="CO378" s="4"/>
      <c r="CP378" s="4"/>
      <c r="CQ378" s="29" t="str">
        <f t="shared" si="335"/>
        <v/>
      </c>
      <c r="CR378" s="29" t="str">
        <f t="shared" si="336"/>
        <v/>
      </c>
      <c r="CS378" s="4"/>
      <c r="CT378" s="4"/>
      <c r="CU378" s="4"/>
      <c r="CV378" s="4"/>
      <c r="CW378" s="4"/>
      <c r="CX378" s="4"/>
      <c r="CY378" s="4"/>
    </row>
    <row r="379" spans="1:176" ht="2" customHeight="1">
      <c r="B379" s="481"/>
      <c r="C379" s="118"/>
      <c r="D379" s="126" t="str">
        <f>+IFERROR(INDEX('DESEMPATE Y DISCAPACIDAD'!$D$3:$D$450,MATCH(C379,'DESEMPATE Y DISCAPACIDAD'!$C$3:$C$450,0)),"")</f>
        <v/>
      </c>
      <c r="E379" s="127" t="str">
        <f>IFERROR(IF(D379="","",IF(VLOOKUP(D379,'DESEMPATE Y DISCAPACIDAD'!D$3:$E$450,2,FALSE)=1,"N/A",IF(VLOOKUP(D379,'DESEMPATE Y DISCAPACIDAD'!D$3:$F$450,3,FALSE)="X","SI","NO"))),"")</f>
        <v/>
      </c>
      <c r="F379" s="125"/>
      <c r="G379" s="125"/>
      <c r="H379" s="125"/>
      <c r="I379" s="128"/>
      <c r="J379" s="125"/>
      <c r="K379" s="125"/>
      <c r="L379" s="125"/>
      <c r="M379" s="125"/>
      <c r="N379" s="125" t="str">
        <f t="shared" si="337"/>
        <v/>
      </c>
      <c r="O379" s="125" t="str">
        <f t="shared" si="343"/>
        <v/>
      </c>
      <c r="P379" s="125" t="str">
        <f t="shared" si="338"/>
        <v/>
      </c>
      <c r="Q379" s="125" t="str">
        <f t="shared" si="294"/>
        <v/>
      </c>
      <c r="R379" s="68"/>
      <c r="S379" s="129"/>
      <c r="T379" s="129"/>
      <c r="U379" s="125" t="str">
        <f t="shared" si="339"/>
        <v/>
      </c>
      <c r="V379" s="117" t="str">
        <f>IF(U379=2023,1160000,IFERROR(INDEX(SMMLV!$B$2:$B$101,MATCH(U379,SMMLV!$A$2:$A$101,0)),""))</f>
        <v/>
      </c>
      <c r="W379" s="117"/>
      <c r="X379" s="125"/>
      <c r="Y379" s="125"/>
      <c r="Z379" s="474"/>
      <c r="AA379" s="475"/>
      <c r="AB379" s="476"/>
      <c r="AC379" s="125" t="str">
        <f t="shared" si="340"/>
        <v/>
      </c>
      <c r="AD379" s="117" t="str">
        <f t="shared" si="297"/>
        <v/>
      </c>
      <c r="AE379" s="117" t="str">
        <f t="shared" si="334"/>
        <v/>
      </c>
      <c r="AF379" s="117" t="str">
        <f t="shared" si="288"/>
        <v/>
      </c>
      <c r="AG379" s="470"/>
      <c r="AH379" s="470"/>
      <c r="AI379" s="125" t="str">
        <f t="shared" si="289"/>
        <v/>
      </c>
      <c r="AJ379" s="470"/>
      <c r="AK379" s="470"/>
      <c r="AL379" s="527"/>
      <c r="AM379" s="505"/>
      <c r="AN379" s="3"/>
      <c r="AO379" s="498"/>
      <c r="AP379" s="3"/>
      <c r="AQ379" s="498"/>
      <c r="AR379" s="600"/>
      <c r="AS379" s="587"/>
      <c r="AT379" s="204"/>
      <c r="AU379" s="683"/>
      <c r="AV379" s="686"/>
      <c r="AW379" s="689"/>
      <c r="AX379" s="689"/>
      <c r="AY379" s="19"/>
      <c r="AZ379" s="19"/>
      <c r="BA379" s="19"/>
      <c r="BB379" s="19"/>
      <c r="BC379" s="19"/>
      <c r="BD379" s="19"/>
      <c r="BE379" s="19"/>
      <c r="BF379" s="19"/>
      <c r="BG379" s="19"/>
      <c r="BH379" s="19"/>
      <c r="BI379" s="19"/>
      <c r="BJ379" s="19"/>
      <c r="BZ379" s="4"/>
      <c r="CA379" s="4"/>
      <c r="CB379" s="29" t="str">
        <f>IFERROR(IF(COUNTIF(AF373:AF382,"")=10,"",IF(COUNTIF(E373:E382,"N/A")&gt;0,IF(AF379&gt;=CMEMM1,AF379,0),"N/A")),"")</f>
        <v>N/A</v>
      </c>
      <c r="CC379" s="4"/>
      <c r="CD379" s="4" t="str">
        <f>IFERROR(IF(COUNTIF(AF373:AF382,"")=10,"",IF(AF379="","",IF(AF379&gt;=CMEMM1,1,0))),"")</f>
        <v/>
      </c>
      <c r="CE379" s="4" t="str">
        <f>B373&amp;"-0"&amp;7</f>
        <v>P38-07</v>
      </c>
      <c r="CF379" s="4" t="str">
        <f>IFERROR(INDEX('DESEMPATE Y DISCAPACIDAD'!$D$3:$D$450,MATCH(CE379,'DESEMPATE Y DISCAPACIDAD'!$C$3:$C$450,0)),"")</f>
        <v/>
      </c>
      <c r="CG379" s="4" t="str">
        <f>IF(OR(CE379="",CF379=""),"",SUMIF(D373:D382,CF379,CD373:CD382))</f>
        <v/>
      </c>
      <c r="CH379" s="4" t="str">
        <f t="shared" si="323"/>
        <v/>
      </c>
      <c r="CI379" s="4" t="str">
        <f t="shared" si="341"/>
        <v/>
      </c>
      <c r="CJ379" s="4"/>
      <c r="CK379" s="4"/>
      <c r="CL379" s="4" t="str">
        <f t="shared" si="290"/>
        <v/>
      </c>
      <c r="CM379" s="4" t="str">
        <f t="shared" si="291"/>
        <v/>
      </c>
      <c r="CN379" s="4" t="str">
        <f t="shared" si="342"/>
        <v/>
      </c>
      <c r="CO379" s="4"/>
      <c r="CP379" s="4"/>
      <c r="CQ379" s="29" t="str">
        <f t="shared" si="335"/>
        <v/>
      </c>
      <c r="CR379" s="29" t="str">
        <f t="shared" si="336"/>
        <v/>
      </c>
      <c r="CS379" s="4"/>
      <c r="CT379" s="4"/>
      <c r="CU379" s="4"/>
      <c r="CV379" s="4"/>
      <c r="CW379" s="4"/>
      <c r="CX379" s="4"/>
      <c r="CY379" s="4"/>
    </row>
    <row r="380" spans="1:176" ht="2" customHeight="1">
      <c r="B380" s="481"/>
      <c r="C380" s="118"/>
      <c r="D380" s="126" t="str">
        <f>+IFERROR(INDEX('DESEMPATE Y DISCAPACIDAD'!$D$3:$D$450,MATCH(C380,'DESEMPATE Y DISCAPACIDAD'!$C$3:$C$450,0)),"")</f>
        <v/>
      </c>
      <c r="E380" s="127" t="str">
        <f>IFERROR(IF(D380="","",IF(VLOOKUP(D380,'DESEMPATE Y DISCAPACIDAD'!D$3:$E$450,2,FALSE)=1,"N/A",IF(VLOOKUP(D380,'DESEMPATE Y DISCAPACIDAD'!D$3:$F$450,3,FALSE)="X","SI","NO"))),"")</f>
        <v/>
      </c>
      <c r="F380" s="125"/>
      <c r="G380" s="125"/>
      <c r="H380" s="125"/>
      <c r="I380" s="128"/>
      <c r="J380" s="125"/>
      <c r="K380" s="125"/>
      <c r="L380" s="125"/>
      <c r="M380" s="125"/>
      <c r="N380" s="125" t="str">
        <f t="shared" si="337"/>
        <v/>
      </c>
      <c r="O380" s="125" t="str">
        <f t="shared" si="343"/>
        <v/>
      </c>
      <c r="P380" s="125" t="str">
        <f t="shared" si="338"/>
        <v/>
      </c>
      <c r="Q380" s="125" t="str">
        <f t="shared" si="294"/>
        <v/>
      </c>
      <c r="R380" s="68"/>
      <c r="S380" s="129"/>
      <c r="T380" s="129"/>
      <c r="U380" s="125" t="str">
        <f t="shared" si="339"/>
        <v/>
      </c>
      <c r="V380" s="117" t="str">
        <f>IF(U380=2023,1160000,IFERROR(INDEX(SMMLV!$B$2:$B$101,MATCH(U380,SMMLV!$A$2:$A$101,0)),""))</f>
        <v/>
      </c>
      <c r="W380" s="117"/>
      <c r="X380" s="125"/>
      <c r="Y380" s="125"/>
      <c r="Z380" s="474"/>
      <c r="AA380" s="475"/>
      <c r="AB380" s="476"/>
      <c r="AC380" s="125" t="str">
        <f t="shared" si="340"/>
        <v/>
      </c>
      <c r="AD380" s="117" t="str">
        <f t="shared" si="297"/>
        <v/>
      </c>
      <c r="AE380" s="117" t="str">
        <f t="shared" si="334"/>
        <v/>
      </c>
      <c r="AF380" s="117" t="str">
        <f t="shared" si="288"/>
        <v/>
      </c>
      <c r="AG380" s="470"/>
      <c r="AH380" s="470"/>
      <c r="AI380" s="125" t="str">
        <f t="shared" si="289"/>
        <v/>
      </c>
      <c r="AJ380" s="470"/>
      <c r="AK380" s="470"/>
      <c r="AL380" s="527"/>
      <c r="AM380" s="505"/>
      <c r="AN380" s="3"/>
      <c r="AO380" s="498"/>
      <c r="AP380" s="3"/>
      <c r="AQ380" s="498"/>
      <c r="AR380" s="600"/>
      <c r="AS380" s="587"/>
      <c r="AT380" s="204"/>
      <c r="AU380" s="683"/>
      <c r="AV380" s="686"/>
      <c r="AW380" s="689"/>
      <c r="AX380" s="689"/>
      <c r="AY380" s="19"/>
      <c r="AZ380" s="19"/>
      <c r="BA380" s="19"/>
      <c r="BB380" s="19"/>
      <c r="BC380" s="19"/>
      <c r="BD380" s="19"/>
      <c r="BE380" s="19"/>
      <c r="BF380" s="19"/>
      <c r="BG380" s="19"/>
      <c r="BH380" s="19"/>
      <c r="BI380" s="19"/>
      <c r="BJ380" s="19"/>
      <c r="BZ380" s="4"/>
      <c r="CA380" s="4"/>
      <c r="CB380" s="29" t="str">
        <f>IFERROR(IF(COUNTIF(AF373:AF382,"")=10,"",IF(COUNTIF(E373:E382,"N/A")&gt;0,IF(AF380&gt;=CMEMM1,AF380,0),"N/A")),"")</f>
        <v>N/A</v>
      </c>
      <c r="CC380" s="4"/>
      <c r="CD380" s="4" t="str">
        <f>IFERROR(IF(COUNTIF(AF373:AF382,"")=10,"",IF(AF380="","",IF(AF380&gt;=CMEMM1,1,0))),"")</f>
        <v/>
      </c>
      <c r="CE380" s="4" t="str">
        <f>B373&amp;"-0"&amp;8</f>
        <v>P38-08</v>
      </c>
      <c r="CF380" s="4" t="str">
        <f>IFERROR(INDEX('DESEMPATE Y DISCAPACIDAD'!$D$3:$D$450,MATCH(CE380,'DESEMPATE Y DISCAPACIDAD'!$C$3:$C$450,0)),"")</f>
        <v/>
      </c>
      <c r="CG380" s="4" t="str">
        <f>IF(OR(CE380="",CF380=""),"",SUMIF(D373:D382,CF380,CD373:CD382))</f>
        <v/>
      </c>
      <c r="CH380" s="4" t="str">
        <f t="shared" si="323"/>
        <v/>
      </c>
      <c r="CI380" s="4" t="str">
        <f t="shared" si="341"/>
        <v/>
      </c>
      <c r="CJ380" s="4"/>
      <c r="CK380" s="4"/>
      <c r="CL380" s="4" t="str">
        <f t="shared" si="290"/>
        <v/>
      </c>
      <c r="CM380" s="4" t="str">
        <f t="shared" si="291"/>
        <v/>
      </c>
      <c r="CN380" s="4" t="str">
        <f t="shared" si="342"/>
        <v/>
      </c>
      <c r="CO380" s="4"/>
      <c r="CP380" s="4"/>
      <c r="CQ380" s="29" t="str">
        <f t="shared" si="335"/>
        <v/>
      </c>
      <c r="CR380" s="29" t="str">
        <f t="shared" si="336"/>
        <v/>
      </c>
      <c r="CS380" s="4"/>
      <c r="CT380" s="4"/>
      <c r="CU380" s="4"/>
      <c r="CV380" s="4"/>
      <c r="CW380" s="4"/>
      <c r="CX380" s="4"/>
      <c r="CY380" s="4"/>
    </row>
    <row r="381" spans="1:176" ht="2" customHeight="1">
      <c r="B381" s="481"/>
      <c r="C381" s="118"/>
      <c r="D381" s="126" t="str">
        <f>+IFERROR(INDEX('DESEMPATE Y DISCAPACIDAD'!$D$3:$D$450,MATCH(C381,'DESEMPATE Y DISCAPACIDAD'!$C$3:$C$450,0)),"")</f>
        <v/>
      </c>
      <c r="E381" s="127" t="str">
        <f>IFERROR(IF(D381="","",IF(VLOOKUP(D381,'DESEMPATE Y DISCAPACIDAD'!D$3:$E$450,2,FALSE)=1,"N/A",IF(VLOOKUP(D381,'DESEMPATE Y DISCAPACIDAD'!D$3:$F$450,3,FALSE)="X","SI","NO"))),"")</f>
        <v/>
      </c>
      <c r="F381" s="125"/>
      <c r="G381" s="125"/>
      <c r="H381" s="125"/>
      <c r="I381" s="128"/>
      <c r="J381" s="125"/>
      <c r="K381" s="125"/>
      <c r="L381" s="125"/>
      <c r="M381" s="125"/>
      <c r="N381" s="125" t="str">
        <f t="shared" si="337"/>
        <v/>
      </c>
      <c r="O381" s="125" t="str">
        <f t="shared" si="343"/>
        <v/>
      </c>
      <c r="P381" s="125" t="str">
        <f t="shared" si="338"/>
        <v/>
      </c>
      <c r="Q381" s="125" t="str">
        <f t="shared" si="294"/>
        <v/>
      </c>
      <c r="R381" s="68"/>
      <c r="S381" s="129"/>
      <c r="T381" s="129"/>
      <c r="U381" s="125" t="str">
        <f t="shared" si="339"/>
        <v/>
      </c>
      <c r="V381" s="117" t="str">
        <f>IF(U381=2023,1160000,IFERROR(INDEX(SMMLV!$B$2:$B$101,MATCH(U381,SMMLV!$A$2:$A$101,0)),""))</f>
        <v/>
      </c>
      <c r="W381" s="117"/>
      <c r="X381" s="125"/>
      <c r="Y381" s="125"/>
      <c r="Z381" s="474"/>
      <c r="AA381" s="475"/>
      <c r="AB381" s="476"/>
      <c r="AC381" s="125" t="str">
        <f t="shared" si="340"/>
        <v/>
      </c>
      <c r="AD381" s="117" t="str">
        <f t="shared" si="297"/>
        <v/>
      </c>
      <c r="AE381" s="117" t="str">
        <f t="shared" si="334"/>
        <v/>
      </c>
      <c r="AF381" s="117" t="str">
        <f t="shared" si="288"/>
        <v/>
      </c>
      <c r="AG381" s="470"/>
      <c r="AH381" s="470"/>
      <c r="AI381" s="125" t="str">
        <f t="shared" si="289"/>
        <v/>
      </c>
      <c r="AJ381" s="470"/>
      <c r="AK381" s="470"/>
      <c r="AL381" s="527"/>
      <c r="AM381" s="505"/>
      <c r="AN381" s="3"/>
      <c r="AO381" s="498"/>
      <c r="AP381" s="3"/>
      <c r="AQ381" s="498"/>
      <c r="AR381" s="600"/>
      <c r="AS381" s="587"/>
      <c r="AT381" s="204"/>
      <c r="AU381" s="683"/>
      <c r="AV381" s="686"/>
      <c r="AW381" s="689"/>
      <c r="AX381" s="689"/>
      <c r="AY381" s="19"/>
      <c r="AZ381" s="19"/>
      <c r="BA381" s="19"/>
      <c r="BB381" s="19"/>
      <c r="BC381" s="19"/>
      <c r="BD381" s="19"/>
      <c r="BE381" s="19"/>
      <c r="BF381" s="19"/>
      <c r="BG381" s="19"/>
      <c r="BH381" s="19"/>
      <c r="BI381" s="19"/>
      <c r="BJ381" s="19"/>
      <c r="BZ381" s="4"/>
      <c r="CA381" s="4"/>
      <c r="CB381" s="29" t="str">
        <f>IFERROR(IF(COUNTIF(AF373:AF382,"")=10,"",IF(COUNTIF(E373:E382,"N/A")&gt;0,IF(AF381&gt;=CMEMM1,AF381,0),"N/A")),"")</f>
        <v>N/A</v>
      </c>
      <c r="CC381" s="4"/>
      <c r="CD381" s="4" t="str">
        <f>IFERROR(IF(COUNTIF(AF373:AF382,"")=10,"",IF(AF381="","",IF(AF381&gt;=CMEMM1,1,0))),"")</f>
        <v/>
      </c>
      <c r="CE381" s="4" t="str">
        <f>B373&amp;"-0"&amp;9</f>
        <v>P38-09</v>
      </c>
      <c r="CF381" s="4" t="str">
        <f>IFERROR(INDEX('DESEMPATE Y DISCAPACIDAD'!$D$3:$D$450,MATCH(CE381,'DESEMPATE Y DISCAPACIDAD'!$C$3:$C$450,0)),"")</f>
        <v/>
      </c>
      <c r="CG381" s="4" t="str">
        <f>IF(OR(CE381="",CF381=""),"",SUMIF(D373:D382,CF381,CD373:CD382))</f>
        <v/>
      </c>
      <c r="CH381" s="4" t="str">
        <f t="shared" si="323"/>
        <v/>
      </c>
      <c r="CI381" s="4" t="str">
        <f t="shared" si="341"/>
        <v/>
      </c>
      <c r="CJ381" s="4"/>
      <c r="CK381" s="4"/>
      <c r="CL381" s="4" t="str">
        <f t="shared" si="290"/>
        <v/>
      </c>
      <c r="CM381" s="4" t="str">
        <f t="shared" si="291"/>
        <v/>
      </c>
      <c r="CN381" s="4" t="str">
        <f t="shared" si="342"/>
        <v/>
      </c>
      <c r="CO381" s="4"/>
      <c r="CP381" s="4"/>
      <c r="CQ381" s="29" t="str">
        <f t="shared" si="335"/>
        <v/>
      </c>
      <c r="CR381" s="29" t="str">
        <f t="shared" si="336"/>
        <v/>
      </c>
      <c r="CS381" s="4"/>
      <c r="CT381" s="4"/>
      <c r="CU381" s="4"/>
      <c r="CV381" s="4"/>
      <c r="CW381" s="4"/>
      <c r="CX381" s="4"/>
      <c r="CY381" s="4"/>
    </row>
    <row r="382" spans="1:176" ht="2" customHeight="1" thickBot="1">
      <c r="B382" s="482"/>
      <c r="C382" s="130"/>
      <c r="D382" s="131" t="str">
        <f>+IFERROR(INDEX('DESEMPATE Y DISCAPACIDAD'!$D$3:$D$450,MATCH(C382,'DESEMPATE Y DISCAPACIDAD'!$C$3:$C$450,0)),"")</f>
        <v/>
      </c>
      <c r="E382" s="132" t="str">
        <f>IFERROR(IF(D382="","",IF(VLOOKUP(D382,'DESEMPATE Y DISCAPACIDAD'!D$3:$E$450,2,FALSE)=1,"N/A",IF(VLOOKUP(D382,'DESEMPATE Y DISCAPACIDAD'!D$3:$F$450,3,FALSE)="X","SI","NO"))),"")</f>
        <v/>
      </c>
      <c r="F382" s="133"/>
      <c r="G382" s="133"/>
      <c r="H382" s="133"/>
      <c r="I382" s="134"/>
      <c r="J382" s="133"/>
      <c r="K382" s="133"/>
      <c r="L382" s="133"/>
      <c r="M382" s="133"/>
      <c r="N382" s="133" t="str">
        <f t="shared" si="337"/>
        <v/>
      </c>
      <c r="O382" s="133" t="str">
        <f t="shared" si="343"/>
        <v/>
      </c>
      <c r="P382" s="133" t="str">
        <f t="shared" si="338"/>
        <v/>
      </c>
      <c r="Q382" s="133" t="str">
        <f t="shared" si="294"/>
        <v/>
      </c>
      <c r="R382" s="104"/>
      <c r="S382" s="135"/>
      <c r="T382" s="135"/>
      <c r="U382" s="133" t="str">
        <f t="shared" si="339"/>
        <v/>
      </c>
      <c r="V382" s="136" t="str">
        <f>IF(U382=2023,1160000,IFERROR(INDEX(SMMLV!$B$2:$B$101,MATCH(U382,SMMLV!$A$2:$A$101,0)),""))</f>
        <v/>
      </c>
      <c r="W382" s="136"/>
      <c r="X382" s="133"/>
      <c r="Y382" s="133"/>
      <c r="Z382" s="487"/>
      <c r="AA382" s="488"/>
      <c r="AB382" s="489"/>
      <c r="AC382" s="133" t="str">
        <f t="shared" si="340"/>
        <v/>
      </c>
      <c r="AD382" s="136" t="str">
        <f t="shared" si="297"/>
        <v/>
      </c>
      <c r="AE382" s="117" t="str">
        <f t="shared" si="334"/>
        <v/>
      </c>
      <c r="AF382" s="136" t="str">
        <f t="shared" si="288"/>
        <v/>
      </c>
      <c r="AG382" s="471"/>
      <c r="AH382" s="471"/>
      <c r="AI382" s="133" t="str">
        <f t="shared" si="289"/>
        <v/>
      </c>
      <c r="AJ382" s="471"/>
      <c r="AK382" s="471"/>
      <c r="AL382" s="528"/>
      <c r="AM382" s="506"/>
      <c r="AN382" s="5"/>
      <c r="AO382" s="499"/>
      <c r="AP382" s="5"/>
      <c r="AQ382" s="499"/>
      <c r="AR382" s="601"/>
      <c r="AS382" s="588"/>
      <c r="AT382" s="206"/>
      <c r="AU382" s="684"/>
      <c r="AV382" s="687"/>
      <c r="AW382" s="690"/>
      <c r="AX382" s="690"/>
      <c r="AY382" s="19"/>
      <c r="AZ382" s="19"/>
      <c r="BA382" s="19"/>
      <c r="BB382" s="19"/>
      <c r="BC382" s="19"/>
      <c r="BD382" s="19"/>
      <c r="BE382" s="19"/>
      <c r="BF382" s="19"/>
      <c r="BG382" s="19"/>
      <c r="BH382" s="19"/>
      <c r="BI382" s="19"/>
      <c r="BJ382" s="19"/>
      <c r="BZ382" s="4"/>
      <c r="CA382" s="4"/>
      <c r="CB382" s="29" t="str">
        <f>IFERROR(IF(COUNTIF(AF373:AF382,"")=10,"",IF(COUNTIF(E373:E382,"N/A")&gt;0,IF(AF382&gt;=CMEMM1,AF382,0),"N/A")),"")</f>
        <v>N/A</v>
      </c>
      <c r="CC382" s="4"/>
      <c r="CD382" s="4" t="str">
        <f>IFERROR(IF(COUNTIF(AF373:AF382,"")=10,"",IF(AF382="","",IF(AF382&gt;=CMEMM1,1,0))),"")</f>
        <v/>
      </c>
      <c r="CE382" s="4" t="str">
        <f>B373&amp;"-"&amp;10</f>
        <v>P38-10</v>
      </c>
      <c r="CF382" s="4" t="str">
        <f>IFERROR(INDEX('DESEMPATE Y DISCAPACIDAD'!$D$3:$D$450,MATCH(CE382,'DESEMPATE Y DISCAPACIDAD'!$C$3:$C$450,0)),"")</f>
        <v/>
      </c>
      <c r="CG382" s="4" t="str">
        <f>IF(OR(CE382="",CF382=""),"",SUMIF(D373:D382,CF382,CD373:CD382))</f>
        <v/>
      </c>
      <c r="CH382" s="4" t="str">
        <f t="shared" si="323"/>
        <v/>
      </c>
      <c r="CI382" s="4" t="str">
        <f t="shared" si="341"/>
        <v/>
      </c>
      <c r="CJ382" s="4"/>
      <c r="CK382" s="4"/>
      <c r="CL382" s="4" t="str">
        <f t="shared" si="290"/>
        <v/>
      </c>
      <c r="CM382" s="4" t="str">
        <f t="shared" si="291"/>
        <v/>
      </c>
      <c r="CN382" s="4" t="str">
        <f t="shared" si="342"/>
        <v/>
      </c>
      <c r="CO382" s="4"/>
      <c r="CP382" s="4"/>
      <c r="CQ382" s="29" t="str">
        <f t="shared" si="335"/>
        <v/>
      </c>
      <c r="CR382" s="29" t="str">
        <f t="shared" si="336"/>
        <v/>
      </c>
      <c r="CS382" s="4"/>
      <c r="CT382" s="4"/>
      <c r="CU382" s="4"/>
      <c r="CV382" s="4"/>
      <c r="CW382" s="4"/>
      <c r="CX382" s="4"/>
      <c r="CY382" s="4"/>
    </row>
    <row r="383" spans="1:176" ht="34.25" customHeight="1">
      <c r="A383" s="4" t="str">
        <f>"A"&amp;B383</f>
        <v>AP39</v>
      </c>
      <c r="B383" s="480" t="s">
        <v>300</v>
      </c>
      <c r="C383" s="108" t="s">
        <v>452</v>
      </c>
      <c r="D383" s="119" t="str">
        <f>+IFERROR(INDEX('DESEMPATE Y DISCAPACIDAD'!$D$3:$D$450,MATCH(C383,'DESEMPATE Y DISCAPACIDAD'!$C$3:$C$450,0)),"")</f>
        <v>TPF GETINSA EUROESTUDIOS COLOMBIA</v>
      </c>
      <c r="E383" s="120" t="str">
        <f>IFERROR(IF(D383="","",IF(VLOOKUP(D383,'DESEMPATE Y DISCAPACIDAD'!D$3:$E$450,2,FALSE)=1,"N/A",IF(VLOOKUP(D383,'DESEMPATE Y DISCAPACIDAD'!D$3:$F$450,3,FALSE)="X","SI","NO"))),"")</f>
        <v>NO</v>
      </c>
      <c r="F383" s="3" t="s">
        <v>698</v>
      </c>
      <c r="G383" s="3" t="s">
        <v>699</v>
      </c>
      <c r="H383" s="179" t="s">
        <v>700</v>
      </c>
      <c r="I383" s="239" t="s">
        <v>701</v>
      </c>
      <c r="J383" s="111" t="s">
        <v>74</v>
      </c>
      <c r="K383" s="111" t="s">
        <v>74</v>
      </c>
      <c r="L383" s="180" t="s">
        <v>74</v>
      </c>
      <c r="M383" s="111" t="s">
        <v>74</v>
      </c>
      <c r="N383" s="121" t="str">
        <f>IFERROR(IF(OR(J383="",K383=""),"",IF(J383="NO","NO",K383)),"")</f>
        <v>SI</v>
      </c>
      <c r="O383" s="121" t="str">
        <f>IFERROR(IF(OR(J383="",L383=""),"",IF(J383="NO","NO",L383)),"")</f>
        <v>SI</v>
      </c>
      <c r="P383" s="121" t="str">
        <f>IFERROR(IF(OR(J383="",M383=""),"",IF(J383="NO","NO",M383)),"")</f>
        <v>SI</v>
      </c>
      <c r="Q383" s="121" t="str">
        <f t="shared" si="294"/>
        <v>SI</v>
      </c>
      <c r="R383" s="103">
        <v>0.75</v>
      </c>
      <c r="S383" s="123">
        <v>39521</v>
      </c>
      <c r="T383" s="123">
        <v>40999</v>
      </c>
      <c r="U383" s="121">
        <f>IFERROR(IF(T383="","",YEAR(T383)),"")</f>
        <v>2012</v>
      </c>
      <c r="V383" s="124">
        <f>IF(U383=2023,1160000,IFERROR(INDEX(SMMLV!$B$2:$B$101,MATCH(U383,SMMLV!$A$2:$A$101,0)),""))</f>
        <v>566700</v>
      </c>
      <c r="W383" s="124" t="s">
        <v>670</v>
      </c>
      <c r="X383" s="121" t="s">
        <v>671</v>
      </c>
      <c r="Y383" s="121">
        <v>79</v>
      </c>
      <c r="Z383" s="483" t="s">
        <v>74</v>
      </c>
      <c r="AA383" s="484"/>
      <c r="AB383" s="485"/>
      <c r="AC383" s="121" t="str">
        <f>IFERROR(IF(Y383="","",IF(ISNUMBER(Y383),IF(COUNTIF(Z383,"SI")&gt;0,"SI","NO"),Y383)),"")</f>
        <v>SI</v>
      </c>
      <c r="AD383" s="124" t="str">
        <f t="shared" si="297"/>
        <v>N/A</v>
      </c>
      <c r="AE383" s="117">
        <v>12480.96</v>
      </c>
      <c r="AF383" s="124">
        <f t="shared" si="288"/>
        <v>9360.7199999999993</v>
      </c>
      <c r="AG383" s="486" t="str">
        <f>IFERROR(IF(COUNTIF(AF383:AF392,"")=10,"",IF(COUNTIF(E383:E392,"N/A")&gt;0,IF(SUM(CB383:CB392)&gt;=CMEM1,"CUMPLE","NO CUMPLE"),IF(SUM(AF383:AF392)&gt;=CMEM1,"CUMPLE","NO CUMPLE"))),"")</f>
        <v>CUMPLE</v>
      </c>
      <c r="AH383" s="486" t="str">
        <f>IF(COUNTIF(AF383:AF392,"")=10,"",IF(SUMIF(C383:C392,C383,AF383:AF392)&gt;=CMLM1,"CUMPLE",IF(SUMIF(C383:C392,C384,AF383:AF392)&gt;=CMLM1,"CUMPLE",IF(SUMIF(C383:C392,C385,AF383:AF392)&gt;=CMLM1,"CUMPLE",IF(SUMIF(C383:C392,C386,AF383:AF392)&gt;=CMLM1,"CUMPLE",IF(SUMIF(C383:C392,C387,AF383:AF392)&gt;=CMLM1,"CUMPLE",IF(SUMIF(C383:C392,C388,AF383:AF392)&gt;=CMLM1,"CUMPLE",IF(SUMIF(C383:C392,C389,AF383:AF392)&gt;=CMLM1,"CUMPLE",IF(SUMIF(C383:C392,C390,AF383:AF392)&gt;=CMLM1,"CUMPLE",IF(SUMIF(C383:C392,C391,AF383:AF392)&gt;=CMLM1,"CUMPLE",IF(SUMIF(C383:C392,C392,AF383:AF392)&gt;=CMLM1,"CUMPLE","NO CUMPLE")))))))))))</f>
        <v>CUMPLE</v>
      </c>
      <c r="AI383" s="121" t="str">
        <f t="shared" si="289"/>
        <v>CUMPLE</v>
      </c>
      <c r="AJ383" s="469" t="str">
        <f>IFERROR(IF(COUNTIF(AF383:AF392,"")=10,"",IF(COUNTIF(E383:E392,"N/A")&gt;0,"N/A",CJ383)),"")</f>
        <v>CUMPLE</v>
      </c>
      <c r="AK383" s="469" t="str">
        <f>IFERROR(IF(AND(COUNTIF(N383:N392,"SI")&gt;=1,COUNTIF(O383:O392,"SI")&gt;=1,COUNTIF(P383:P392,"SI")&gt;=1,COUNTIF(J383:J392,"SI")&lt;=10,CO383="CUMPLE"),"CUMPLE","NO CUMPLE"),"")</f>
        <v>CUMPLE</v>
      </c>
      <c r="AL383" s="472" t="s">
        <v>77</v>
      </c>
      <c r="AM383" s="495">
        <f>IFERROR(IF(B383&lt;&gt;"",IF(VLOOKUP(B383,'DESEMPATE Y DISCAPACIDAD'!$A$3:$Q$450,10,FALSE)="","",VLOOKUP(B383,'DESEMPATE Y DISCAPACIDAD'!$A$3:$Q$450,10,FALSE)+6),""),"")</f>
        <v>8</v>
      </c>
      <c r="AN383" s="111" t="s">
        <v>75</v>
      </c>
      <c r="AO383" s="503" t="s">
        <v>74</v>
      </c>
      <c r="AP383" s="111" t="s">
        <v>74</v>
      </c>
      <c r="AQ383" s="490">
        <f>IFERROR(IF(COUNTIF(AP383:AP392,"")=10,"",IF(AO383="NO",0,COUNTIF(AP383:AP392,"SI"))),"")</f>
        <v>4</v>
      </c>
      <c r="AR383" s="521">
        <f>IFERROR(IF(COUNTIF(AF383:AF392,"")=10,"",IF(AO383="NO",0,IF(COUNTIF(E383:E392,"N/A")&gt;0,SUM(CQ383:CQ392),SUM(CR383:CR392)))),"")</f>
        <v>62027.521000000008</v>
      </c>
      <c r="AS383" s="518">
        <f>IFERROR(IF(OR(COUNTIF(AF383:AF392,"")=10,AQ383="",AR383=""),"",IF(AO383="NO",0,AR383/AQ383)),"")</f>
        <v>15506.880250000002</v>
      </c>
      <c r="AT383" s="241"/>
      <c r="AU383" s="691" t="s">
        <v>750</v>
      </c>
      <c r="AV383" s="694" t="s">
        <v>747</v>
      </c>
      <c r="AW383" s="688" t="s">
        <v>1357</v>
      </c>
      <c r="AX383" s="688" t="s">
        <v>1357</v>
      </c>
      <c r="AY383" s="19"/>
      <c r="AZ383" s="19"/>
      <c r="BA383" s="19"/>
      <c r="BB383" s="19"/>
      <c r="BC383" s="19"/>
      <c r="BD383" s="19"/>
      <c r="BE383" s="19"/>
      <c r="BF383" s="19"/>
      <c r="BG383" s="19"/>
      <c r="BH383" s="19"/>
      <c r="BI383" s="19"/>
      <c r="BJ383" s="19"/>
      <c r="BZ383" s="4"/>
      <c r="CA383" s="4"/>
      <c r="CB383" s="29" t="str">
        <f>IFERROR(IF(COUNTIF(AF383:AF392,"")=10,"",IF(COUNTIF(E383:E392,"N/A")&gt;0,IF(AF383&gt;=CMEMM1,AF383,0),"N/A")),"")</f>
        <v>N/A</v>
      </c>
      <c r="CC383" s="4"/>
      <c r="CD383" s="4">
        <f>IFERROR(IF(COUNTIF(AF383:AF392,"")=10,"",IF(AF383="","",IF(AF383&gt;=CMEMM1,1,0))),"")</f>
        <v>1</v>
      </c>
      <c r="CE383" s="4" t="str">
        <f>B383&amp;"-0"&amp;1</f>
        <v>P39-01</v>
      </c>
      <c r="CF383" s="4" t="str">
        <f>IFERROR(INDEX('DESEMPATE Y DISCAPACIDAD'!$D$3:$D$450,MATCH(CE383,'DESEMPATE Y DISCAPACIDAD'!$C$3:$C$450,0)),"")</f>
        <v>TPF GETINSA EUROESTUDIOS COLOMBIA</v>
      </c>
      <c r="CG383" s="4">
        <f>IF(OR(CE383="",CF383=""),"",SUMIF(D383:D392,CF383,CD383:CD392))</f>
        <v>3</v>
      </c>
      <c r="CH383" s="4" t="str">
        <f t="shared" si="323"/>
        <v>CUMPLE</v>
      </c>
      <c r="CI383" s="4">
        <f>IF(CF383="","",IF(ISTEXT(CF383),1,0))</f>
        <v>1</v>
      </c>
      <c r="CJ383" s="4" t="str">
        <f>IF(OR(CD383="",CE383="",CF383="",CG383="",CH383="",CI383=""),"",IF(COUNTIF(CH383:CH392,"CUMPLE")=COUNTIF(CI383:CI392,1),"CUMPLE","NO CUMPLE"))</f>
        <v>CUMPLE</v>
      </c>
      <c r="CK383" s="4"/>
      <c r="CL383" s="4">
        <f t="shared" si="290"/>
        <v>1</v>
      </c>
      <c r="CM383" s="4">
        <f t="shared" si="291"/>
        <v>1</v>
      </c>
      <c r="CN383" s="4" t="str">
        <f>IF(OR(CL383="",CM383=""),"",IF(AND(CL383=0,CM383=0),"N/A",IF(AND(CL383=1,CM383=0),"COND. A",IF(AND(CL383=0,CM383=1),"COND. B",IF(AND(CL383=1,CM383=1),"COND. A Y B","")))))</f>
        <v>COND. A Y B</v>
      </c>
      <c r="CO383" s="4" t="str">
        <f>IF(COUNTIF(CN383:CN392,"N/A")=10,"NO CUMPLE",IF(COUNTIF(CN383:CN392,"COND. A Y B")&gt;1,"CUMPLE",IF(AND(COUNTIF(CN383:CN392,"COND. A")&gt;0,COUNTIF(CN383:CN392,"COND. B")&gt;0),"CUMPLE",IF(AND(COUNTIF(CN383:CN392,"COND. A Y B")&gt;0,COUNTIF(CN383:CN392,"COND. A")&gt;0),"CUMPLE",IF(AND(COUNTIF(CN383:CN392,"COND. A Y B")&gt;0,COUNTIF(CN383:CN392,"COND. B")&gt;0),"CUMPLE","NO CUMPLE")))))</f>
        <v>CUMPLE</v>
      </c>
      <c r="CP383" s="4"/>
      <c r="CQ383" s="29" t="str">
        <f t="shared" si="335"/>
        <v>N/A</v>
      </c>
      <c r="CR383" s="29">
        <f t="shared" si="336"/>
        <v>9360.7199999999993</v>
      </c>
      <c r="CS383" s="4"/>
      <c r="CT383" s="4"/>
      <c r="CU383" s="4"/>
      <c r="CV383" s="4"/>
      <c r="CW383" s="4"/>
      <c r="CX383" s="4"/>
      <c r="CY383" s="4"/>
    </row>
    <row r="384" spans="1:176" ht="34.25" customHeight="1">
      <c r="B384" s="481"/>
      <c r="C384" s="118" t="s">
        <v>452</v>
      </c>
      <c r="D384" s="119" t="str">
        <f>+IFERROR(INDEX('DESEMPATE Y DISCAPACIDAD'!$D$3:$D$450,MATCH(C384,'DESEMPATE Y DISCAPACIDAD'!$C$3:$C$450,0)),"")</f>
        <v>TPF GETINSA EUROESTUDIOS COLOMBIA</v>
      </c>
      <c r="E384" s="120" t="str">
        <f>IFERROR(IF(D384="","",IF(VLOOKUP(D384,'DESEMPATE Y DISCAPACIDAD'!D$3:$E$450,2,FALSE)=1,"N/A",IF(VLOOKUP(D384,'DESEMPATE Y DISCAPACIDAD'!D$3:$F$450,3,FALSE)="X","SI","NO"))),"")</f>
        <v>NO</v>
      </c>
      <c r="F384" s="125" t="s">
        <v>702</v>
      </c>
      <c r="G384" s="125" t="s">
        <v>703</v>
      </c>
      <c r="H384" s="121" t="s">
        <v>704</v>
      </c>
      <c r="I384" s="122" t="s">
        <v>705</v>
      </c>
      <c r="J384" s="121" t="s">
        <v>74</v>
      </c>
      <c r="K384" s="179" t="s">
        <v>74</v>
      </c>
      <c r="L384" s="179" t="s">
        <v>75</v>
      </c>
      <c r="M384" s="179" t="s">
        <v>74</v>
      </c>
      <c r="N384" s="121" t="str">
        <f t="shared" ref="N384:N392" si="344">IFERROR(IF(OR(J384="",K384=""),"",IF(J384="NO","NO",K384)),"")</f>
        <v>SI</v>
      </c>
      <c r="O384" s="121" t="str">
        <f>IFERROR(IF(OR(J384="",L384=""),"",IF(J384="NO","NO",L384)),"")</f>
        <v>NO</v>
      </c>
      <c r="P384" s="121" t="str">
        <f t="shared" ref="P384:P392" si="345">IFERROR(IF(OR(J384="",M384=""),"",IF(J384="NO","NO",M384)),"")</f>
        <v>SI</v>
      </c>
      <c r="Q384" s="121" t="str">
        <f t="shared" si="294"/>
        <v>SI</v>
      </c>
      <c r="R384" s="103">
        <v>1</v>
      </c>
      <c r="S384" s="123">
        <v>37476</v>
      </c>
      <c r="T384" s="123">
        <v>38632</v>
      </c>
      <c r="U384" s="121">
        <f t="shared" ref="U384:U392" si="346">IFERROR(IF(T384="","",YEAR(T384)),"")</f>
        <v>2005</v>
      </c>
      <c r="V384" s="124">
        <f>IF(U384=2023,1160000,IFERROR(INDEX(SMMLV!$B$2:$B$101,MATCH(U384,SMMLV!$A$2:$A$101,0)),""))</f>
        <v>381500</v>
      </c>
      <c r="W384" s="124" t="s">
        <v>670</v>
      </c>
      <c r="X384" s="125" t="s">
        <v>671</v>
      </c>
      <c r="Y384" s="125">
        <v>76</v>
      </c>
      <c r="Z384" s="477" t="s">
        <v>74</v>
      </c>
      <c r="AA384" s="478"/>
      <c r="AB384" s="479"/>
      <c r="AC384" s="125" t="str">
        <f t="shared" ref="AC384:AC392" si="347">IFERROR(IF(Y384="","",IF(ISNUMBER(Y384),IF(COUNTIF(Z384,"SI")&gt;0,"SI","NO"),Y384)),"")</f>
        <v>SI</v>
      </c>
      <c r="AD384" s="117" t="str">
        <f t="shared" si="297"/>
        <v>N/A</v>
      </c>
      <c r="AE384" s="117">
        <v>17382.29</v>
      </c>
      <c r="AF384" s="117">
        <f t="shared" si="288"/>
        <v>17382.29</v>
      </c>
      <c r="AG384" s="470"/>
      <c r="AH384" s="470"/>
      <c r="AI384" s="125" t="str">
        <f t="shared" si="289"/>
        <v>CUMPLE</v>
      </c>
      <c r="AJ384" s="470"/>
      <c r="AK384" s="470"/>
      <c r="AL384" s="472"/>
      <c r="AM384" s="496"/>
      <c r="AN384" s="3" t="s">
        <v>75</v>
      </c>
      <c r="AO384" s="490"/>
      <c r="AP384" s="3" t="s">
        <v>74</v>
      </c>
      <c r="AQ384" s="490"/>
      <c r="AR384" s="522"/>
      <c r="AS384" s="519"/>
      <c r="AT384" s="204"/>
      <c r="AU384" s="692"/>
      <c r="AV384" s="695"/>
      <c r="AW384" s="689"/>
      <c r="AX384" s="689"/>
      <c r="AY384" s="19"/>
      <c r="AZ384" s="19"/>
      <c r="BA384" s="19"/>
      <c r="BB384" s="19"/>
      <c r="BC384" s="19"/>
      <c r="BD384" s="19"/>
      <c r="BE384" s="19"/>
      <c r="BF384" s="19"/>
      <c r="BG384" s="19"/>
      <c r="BH384" s="19"/>
      <c r="BI384" s="19"/>
      <c r="BJ384" s="19"/>
      <c r="BZ384" s="4"/>
      <c r="CA384" s="4"/>
      <c r="CB384" s="29" t="str">
        <f>IFERROR(IF(COUNTIF(AF383:AF392,"")=10,"",IF(COUNTIF(E383:E392,"N/A")&gt;0,IF(AF384&gt;=CMEMM1,AF384,0),"N/A")),"")</f>
        <v>N/A</v>
      </c>
      <c r="CC384" s="4"/>
      <c r="CD384" s="4">
        <f>IFERROR(IF(COUNTIF(AF383:AF392,"")=10,"",IF(AF384="","",IF(AF384&gt;=CMEMM1,1,0))),"")</f>
        <v>1</v>
      </c>
      <c r="CE384" s="4" t="str">
        <f>B383&amp;"-0"&amp;2</f>
        <v>P39-02</v>
      </c>
      <c r="CF384" s="4" t="str">
        <f>IFERROR(INDEX('DESEMPATE Y DISCAPACIDAD'!$D$3:$D$450,MATCH(CE384,'DESEMPATE Y DISCAPACIDAD'!$C$3:$C$450,0)),"")</f>
        <v>EUROESTUDIOS INGENIEROS DE CONSULTA SAS</v>
      </c>
      <c r="CG384" s="4">
        <f>IF(OR(CE384="",CF384=""),"",SUMIF(D383:D392,CF384,CD383:CD392))</f>
        <v>1</v>
      </c>
      <c r="CH384" s="4" t="str">
        <f t="shared" si="323"/>
        <v>CUMPLE</v>
      </c>
      <c r="CI384" s="4">
        <f t="shared" ref="CI384:CI392" si="348">IF(CF384="","",IF(ISTEXT(CF384),1,0))</f>
        <v>1</v>
      </c>
      <c r="CJ384" s="4"/>
      <c r="CK384" s="4"/>
      <c r="CL384" s="4">
        <f t="shared" si="290"/>
        <v>1</v>
      </c>
      <c r="CM384" s="4">
        <f t="shared" si="291"/>
        <v>0</v>
      </c>
      <c r="CN384" s="4" t="str">
        <f t="shared" ref="CN384:CN392" si="349">IF(OR(CL384="",CM384=""),"",IF(AND(CL384=0,CM384=0),"N/A",IF(AND(CL384=1,CM384=0),"COND. A",IF(AND(CL384=0,CM384=1),"COND. B",IF(AND(CL384=1,CM384=1),"COND. A Y B","")))))</f>
        <v>COND. A</v>
      </c>
      <c r="CO384" s="4"/>
      <c r="CP384" s="4"/>
      <c r="CQ384" s="29" t="str">
        <f t="shared" si="335"/>
        <v>N/A</v>
      </c>
      <c r="CR384" s="29">
        <f t="shared" si="336"/>
        <v>17382.29</v>
      </c>
      <c r="CS384" s="4"/>
      <c r="CT384" s="4"/>
      <c r="CU384" s="4"/>
      <c r="CV384" s="4"/>
      <c r="CW384" s="4"/>
      <c r="CX384" s="4"/>
      <c r="CY384" s="4"/>
    </row>
    <row r="385" spans="1:97" ht="34.25" customHeight="1">
      <c r="B385" s="481"/>
      <c r="C385" s="118" t="s">
        <v>452</v>
      </c>
      <c r="D385" s="126" t="str">
        <f>+IFERROR(INDEX('DESEMPATE Y DISCAPACIDAD'!$D$3:$D$450,MATCH(C385,'DESEMPATE Y DISCAPACIDAD'!$C$3:$C$450,0)),"")</f>
        <v>TPF GETINSA EUROESTUDIOS COLOMBIA</v>
      </c>
      <c r="E385" s="127" t="str">
        <f>IFERROR(IF(D385="","",IF(VLOOKUP(D385,'DESEMPATE Y DISCAPACIDAD'!D$3:$E$450,2,FALSE)=1,"N/A",IF(VLOOKUP(D385,'DESEMPATE Y DISCAPACIDAD'!D$3:$F$450,3,FALSE)="X","SI","NO"))),"")</f>
        <v>NO</v>
      </c>
      <c r="F385" s="121" t="s">
        <v>706</v>
      </c>
      <c r="G385" s="121" t="s">
        <v>703</v>
      </c>
      <c r="H385" s="125" t="s">
        <v>707</v>
      </c>
      <c r="I385" s="128" t="s">
        <v>708</v>
      </c>
      <c r="J385" s="125" t="s">
        <v>74</v>
      </c>
      <c r="K385" s="3" t="s">
        <v>74</v>
      </c>
      <c r="L385" s="3" t="s">
        <v>75</v>
      </c>
      <c r="M385" s="3" t="s">
        <v>74</v>
      </c>
      <c r="N385" s="125" t="str">
        <f t="shared" si="344"/>
        <v>SI</v>
      </c>
      <c r="O385" s="125" t="str">
        <f>IFERROR(IF(OR(J385="",L385=""),"",IF(J385="NO","NO",L385)),"")</f>
        <v>NO</v>
      </c>
      <c r="P385" s="125" t="str">
        <f t="shared" si="345"/>
        <v>SI</v>
      </c>
      <c r="Q385" s="125" t="str">
        <f t="shared" si="294"/>
        <v>SI</v>
      </c>
      <c r="R385" s="68">
        <v>0.7</v>
      </c>
      <c r="S385" s="129">
        <v>36339</v>
      </c>
      <c r="T385" s="129">
        <v>37817</v>
      </c>
      <c r="U385" s="125">
        <f t="shared" si="346"/>
        <v>2003</v>
      </c>
      <c r="V385" s="117">
        <f>IF(U385=2023,1160000,IFERROR(INDEX(SMMLV!$B$2:$B$101,MATCH(U385,SMMLV!$A$2:$A$101,0)),""))</f>
        <v>332000</v>
      </c>
      <c r="W385" s="117" t="s">
        <v>670</v>
      </c>
      <c r="X385" s="125" t="s">
        <v>671</v>
      </c>
      <c r="Y385" s="125">
        <v>92</v>
      </c>
      <c r="Z385" s="477" t="s">
        <v>74</v>
      </c>
      <c r="AA385" s="478"/>
      <c r="AB385" s="479"/>
      <c r="AC385" s="125" t="str">
        <f t="shared" si="347"/>
        <v>SI</v>
      </c>
      <c r="AD385" s="117" t="str">
        <f t="shared" si="297"/>
        <v>N/A</v>
      </c>
      <c r="AE385" s="117">
        <v>27181.31</v>
      </c>
      <c r="AF385" s="117">
        <f t="shared" ref="AF385:AF448" si="350">IFERROR(IF(OR(J385="",J385="NO"),"",IF(AND(J385="SI",Q385="SI"),IFERROR(AE385*R385,""),"")),"")</f>
        <v>19026.917000000001</v>
      </c>
      <c r="AG385" s="470"/>
      <c r="AH385" s="470"/>
      <c r="AI385" s="125" t="str">
        <f t="shared" ref="AI385:AI448" si="351">IFERROR(IF(AF385="","",IF(AF385&gt;=CMEMM1,"CUMPLE","NO CUMPLE")),"")</f>
        <v>CUMPLE</v>
      </c>
      <c r="AJ385" s="470"/>
      <c r="AK385" s="470"/>
      <c r="AL385" s="472"/>
      <c r="AM385" s="496"/>
      <c r="AN385" s="3" t="s">
        <v>75</v>
      </c>
      <c r="AO385" s="490"/>
      <c r="AP385" s="3" t="s">
        <v>74</v>
      </c>
      <c r="AQ385" s="490"/>
      <c r="AR385" s="522"/>
      <c r="AS385" s="519"/>
      <c r="AT385" s="204"/>
      <c r="AU385" s="692"/>
      <c r="AV385" s="695"/>
      <c r="AW385" s="689"/>
      <c r="AX385" s="689"/>
      <c r="AY385" s="19"/>
      <c r="AZ385" s="19"/>
      <c r="BA385" s="19"/>
      <c r="BB385" s="19"/>
      <c r="BC385" s="19"/>
      <c r="BD385" s="19"/>
      <c r="BE385" s="19"/>
      <c r="BF385" s="19"/>
      <c r="BG385" s="19"/>
      <c r="BH385" s="19"/>
      <c r="BI385" s="19"/>
      <c r="BJ385" s="19"/>
      <c r="CB385" s="29" t="str">
        <f>IFERROR(IF(COUNTIF(AF383:AF392,"")=10,"",IF(COUNTIF(E383:E392,"N/A")&gt;0,IF(AF385&gt;=CMEMM1,AF385,0),"N/A")),"")</f>
        <v>N/A</v>
      </c>
      <c r="CC385" s="4"/>
      <c r="CD385" s="4">
        <f>IFERROR(IF(COUNTIF(AF383:AF392,"")=10,"",IF(AF385="","",IF(AF385&gt;=CMEMM1,1,0))),"")</f>
        <v>1</v>
      </c>
      <c r="CE385" s="4" t="str">
        <f>B383&amp;"-0"&amp;3</f>
        <v>P39-03</v>
      </c>
      <c r="CF385" s="4">
        <f>IFERROR(INDEX('DESEMPATE Y DISCAPACIDAD'!$D$3:$D$450,MATCH(CE385,'DESEMPATE Y DISCAPACIDAD'!$C$3:$C$450,0)),"")</f>
        <v>0</v>
      </c>
      <c r="CG385" s="4">
        <f>IF(OR(CE385="",CF385=""),"",SUMIF(D383:D392,CF385,CD383:CD392))</f>
        <v>0</v>
      </c>
      <c r="CH385" s="4" t="str">
        <f t="shared" si="323"/>
        <v>NO CUMPLE</v>
      </c>
      <c r="CI385" s="4">
        <f t="shared" si="348"/>
        <v>0</v>
      </c>
      <c r="CJ385" s="4"/>
      <c r="CK385" s="4"/>
      <c r="CL385" s="4">
        <f t="shared" si="290"/>
        <v>1</v>
      </c>
      <c r="CM385" s="4">
        <f t="shared" si="291"/>
        <v>0</v>
      </c>
      <c r="CN385" s="4" t="str">
        <f t="shared" si="349"/>
        <v>COND. A</v>
      </c>
      <c r="CO385" s="4"/>
      <c r="CP385" s="4"/>
      <c r="CQ385" s="29" t="str">
        <f t="shared" si="335"/>
        <v>N/A</v>
      </c>
      <c r="CR385" s="29">
        <f t="shared" si="336"/>
        <v>19026.917000000001</v>
      </c>
      <c r="CS385" s="4"/>
    </row>
    <row r="386" spans="1:97" ht="45" customHeight="1">
      <c r="B386" s="481"/>
      <c r="C386" s="118" t="s">
        <v>453</v>
      </c>
      <c r="D386" s="126" t="str">
        <f>+IFERROR(INDEX('DESEMPATE Y DISCAPACIDAD'!$D$3:$D$450,MATCH(C386,'DESEMPATE Y DISCAPACIDAD'!$C$3:$C$450,0)),"")</f>
        <v>EUROESTUDIOS INGENIEROS DE CONSULTA SAS</v>
      </c>
      <c r="E386" s="127" t="str">
        <f>IFERROR(IF(D386="","",IF(VLOOKUP(D386,'DESEMPATE Y DISCAPACIDAD'!D$3:$E$450,2,FALSE)=1,"N/A",IF(VLOOKUP(D386,'DESEMPATE Y DISCAPACIDAD'!D$3:$F$450,3,FALSE)="X","SI","NO"))),"")</f>
        <v>NO</v>
      </c>
      <c r="F386" s="141" t="s">
        <v>709</v>
      </c>
      <c r="G386" s="125" t="s">
        <v>699</v>
      </c>
      <c r="H386" s="125" t="s">
        <v>710</v>
      </c>
      <c r="I386" s="128" t="s">
        <v>711</v>
      </c>
      <c r="J386" s="3" t="s">
        <v>74</v>
      </c>
      <c r="K386" s="3" t="s">
        <v>74</v>
      </c>
      <c r="L386" s="3" t="s">
        <v>75</v>
      </c>
      <c r="M386" s="3" t="s">
        <v>74</v>
      </c>
      <c r="N386" s="125" t="str">
        <f t="shared" si="344"/>
        <v>SI</v>
      </c>
      <c r="O386" s="125" t="str">
        <f>IFERROR(IF(OR(J386="",L386=""),"",IF(J386="NO","NO",L386)),"")</f>
        <v>NO</v>
      </c>
      <c r="P386" s="125" t="str">
        <f t="shared" si="345"/>
        <v>SI</v>
      </c>
      <c r="Q386" s="125" t="str">
        <f t="shared" si="294"/>
        <v>SI</v>
      </c>
      <c r="R386" s="68">
        <v>0.6</v>
      </c>
      <c r="S386" s="129">
        <v>40064</v>
      </c>
      <c r="T386" s="129">
        <v>42155</v>
      </c>
      <c r="U386" s="125">
        <f t="shared" si="346"/>
        <v>2015</v>
      </c>
      <c r="V386" s="117">
        <f>IF(U386=2023,1160000,IFERROR(INDEX(SMMLV!$B$2:$B$101,MATCH(U386,SMMLV!$A$2:$A$101,0)),""))</f>
        <v>644350</v>
      </c>
      <c r="W386" s="117" t="s">
        <v>670</v>
      </c>
      <c r="X386" s="125" t="s">
        <v>671</v>
      </c>
      <c r="Y386" s="125">
        <v>78</v>
      </c>
      <c r="Z386" s="477" t="s">
        <v>74</v>
      </c>
      <c r="AA386" s="478"/>
      <c r="AB386" s="479"/>
      <c r="AC386" s="125" t="str">
        <f t="shared" si="347"/>
        <v>SI</v>
      </c>
      <c r="AD386" s="117" t="str">
        <f t="shared" si="297"/>
        <v>N/A</v>
      </c>
      <c r="AE386" s="117">
        <v>27095.99</v>
      </c>
      <c r="AF386" s="117">
        <f t="shared" si="350"/>
        <v>16257.594000000001</v>
      </c>
      <c r="AG386" s="470"/>
      <c r="AH386" s="470"/>
      <c r="AI386" s="125" t="str">
        <f t="shared" si="351"/>
        <v>CUMPLE</v>
      </c>
      <c r="AJ386" s="470"/>
      <c r="AK386" s="470"/>
      <c r="AL386" s="472"/>
      <c r="AM386" s="496"/>
      <c r="AN386" s="3" t="s">
        <v>75</v>
      </c>
      <c r="AO386" s="490"/>
      <c r="AP386" s="3" t="s">
        <v>74</v>
      </c>
      <c r="AQ386" s="490"/>
      <c r="AR386" s="522"/>
      <c r="AS386" s="519"/>
      <c r="AT386" s="204"/>
      <c r="AU386" s="692"/>
      <c r="AV386" s="695"/>
      <c r="AW386" s="689"/>
      <c r="AX386" s="689"/>
      <c r="AY386" s="19"/>
      <c r="AZ386" s="19"/>
      <c r="BA386" s="19"/>
      <c r="BB386" s="19"/>
      <c r="BC386" s="19"/>
      <c r="BD386" s="19"/>
      <c r="BE386" s="19"/>
      <c r="BF386" s="19"/>
      <c r="BG386" s="19"/>
      <c r="BH386" s="19"/>
      <c r="BI386" s="19"/>
      <c r="BJ386" s="19"/>
      <c r="CB386" s="29" t="str">
        <f>IFERROR(IF(COUNTIF(AF383:AF392,"")=10,"",IF(COUNTIF(E383:E392,"N/A")&gt;0,IF(AF386&gt;=CMEMM1,AF386,0),"N/A")),"")</f>
        <v>N/A</v>
      </c>
      <c r="CC386" s="4"/>
      <c r="CD386" s="4">
        <f>IFERROR(IF(COUNTIF(AF383:AF392,"")=10,"",IF(AF386="","",IF(AF386&gt;=CMEMM1,1,0))),"")</f>
        <v>1</v>
      </c>
      <c r="CE386" s="4" t="str">
        <f>B383&amp;"-0"&amp;4</f>
        <v>P39-04</v>
      </c>
      <c r="CF386" s="4">
        <f>IFERROR(INDEX('DESEMPATE Y DISCAPACIDAD'!$D$3:$D$450,MATCH(CE386,'DESEMPATE Y DISCAPACIDAD'!$C$3:$C$450,0)),"")</f>
        <v>0</v>
      </c>
      <c r="CG386" s="4">
        <f>IF(OR(CE386="",CF386=""),"",SUMIF(D383:D392,CF386,CD383:CD392))</f>
        <v>0</v>
      </c>
      <c r="CH386" s="4" t="str">
        <f t="shared" si="323"/>
        <v>NO CUMPLE</v>
      </c>
      <c r="CI386" s="4">
        <f t="shared" si="348"/>
        <v>0</v>
      </c>
      <c r="CJ386" s="4"/>
      <c r="CK386" s="4"/>
      <c r="CL386" s="4">
        <f t="shared" si="290"/>
        <v>1</v>
      </c>
      <c r="CM386" s="4">
        <f t="shared" si="291"/>
        <v>0</v>
      </c>
      <c r="CN386" s="4" t="str">
        <f t="shared" si="349"/>
        <v>COND. A</v>
      </c>
      <c r="CO386" s="4"/>
      <c r="CP386" s="4"/>
      <c r="CQ386" s="29" t="str">
        <f t="shared" si="335"/>
        <v>N/A</v>
      </c>
      <c r="CR386" s="29">
        <f t="shared" si="336"/>
        <v>16257.594000000001</v>
      </c>
      <c r="CS386" s="4"/>
    </row>
    <row r="387" spans="1:97" ht="2" customHeight="1">
      <c r="B387" s="481"/>
      <c r="C387" s="118"/>
      <c r="D387" s="126" t="str">
        <f>+IFERROR(INDEX('DESEMPATE Y DISCAPACIDAD'!$D$3:$D$450,MATCH(C387,'DESEMPATE Y DISCAPACIDAD'!$C$3:$C$450,0)),"")</f>
        <v/>
      </c>
      <c r="E387" s="127" t="str">
        <f>IFERROR(IF(D387="","",IF(VLOOKUP(D387,'DESEMPATE Y DISCAPACIDAD'!D$3:$E$450,2,FALSE)=1,"N/A",IF(VLOOKUP(D387,'DESEMPATE Y DISCAPACIDAD'!D$3:$F$450,3,FALSE)="X","SI","NO"))),"")</f>
        <v/>
      </c>
      <c r="F387" s="125"/>
      <c r="G387" s="125"/>
      <c r="H387" s="125"/>
      <c r="I387" s="128"/>
      <c r="J387" s="125"/>
      <c r="K387" s="125"/>
      <c r="L387" s="3"/>
      <c r="M387" s="125"/>
      <c r="N387" s="125" t="str">
        <f t="shared" si="344"/>
        <v/>
      </c>
      <c r="O387" s="125" t="str">
        <f t="shared" ref="O387:O392" si="352">IFERROR(IF(OR(J387="",L387=""),"",IF(J387="NO","NO",L387)),"")</f>
        <v/>
      </c>
      <c r="P387" s="125" t="str">
        <f t="shared" si="345"/>
        <v/>
      </c>
      <c r="Q387" s="125" t="str">
        <f t="shared" si="294"/>
        <v/>
      </c>
      <c r="R387" s="68"/>
      <c r="S387" s="129"/>
      <c r="T387" s="129"/>
      <c r="U387" s="125" t="str">
        <f t="shared" si="346"/>
        <v/>
      </c>
      <c r="V387" s="117" t="str">
        <f>IF(U387=2023,1160000,IFERROR(INDEX(SMMLV!$B$2:$B$101,MATCH(U387,SMMLV!$A$2:$A$101,0)),""))</f>
        <v/>
      </c>
      <c r="W387" s="117"/>
      <c r="X387" s="125"/>
      <c r="Y387" s="125"/>
      <c r="Z387" s="474"/>
      <c r="AA387" s="475"/>
      <c r="AB387" s="476"/>
      <c r="AC387" s="125" t="str">
        <f t="shared" si="347"/>
        <v/>
      </c>
      <c r="AD387" s="117" t="str">
        <f t="shared" si="297"/>
        <v/>
      </c>
      <c r="AE387" s="117" t="str">
        <f t="shared" ref="AE387:AE450" si="353">IFERROR(IF(OR(V387="",AD387=""),"",ROUND(AD387/V387,2)),"")</f>
        <v/>
      </c>
      <c r="AF387" s="117" t="str">
        <f t="shared" si="350"/>
        <v/>
      </c>
      <c r="AG387" s="470"/>
      <c r="AH387" s="470"/>
      <c r="AI387" s="125" t="str">
        <f t="shared" si="351"/>
        <v/>
      </c>
      <c r="AJ387" s="470"/>
      <c r="AK387" s="470"/>
      <c r="AL387" s="472"/>
      <c r="AM387" s="496"/>
      <c r="AN387" s="125"/>
      <c r="AO387" s="490"/>
      <c r="AP387" s="125"/>
      <c r="AQ387" s="490"/>
      <c r="AR387" s="522"/>
      <c r="AS387" s="519"/>
      <c r="AT387" s="204"/>
      <c r="AU387" s="692"/>
      <c r="AV387" s="695"/>
      <c r="AW387" s="689"/>
      <c r="AX387" s="689"/>
      <c r="AY387" s="19"/>
      <c r="CB387" s="29" t="str">
        <f>IFERROR(IF(COUNTIF(AF383:AF392,"")=10,"",IF(COUNTIF(E383:E392,"N/A")&gt;0,IF(AF387&gt;=CMEMM1,AF387,0),"N/A")),"")</f>
        <v>N/A</v>
      </c>
      <c r="CC387" s="4"/>
      <c r="CD387" s="4" t="str">
        <f>IFERROR(IF(COUNTIF(AF383:AF392,"")=10,"",IF(AF387="","",IF(AF387&gt;=CMEMM1,1,0))),"")</f>
        <v/>
      </c>
      <c r="CE387" s="4" t="str">
        <f>B383&amp;"-0"&amp;5</f>
        <v>P39-05</v>
      </c>
      <c r="CF387" s="4">
        <f>IFERROR(INDEX('DESEMPATE Y DISCAPACIDAD'!$D$3:$D$450,MATCH(CE387,'DESEMPATE Y DISCAPACIDAD'!$C$3:$C$450,0)),"")</f>
        <v>0</v>
      </c>
      <c r="CG387" s="4">
        <f>IF(OR(CE387="",CF387=""),"",SUMIF(D383:D392,CF387,CD383:CD392))</f>
        <v>0</v>
      </c>
      <c r="CH387" s="4" t="str">
        <f t="shared" si="323"/>
        <v>NO CUMPLE</v>
      </c>
      <c r="CI387" s="4">
        <f t="shared" si="348"/>
        <v>0</v>
      </c>
      <c r="CJ387" s="4"/>
      <c r="CK387" s="4"/>
      <c r="CL387" s="4" t="str">
        <f t="shared" ref="CL387:CL450" si="354">IF(N387="","",IF(N387="SI",1,0))</f>
        <v/>
      </c>
      <c r="CM387" s="4" t="str">
        <f t="shared" ref="CM387:CM450" si="355">IF(O387="","",IF(O387="SI",1,0))</f>
        <v/>
      </c>
      <c r="CN387" s="4" t="str">
        <f t="shared" si="349"/>
        <v/>
      </c>
      <c r="CO387" s="4"/>
      <c r="CP387" s="4"/>
      <c r="CQ387" s="29" t="str">
        <f t="shared" si="335"/>
        <v/>
      </c>
      <c r="CR387" s="29" t="str">
        <f t="shared" si="336"/>
        <v/>
      </c>
      <c r="CS387" s="4"/>
    </row>
    <row r="388" spans="1:97" ht="2" customHeight="1">
      <c r="B388" s="481"/>
      <c r="C388" s="118"/>
      <c r="D388" s="126" t="str">
        <f>+IFERROR(INDEX('DESEMPATE Y DISCAPACIDAD'!$D$3:$D$450,MATCH(C388,'DESEMPATE Y DISCAPACIDAD'!$C$3:$C$450,0)),"")</f>
        <v/>
      </c>
      <c r="E388" s="127" t="str">
        <f>IFERROR(IF(D388="","",IF(VLOOKUP(D388,'DESEMPATE Y DISCAPACIDAD'!D$3:$E$450,2,FALSE)=1,"N/A",IF(VLOOKUP(D388,'DESEMPATE Y DISCAPACIDAD'!D$3:$F$450,3,FALSE)="X","SI","NO"))),"")</f>
        <v/>
      </c>
      <c r="F388" s="125"/>
      <c r="G388" s="125"/>
      <c r="H388" s="125"/>
      <c r="I388" s="128"/>
      <c r="J388" s="125"/>
      <c r="K388" s="125"/>
      <c r="L388" s="3"/>
      <c r="M388" s="125"/>
      <c r="N388" s="125" t="str">
        <f t="shared" si="344"/>
        <v/>
      </c>
      <c r="O388" s="125" t="str">
        <f t="shared" si="352"/>
        <v/>
      </c>
      <c r="P388" s="125" t="str">
        <f t="shared" si="345"/>
        <v/>
      </c>
      <c r="Q388" s="125" t="str">
        <f t="shared" ref="Q388:Q451" si="356">IFERROR(IF(S388="","",IF(S388&gt;=DATE(1900,1,1),"SI","NO")),"")</f>
        <v/>
      </c>
      <c r="R388" s="68"/>
      <c r="S388" s="129"/>
      <c r="T388" s="129"/>
      <c r="U388" s="125" t="str">
        <f t="shared" si="346"/>
        <v/>
      </c>
      <c r="V388" s="117" t="str">
        <f>IF(U388=2023,1160000,IFERROR(INDEX(SMMLV!$B$2:$B$101,MATCH(U388,SMMLV!$A$2:$A$101,0)),""))</f>
        <v/>
      </c>
      <c r="W388" s="117"/>
      <c r="X388" s="125"/>
      <c r="Y388" s="125"/>
      <c r="Z388" s="474"/>
      <c r="AA388" s="475"/>
      <c r="AB388" s="476"/>
      <c r="AC388" s="125" t="str">
        <f t="shared" si="347"/>
        <v/>
      </c>
      <c r="AD388" s="117" t="str">
        <f t="shared" ref="AD388:AD451" si="357">IF(W388="","",IF(W388="N/A","N/A",W388))</f>
        <v/>
      </c>
      <c r="AE388" s="117" t="str">
        <f t="shared" si="353"/>
        <v/>
      </c>
      <c r="AF388" s="117" t="str">
        <f t="shared" si="350"/>
        <v/>
      </c>
      <c r="AG388" s="470"/>
      <c r="AH388" s="470"/>
      <c r="AI388" s="125" t="str">
        <f t="shared" si="351"/>
        <v/>
      </c>
      <c r="AJ388" s="470"/>
      <c r="AK388" s="470"/>
      <c r="AL388" s="472"/>
      <c r="AM388" s="496"/>
      <c r="AN388" s="125"/>
      <c r="AO388" s="490"/>
      <c r="AP388" s="125"/>
      <c r="AQ388" s="490"/>
      <c r="AR388" s="522"/>
      <c r="AS388" s="519"/>
      <c r="AT388" s="204"/>
      <c r="AU388" s="692"/>
      <c r="AV388" s="695"/>
      <c r="AW388" s="689"/>
      <c r="AX388" s="689"/>
      <c r="AY388" s="19"/>
      <c r="CB388" s="29" t="str">
        <f>IFERROR(IF(COUNTIF(AF383:AF392,"")=10,"",IF(COUNTIF(E383:E392,"N/A")&gt;0,IF(AF388&gt;=CMEMM1,AF388,0),"N/A")),"")</f>
        <v>N/A</v>
      </c>
      <c r="CC388" s="4"/>
      <c r="CD388" s="4" t="str">
        <f>IFERROR(IF(COUNTIF(AF383:AF392,"")=10,"",IF(AF388="","",IF(AF388&gt;=CMEMM1,1,0))),"")</f>
        <v/>
      </c>
      <c r="CE388" s="4" t="str">
        <f>B383&amp;"-0"&amp;6</f>
        <v>P39-06</v>
      </c>
      <c r="CF388" s="4">
        <f>IFERROR(INDEX('DESEMPATE Y DISCAPACIDAD'!$D$3:$D$450,MATCH(CE388,'DESEMPATE Y DISCAPACIDAD'!$C$3:$C$450,0)),"")</f>
        <v>0</v>
      </c>
      <c r="CG388" s="4">
        <f>IF(OR(CE388="",CF388=""),"",SUMIF(D383:D392,CF388,CD383:CD392))</f>
        <v>0</v>
      </c>
      <c r="CH388" s="4" t="str">
        <f t="shared" si="323"/>
        <v>NO CUMPLE</v>
      </c>
      <c r="CI388" s="4">
        <f t="shared" si="348"/>
        <v>0</v>
      </c>
      <c r="CJ388" s="4"/>
      <c r="CK388" s="4"/>
      <c r="CL388" s="4" t="str">
        <f t="shared" si="354"/>
        <v/>
      </c>
      <c r="CM388" s="4" t="str">
        <f t="shared" si="355"/>
        <v/>
      </c>
      <c r="CN388" s="4" t="str">
        <f t="shared" si="349"/>
        <v/>
      </c>
      <c r="CO388" s="4"/>
      <c r="CP388" s="4"/>
      <c r="CQ388" s="29" t="str">
        <f t="shared" si="335"/>
        <v/>
      </c>
      <c r="CR388" s="29" t="str">
        <f t="shared" si="336"/>
        <v/>
      </c>
      <c r="CS388" s="4"/>
    </row>
    <row r="389" spans="1:97" ht="2" customHeight="1">
      <c r="B389" s="481"/>
      <c r="C389" s="118"/>
      <c r="D389" s="126" t="str">
        <f>+IFERROR(INDEX('DESEMPATE Y DISCAPACIDAD'!$D$3:$D$450,MATCH(C389,'DESEMPATE Y DISCAPACIDAD'!$C$3:$C$450,0)),"")</f>
        <v/>
      </c>
      <c r="E389" s="127" t="str">
        <f>IFERROR(IF(D389="","",IF(VLOOKUP(D389,'DESEMPATE Y DISCAPACIDAD'!D$3:$E$450,2,FALSE)=1,"N/A",IF(VLOOKUP(D389,'DESEMPATE Y DISCAPACIDAD'!D$3:$F$450,3,FALSE)="X","SI","NO"))),"")</f>
        <v/>
      </c>
      <c r="F389" s="125"/>
      <c r="G389" s="125"/>
      <c r="H389" s="125"/>
      <c r="I389" s="128"/>
      <c r="J389" s="125"/>
      <c r="K389" s="125"/>
      <c r="L389" s="3"/>
      <c r="M389" s="125"/>
      <c r="N389" s="125" t="str">
        <f t="shared" si="344"/>
        <v/>
      </c>
      <c r="O389" s="125" t="str">
        <f t="shared" si="352"/>
        <v/>
      </c>
      <c r="P389" s="125" t="str">
        <f t="shared" si="345"/>
        <v/>
      </c>
      <c r="Q389" s="125" t="str">
        <f t="shared" si="356"/>
        <v/>
      </c>
      <c r="R389" s="68"/>
      <c r="S389" s="129"/>
      <c r="T389" s="129"/>
      <c r="U389" s="125" t="str">
        <f t="shared" si="346"/>
        <v/>
      </c>
      <c r="V389" s="117" t="str">
        <f>IF(U389=2023,1160000,IFERROR(INDEX(SMMLV!$B$2:$B$101,MATCH(U389,SMMLV!$A$2:$A$101,0)),""))</f>
        <v/>
      </c>
      <c r="W389" s="117"/>
      <c r="X389" s="125"/>
      <c r="Y389" s="125"/>
      <c r="Z389" s="474"/>
      <c r="AA389" s="475"/>
      <c r="AB389" s="476"/>
      <c r="AC389" s="125" t="str">
        <f t="shared" si="347"/>
        <v/>
      </c>
      <c r="AD389" s="117" t="str">
        <f t="shared" si="357"/>
        <v/>
      </c>
      <c r="AE389" s="117" t="str">
        <f t="shared" si="353"/>
        <v/>
      </c>
      <c r="AF389" s="117" t="str">
        <f t="shared" si="350"/>
        <v/>
      </c>
      <c r="AG389" s="470"/>
      <c r="AH389" s="470"/>
      <c r="AI389" s="125" t="str">
        <f t="shared" si="351"/>
        <v/>
      </c>
      <c r="AJ389" s="470"/>
      <c r="AK389" s="470"/>
      <c r="AL389" s="472"/>
      <c r="AM389" s="496"/>
      <c r="AN389" s="125"/>
      <c r="AO389" s="490"/>
      <c r="AP389" s="125"/>
      <c r="AQ389" s="490"/>
      <c r="AR389" s="522"/>
      <c r="AS389" s="519"/>
      <c r="AT389" s="204"/>
      <c r="AU389" s="692"/>
      <c r="AV389" s="695"/>
      <c r="AW389" s="689"/>
      <c r="AX389" s="689"/>
      <c r="AY389" s="19"/>
      <c r="CB389" s="29" t="str">
        <f>IFERROR(IF(COUNTIF(AF383:AF392,"")=10,"",IF(COUNTIF(E383:E392,"N/A")&gt;0,IF(AF389&gt;=CMEMM1,AF389,0),"N/A")),"")</f>
        <v>N/A</v>
      </c>
      <c r="CC389" s="4"/>
      <c r="CD389" s="4" t="str">
        <f>IFERROR(IF(COUNTIF(AF383:AF392,"")=10,"",IF(AF389="","",IF(AF389&gt;=CMEMM1,1,0))),"")</f>
        <v/>
      </c>
      <c r="CE389" s="4" t="str">
        <f>B383&amp;"-0"&amp;7</f>
        <v>P39-07</v>
      </c>
      <c r="CF389" s="4" t="str">
        <f>IFERROR(INDEX('DESEMPATE Y DISCAPACIDAD'!$D$3:$D$450,MATCH(CE389,'DESEMPATE Y DISCAPACIDAD'!$C$3:$C$450,0)),"")</f>
        <v/>
      </c>
      <c r="CG389" s="4" t="str">
        <f>IF(OR(CE389="",CF389=""),"",SUMIF(D383:D392,CF389,CD383:CD392))</f>
        <v/>
      </c>
      <c r="CH389" s="4" t="str">
        <f t="shared" si="323"/>
        <v/>
      </c>
      <c r="CI389" s="4" t="str">
        <f t="shared" si="348"/>
        <v/>
      </c>
      <c r="CJ389" s="4"/>
      <c r="CK389" s="4"/>
      <c r="CL389" s="4" t="str">
        <f t="shared" si="354"/>
        <v/>
      </c>
      <c r="CM389" s="4" t="str">
        <f t="shared" si="355"/>
        <v/>
      </c>
      <c r="CN389" s="4" t="str">
        <f t="shared" si="349"/>
        <v/>
      </c>
      <c r="CO389" s="4"/>
      <c r="CP389" s="4"/>
      <c r="CQ389" s="29" t="str">
        <f t="shared" si="335"/>
        <v/>
      </c>
      <c r="CR389" s="29" t="str">
        <f t="shared" si="336"/>
        <v/>
      </c>
      <c r="CS389" s="4"/>
    </row>
    <row r="390" spans="1:97" ht="2" customHeight="1">
      <c r="B390" s="481"/>
      <c r="C390" s="118"/>
      <c r="D390" s="126" t="str">
        <f>+IFERROR(INDEX('DESEMPATE Y DISCAPACIDAD'!$D$3:$D$450,MATCH(C390,'DESEMPATE Y DISCAPACIDAD'!$C$3:$C$450,0)),"")</f>
        <v/>
      </c>
      <c r="E390" s="127" t="str">
        <f>IFERROR(IF(D390="","",IF(VLOOKUP(D390,'DESEMPATE Y DISCAPACIDAD'!D$3:$E$450,2,FALSE)=1,"N/A",IF(VLOOKUP(D390,'DESEMPATE Y DISCAPACIDAD'!D$3:$F$450,3,FALSE)="X","SI","NO"))),"")</f>
        <v/>
      </c>
      <c r="F390" s="125"/>
      <c r="G390" s="125"/>
      <c r="H390" s="125"/>
      <c r="I390" s="128"/>
      <c r="J390" s="125"/>
      <c r="K390" s="125"/>
      <c r="L390" s="3"/>
      <c r="M390" s="125"/>
      <c r="N390" s="125" t="str">
        <f t="shared" si="344"/>
        <v/>
      </c>
      <c r="O390" s="125" t="str">
        <f t="shared" si="352"/>
        <v/>
      </c>
      <c r="P390" s="125" t="str">
        <f t="shared" si="345"/>
        <v/>
      </c>
      <c r="Q390" s="125" t="str">
        <f t="shared" si="356"/>
        <v/>
      </c>
      <c r="R390" s="68"/>
      <c r="S390" s="129"/>
      <c r="T390" s="129"/>
      <c r="U390" s="125" t="str">
        <f t="shared" si="346"/>
        <v/>
      </c>
      <c r="V390" s="117" t="str">
        <f>IF(U390=2023,1160000,IFERROR(INDEX(SMMLV!$B$2:$B$101,MATCH(U390,SMMLV!$A$2:$A$101,0)),""))</f>
        <v/>
      </c>
      <c r="W390" s="117"/>
      <c r="X390" s="125"/>
      <c r="Y390" s="125"/>
      <c r="Z390" s="474"/>
      <c r="AA390" s="475"/>
      <c r="AB390" s="476"/>
      <c r="AC390" s="125" t="str">
        <f t="shared" si="347"/>
        <v/>
      </c>
      <c r="AD390" s="117" t="str">
        <f t="shared" si="357"/>
        <v/>
      </c>
      <c r="AE390" s="117" t="str">
        <f t="shared" si="353"/>
        <v/>
      </c>
      <c r="AF390" s="117" t="str">
        <f t="shared" si="350"/>
        <v/>
      </c>
      <c r="AG390" s="470"/>
      <c r="AH390" s="470"/>
      <c r="AI390" s="125" t="str">
        <f t="shared" si="351"/>
        <v/>
      </c>
      <c r="AJ390" s="470"/>
      <c r="AK390" s="470"/>
      <c r="AL390" s="472"/>
      <c r="AM390" s="496"/>
      <c r="AN390" s="125"/>
      <c r="AO390" s="490"/>
      <c r="AP390" s="125"/>
      <c r="AQ390" s="490"/>
      <c r="AR390" s="522"/>
      <c r="AS390" s="519"/>
      <c r="AT390" s="204"/>
      <c r="AU390" s="692"/>
      <c r="AV390" s="695"/>
      <c r="AW390" s="689"/>
      <c r="AX390" s="689"/>
      <c r="AY390" s="19"/>
      <c r="CB390" s="29" t="str">
        <f>IFERROR(IF(COUNTIF(AF383:AF392,"")=10,"",IF(COUNTIF(E383:E392,"N/A")&gt;0,IF(AF390&gt;=CMEMM1,AF390,0),"N/A")),"")</f>
        <v>N/A</v>
      </c>
      <c r="CC390" s="4"/>
      <c r="CD390" s="4" t="str">
        <f>IFERROR(IF(COUNTIF(AF383:AF392,"")=10,"",IF(AF390="","",IF(AF390&gt;=CMEMM1,1,0))),"")</f>
        <v/>
      </c>
      <c r="CE390" s="4" t="str">
        <f>B383&amp;"-0"&amp;8</f>
        <v>P39-08</v>
      </c>
      <c r="CF390" s="4" t="str">
        <f>IFERROR(INDEX('DESEMPATE Y DISCAPACIDAD'!$D$3:$D$450,MATCH(CE390,'DESEMPATE Y DISCAPACIDAD'!$C$3:$C$450,0)),"")</f>
        <v/>
      </c>
      <c r="CG390" s="4" t="str">
        <f>IF(OR(CE390="",CF390=""),"",SUMIF(D383:D392,CF390,CD383:CD392))</f>
        <v/>
      </c>
      <c r="CH390" s="4" t="str">
        <f t="shared" si="323"/>
        <v/>
      </c>
      <c r="CI390" s="4" t="str">
        <f t="shared" si="348"/>
        <v/>
      </c>
      <c r="CJ390" s="4"/>
      <c r="CK390" s="4"/>
      <c r="CL390" s="4" t="str">
        <f t="shared" si="354"/>
        <v/>
      </c>
      <c r="CM390" s="4" t="str">
        <f t="shared" si="355"/>
        <v/>
      </c>
      <c r="CN390" s="4" t="str">
        <f t="shared" si="349"/>
        <v/>
      </c>
      <c r="CO390" s="4"/>
      <c r="CP390" s="4"/>
      <c r="CQ390" s="29" t="str">
        <f t="shared" si="335"/>
        <v/>
      </c>
      <c r="CR390" s="29" t="str">
        <f t="shared" si="336"/>
        <v/>
      </c>
      <c r="CS390" s="4"/>
    </row>
    <row r="391" spans="1:97" ht="2" customHeight="1">
      <c r="B391" s="481"/>
      <c r="C391" s="118"/>
      <c r="D391" s="126" t="str">
        <f>+IFERROR(INDEX('DESEMPATE Y DISCAPACIDAD'!$D$3:$D$450,MATCH(C391,'DESEMPATE Y DISCAPACIDAD'!$C$3:$C$450,0)),"")</f>
        <v/>
      </c>
      <c r="E391" s="127" t="str">
        <f>IFERROR(IF(D391="","",IF(VLOOKUP(D391,'DESEMPATE Y DISCAPACIDAD'!D$3:$E$450,2,FALSE)=1,"N/A",IF(VLOOKUP(D391,'DESEMPATE Y DISCAPACIDAD'!D$3:$F$450,3,FALSE)="X","SI","NO"))),"")</f>
        <v/>
      </c>
      <c r="F391" s="125"/>
      <c r="G391" s="125"/>
      <c r="H391" s="125"/>
      <c r="I391" s="128"/>
      <c r="J391" s="125"/>
      <c r="K391" s="125"/>
      <c r="L391" s="3"/>
      <c r="M391" s="125"/>
      <c r="N391" s="125" t="str">
        <f t="shared" si="344"/>
        <v/>
      </c>
      <c r="O391" s="125" t="str">
        <f t="shared" si="352"/>
        <v/>
      </c>
      <c r="P391" s="125" t="str">
        <f t="shared" si="345"/>
        <v/>
      </c>
      <c r="Q391" s="125" t="str">
        <f t="shared" si="356"/>
        <v/>
      </c>
      <c r="R391" s="68"/>
      <c r="S391" s="129"/>
      <c r="T391" s="129"/>
      <c r="U391" s="125" t="str">
        <f t="shared" si="346"/>
        <v/>
      </c>
      <c r="V391" s="117" t="str">
        <f>IF(U391=2023,1160000,IFERROR(INDEX(SMMLV!$B$2:$B$101,MATCH(U391,SMMLV!$A$2:$A$101,0)),""))</f>
        <v/>
      </c>
      <c r="W391" s="117"/>
      <c r="X391" s="125"/>
      <c r="Y391" s="125"/>
      <c r="Z391" s="474"/>
      <c r="AA391" s="475"/>
      <c r="AB391" s="476"/>
      <c r="AC391" s="125" t="str">
        <f t="shared" si="347"/>
        <v/>
      </c>
      <c r="AD391" s="117" t="str">
        <f t="shared" si="357"/>
        <v/>
      </c>
      <c r="AE391" s="117" t="str">
        <f t="shared" si="353"/>
        <v/>
      </c>
      <c r="AF391" s="117" t="str">
        <f t="shared" si="350"/>
        <v/>
      </c>
      <c r="AG391" s="470"/>
      <c r="AH391" s="470"/>
      <c r="AI391" s="125" t="str">
        <f t="shared" si="351"/>
        <v/>
      </c>
      <c r="AJ391" s="470"/>
      <c r="AK391" s="470"/>
      <c r="AL391" s="472"/>
      <c r="AM391" s="496"/>
      <c r="AN391" s="125"/>
      <c r="AO391" s="490"/>
      <c r="AP391" s="125"/>
      <c r="AQ391" s="490"/>
      <c r="AR391" s="522"/>
      <c r="AS391" s="519"/>
      <c r="AT391" s="204"/>
      <c r="AU391" s="692"/>
      <c r="AV391" s="695"/>
      <c r="AW391" s="689"/>
      <c r="AX391" s="689"/>
      <c r="AY391" s="19"/>
      <c r="CB391" s="29" t="str">
        <f>IFERROR(IF(COUNTIF(AF383:AF392,"")=10,"",IF(COUNTIF(E383:E392,"N/A")&gt;0,IF(AF391&gt;=CMEMM1,AF391,0),"N/A")),"")</f>
        <v>N/A</v>
      </c>
      <c r="CC391" s="4"/>
      <c r="CD391" s="4" t="str">
        <f>IFERROR(IF(COUNTIF(AF383:AF392,"")=10,"",IF(AF391="","",IF(AF391&gt;=CMEMM1,1,0))),"")</f>
        <v/>
      </c>
      <c r="CE391" s="4" t="str">
        <f>B383&amp;"-0"&amp;9</f>
        <v>P39-09</v>
      </c>
      <c r="CF391" s="4" t="str">
        <f>IFERROR(INDEX('DESEMPATE Y DISCAPACIDAD'!$D$3:$D$450,MATCH(CE391,'DESEMPATE Y DISCAPACIDAD'!$C$3:$C$450,0)),"")</f>
        <v/>
      </c>
      <c r="CG391" s="4" t="str">
        <f>IF(OR(CE391="",CF391=""),"",SUMIF(D383:D392,CF391,CD383:CD392))</f>
        <v/>
      </c>
      <c r="CH391" s="4" t="str">
        <f t="shared" si="323"/>
        <v/>
      </c>
      <c r="CI391" s="4" t="str">
        <f t="shared" si="348"/>
        <v/>
      </c>
      <c r="CJ391" s="4"/>
      <c r="CK391" s="4"/>
      <c r="CL391" s="4" t="str">
        <f t="shared" si="354"/>
        <v/>
      </c>
      <c r="CM391" s="4" t="str">
        <f t="shared" si="355"/>
        <v/>
      </c>
      <c r="CN391" s="4" t="str">
        <f t="shared" si="349"/>
        <v/>
      </c>
      <c r="CO391" s="4"/>
      <c r="CP391" s="4"/>
      <c r="CQ391" s="29" t="str">
        <f t="shared" si="335"/>
        <v/>
      </c>
      <c r="CR391" s="29" t="str">
        <f t="shared" si="336"/>
        <v/>
      </c>
      <c r="CS391" s="4"/>
    </row>
    <row r="392" spans="1:97" ht="2" customHeight="1" thickBot="1">
      <c r="B392" s="482"/>
      <c r="C392" s="130"/>
      <c r="D392" s="131" t="str">
        <f>+IFERROR(INDEX('DESEMPATE Y DISCAPACIDAD'!$D$3:$D$450,MATCH(C392,'DESEMPATE Y DISCAPACIDAD'!$C$3:$C$450,0)),"")</f>
        <v/>
      </c>
      <c r="E392" s="132" t="str">
        <f>IFERROR(IF(D392="","",IF(VLOOKUP(D392,'DESEMPATE Y DISCAPACIDAD'!D$3:$E$450,2,FALSE)=1,"N/A",IF(VLOOKUP(D392,'DESEMPATE Y DISCAPACIDAD'!D$3:$F$450,3,FALSE)="X","SI","NO"))),"")</f>
        <v/>
      </c>
      <c r="F392" s="133"/>
      <c r="G392" s="133"/>
      <c r="H392" s="133"/>
      <c r="I392" s="134"/>
      <c r="J392" s="133"/>
      <c r="K392" s="133"/>
      <c r="L392" s="5"/>
      <c r="M392" s="133"/>
      <c r="N392" s="133" t="str">
        <f t="shared" si="344"/>
        <v/>
      </c>
      <c r="O392" s="133" t="str">
        <f t="shared" si="352"/>
        <v/>
      </c>
      <c r="P392" s="133" t="str">
        <f t="shared" si="345"/>
        <v/>
      </c>
      <c r="Q392" s="133" t="str">
        <f t="shared" si="356"/>
        <v/>
      </c>
      <c r="R392" s="104"/>
      <c r="S392" s="135"/>
      <c r="T392" s="135"/>
      <c r="U392" s="133" t="str">
        <f t="shared" si="346"/>
        <v/>
      </c>
      <c r="V392" s="136" t="str">
        <f>IF(U392=2023,1160000,IFERROR(INDEX(SMMLV!$B$2:$B$101,MATCH(U392,SMMLV!$A$2:$A$101,0)),""))</f>
        <v/>
      </c>
      <c r="W392" s="136"/>
      <c r="X392" s="133"/>
      <c r="Y392" s="133"/>
      <c r="Z392" s="487"/>
      <c r="AA392" s="488"/>
      <c r="AB392" s="489"/>
      <c r="AC392" s="133" t="str">
        <f t="shared" si="347"/>
        <v/>
      </c>
      <c r="AD392" s="136" t="str">
        <f t="shared" si="357"/>
        <v/>
      </c>
      <c r="AE392" s="117" t="str">
        <f t="shared" si="353"/>
        <v/>
      </c>
      <c r="AF392" s="136" t="str">
        <f t="shared" si="350"/>
        <v/>
      </c>
      <c r="AG392" s="471"/>
      <c r="AH392" s="471"/>
      <c r="AI392" s="133" t="str">
        <f t="shared" si="351"/>
        <v/>
      </c>
      <c r="AJ392" s="471"/>
      <c r="AK392" s="471"/>
      <c r="AL392" s="473"/>
      <c r="AM392" s="497"/>
      <c r="AN392" s="133"/>
      <c r="AO392" s="491"/>
      <c r="AP392" s="133"/>
      <c r="AQ392" s="491"/>
      <c r="AR392" s="523"/>
      <c r="AS392" s="520"/>
      <c r="AT392" s="206"/>
      <c r="AU392" s="693"/>
      <c r="AV392" s="696"/>
      <c r="AW392" s="690"/>
      <c r="AX392" s="690"/>
      <c r="AY392" s="19"/>
      <c r="CB392" s="29" t="str">
        <f>IFERROR(IF(COUNTIF(AF383:AF392,"")=10,"",IF(COUNTIF(E383:E392,"N/A")&gt;0,IF(AF392&gt;=CMEMM1,AF392,0),"N/A")),"")</f>
        <v>N/A</v>
      </c>
      <c r="CC392" s="4"/>
      <c r="CD392" s="4" t="str">
        <f>IFERROR(IF(COUNTIF(AF383:AF392,"")=10,"",IF(AF392="","",IF(AF392&gt;=CMEMM1,1,0))),"")</f>
        <v/>
      </c>
      <c r="CE392" s="4" t="str">
        <f>B383&amp;"-"&amp;10</f>
        <v>P39-10</v>
      </c>
      <c r="CF392" s="4" t="str">
        <f>IFERROR(INDEX('DESEMPATE Y DISCAPACIDAD'!$D$3:$D$450,MATCH(CE392,'DESEMPATE Y DISCAPACIDAD'!$C$3:$C$450,0)),"")</f>
        <v/>
      </c>
      <c r="CG392" s="4" t="str">
        <f>IF(OR(CE392="",CF392=""),"",SUMIF(D383:D392,CF392,CD383:CD392))</f>
        <v/>
      </c>
      <c r="CH392" s="4" t="str">
        <f t="shared" si="323"/>
        <v/>
      </c>
      <c r="CI392" s="4" t="str">
        <f t="shared" si="348"/>
        <v/>
      </c>
      <c r="CJ392" s="4"/>
      <c r="CK392" s="4"/>
      <c r="CL392" s="4" t="str">
        <f t="shared" si="354"/>
        <v/>
      </c>
      <c r="CM392" s="4" t="str">
        <f t="shared" si="355"/>
        <v/>
      </c>
      <c r="CN392" s="4" t="str">
        <f t="shared" si="349"/>
        <v/>
      </c>
      <c r="CO392" s="4"/>
      <c r="CP392" s="4"/>
      <c r="CQ392" s="29" t="str">
        <f t="shared" si="335"/>
        <v/>
      </c>
      <c r="CR392" s="29" t="str">
        <f t="shared" si="336"/>
        <v/>
      </c>
      <c r="CS392" s="4"/>
    </row>
    <row r="393" spans="1:97" ht="45" customHeight="1">
      <c r="A393" s="4" t="str">
        <f>"A"&amp;B393</f>
        <v>AP40</v>
      </c>
      <c r="B393" s="480" t="s">
        <v>301</v>
      </c>
      <c r="C393" s="108" t="s">
        <v>458</v>
      </c>
      <c r="D393" s="119" t="str">
        <f>+IFERROR(INDEX('DESEMPATE Y DISCAPACIDAD'!$D$3:$D$450,MATCH(C393,'DESEMPATE Y DISCAPACIDAD'!$C$3:$C$450,0)),"")</f>
        <v>SCAIN ADMINISTRACIÓN E INGENIERÍA SAS BIC</v>
      </c>
      <c r="E393" s="120" t="str">
        <f>IFERROR(IF(D393="","",IF(VLOOKUP(D393,'DESEMPATE Y DISCAPACIDAD'!D$3:$E$450,2,FALSE)=1,"N/A",IF(VLOOKUP(D393,'DESEMPATE Y DISCAPACIDAD'!D$3:$F$450,3,FALSE)="X","SI","NO"))),"")</f>
        <v>NO</v>
      </c>
      <c r="F393" s="125" t="s">
        <v>715</v>
      </c>
      <c r="G393" s="125" t="s">
        <v>660</v>
      </c>
      <c r="H393" s="121" t="s">
        <v>716</v>
      </c>
      <c r="I393" s="122" t="s">
        <v>717</v>
      </c>
      <c r="J393" s="111" t="s">
        <v>75</v>
      </c>
      <c r="K393" s="111" t="s">
        <v>74</v>
      </c>
      <c r="L393" s="180" t="s">
        <v>74</v>
      </c>
      <c r="M393" s="111" t="s">
        <v>74</v>
      </c>
      <c r="N393" s="121" t="str">
        <f>IFERROR(IF(OR(J393="",K393=""),"",IF(J393="NO","NO",K393)),"")</f>
        <v>NO</v>
      </c>
      <c r="O393" s="121" t="str">
        <f>IFERROR(IF(OR(J393="",L393=""),"",IF(J393="NO","NO",L393)),"")</f>
        <v>NO</v>
      </c>
      <c r="P393" s="121" t="str">
        <f>IFERROR(IF(OR(J393="",M393=""),"",IF(J393="NO","NO",M393)),"")</f>
        <v>NO</v>
      </c>
      <c r="Q393" s="121" t="str">
        <f t="shared" si="356"/>
        <v>SI</v>
      </c>
      <c r="R393" s="103">
        <v>0.3</v>
      </c>
      <c r="S393" s="123">
        <v>43461</v>
      </c>
      <c r="T393" s="123">
        <v>45765</v>
      </c>
      <c r="U393" s="121">
        <f>IFERROR(IF(T393="","",YEAR(T393)),"")</f>
        <v>2025</v>
      </c>
      <c r="V393" s="124" t="str">
        <f>IF(U393=2023,1160000,IFERROR(INDEX(SMMLV!$B$2:$B$101,MATCH(U393,SMMLV!$A$2:$A$101,0)),""))</f>
        <v/>
      </c>
      <c r="W393" s="124" t="s">
        <v>670</v>
      </c>
      <c r="X393" s="121" t="s">
        <v>671</v>
      </c>
      <c r="Y393" s="121">
        <v>147</v>
      </c>
      <c r="Z393" s="483" t="s">
        <v>74</v>
      </c>
      <c r="AA393" s="484"/>
      <c r="AB393" s="485"/>
      <c r="AC393" s="121" t="str">
        <f>IFERROR(IF(Y393="","",IF(ISNUMBER(Y393),IF(COUNTIF(Z393,"SI")&gt;0,"SI","NO"),Y393)),"")</f>
        <v>SI</v>
      </c>
      <c r="AD393" s="124" t="str">
        <f t="shared" si="357"/>
        <v>N/A</v>
      </c>
      <c r="AE393" s="117">
        <v>97477.27</v>
      </c>
      <c r="AF393" s="124" t="str">
        <f t="shared" si="350"/>
        <v/>
      </c>
      <c r="AG393" s="486" t="str">
        <f>IFERROR(IF(COUNTIF(AF393:AF402,"")=10,"",IF(COUNTIF(E393:E402,"N/A")&gt;0,IF(SUM(CB393:CB402)&gt;=CMEM1,"CUMPLE","NO CUMPLE"),IF(SUM(AF393:AF402)&gt;=CMEM1,"CUMPLE","NO CUMPLE"))),"")</f>
        <v>NO CUMPLE</v>
      </c>
      <c r="AH393" s="486" t="str">
        <f>IF(COUNTIF(AF393:AF402,"")=10,"",IF(SUMIF(C393:C402,C393,AF393:AF402)&gt;=CMLM1,"CUMPLE",IF(SUMIF(C393:C402,C394,AF393:AF402)&gt;=CMLM1,"CUMPLE",IF(SUMIF(C393:C402,C395,AF393:AF402)&gt;=CMLM1,"CUMPLE",IF(SUMIF(C393:C402,C396,AF393:AF402)&gt;=CMLM1,"CUMPLE",IF(SUMIF(C393:C402,C397,AF393:AF402)&gt;=CMLM1,"CUMPLE",IF(SUMIF(C393:C402,C398,AF393:AF402)&gt;=CMLM1,"CUMPLE",IF(SUMIF(C393:C402,C399,AF393:AF402)&gt;=CMLM1,"CUMPLE",IF(SUMIF(C393:C402,C400,AF393:AF402)&gt;=CMLM1,"CUMPLE",IF(SUMIF(C393:C402,C401,AF393:AF402)&gt;=CMLM1,"CUMPLE",IF(SUMIF(C393:C402,C402,AF393:AF402)&gt;=CMLM1,"CUMPLE","NO CUMPLE")))))))))))</f>
        <v>NO CUMPLE</v>
      </c>
      <c r="AI393" s="121" t="str">
        <f t="shared" si="351"/>
        <v/>
      </c>
      <c r="AJ393" s="469" t="str">
        <f>IFERROR(IF(COUNTIF(AF393:AF402,"")=10,"",IF(COUNTIF(E393:E402,"N/A")&gt;0,"N/A",CJ393)),"")</f>
        <v/>
      </c>
      <c r="AK393" s="469" t="str">
        <f>IFERROR(IF(AND(COUNTIF(N393:N402,"SI")&gt;=1,COUNTIF(O393:O402,"SI")&gt;=1,COUNTIF(P393:P402,"SI")&gt;=1,COUNTIF(J393:J402,"SI")&lt;=10,CO393="CUMPLE"),"CUMPLE","NO CUMPLE"),"")</f>
        <v>NO CUMPLE</v>
      </c>
      <c r="AL393" s="472" t="s">
        <v>80</v>
      </c>
      <c r="AM393" s="495">
        <f>IFERROR(IF(B393&lt;&gt;"",IF(VLOOKUP(B393,'DESEMPATE Y DISCAPACIDAD'!$A$3:$Q$450,10,FALSE)="","",VLOOKUP(B393,'DESEMPATE Y DISCAPACIDAD'!$A$3:$Q$450,10,FALSE)+6),""),"")</f>
        <v>8</v>
      </c>
      <c r="AN393" s="111" t="s">
        <v>74</v>
      </c>
      <c r="AO393" s="503" t="s">
        <v>75</v>
      </c>
      <c r="AP393" s="111" t="s">
        <v>75</v>
      </c>
      <c r="AQ393" s="490">
        <f>IFERROR(IF(COUNTIF(AP393:AP402,"")=10,"",IF(AO393="NO",0,COUNTIF(AP393:AP402,"SI"))),"")</f>
        <v>0</v>
      </c>
      <c r="AR393" s="521">
        <f>IFERROR(IF(COUNTIF(AF393:AF402,"")=10,"",IF(AO393="NO",0,IF(COUNTIF(E393:E402,"N/A")&gt;0,SUM(CQ393:CQ402),SUM(CR393:CR402)))),"")</f>
        <v>0</v>
      </c>
      <c r="AS393" s="518">
        <f>IFERROR(IF(OR(COUNTIF(AF393:AF402,"")=10,AQ393="",AR393=""),"",IF(AO393="NO",0,AR393/AQ393)),"")</f>
        <v>0</v>
      </c>
      <c r="AT393" s="241"/>
      <c r="AU393" s="682" t="s">
        <v>751</v>
      </c>
      <c r="AV393" s="694" t="s">
        <v>752</v>
      </c>
      <c r="AW393" s="688" t="s">
        <v>1349</v>
      </c>
      <c r="AX393" s="688" t="s">
        <v>1350</v>
      </c>
      <c r="AY393" s="19"/>
      <c r="CB393" s="29" t="str">
        <f>IFERROR(IF(COUNTIF(AF393:AF402,"")=10,"",IF(COUNTIF(E393:E402,"N/A")&gt;0,IF(AF393&gt;=CMEMM1,AF393,0),"N/A")),"")</f>
        <v>N/A</v>
      </c>
      <c r="CC393" s="4"/>
      <c r="CD393" s="4" t="str">
        <f>IFERROR(IF(COUNTIF(AF393:AF402,"")=10,"",IF(AF393="","",IF(AF393&gt;=CMEMM1,1,0))),"")</f>
        <v/>
      </c>
      <c r="CE393" s="4" t="str">
        <f>B393&amp;"-0"&amp;1</f>
        <v>P40-01</v>
      </c>
      <c r="CF393" s="4" t="str">
        <f>IFERROR(INDEX('DESEMPATE Y DISCAPACIDAD'!$D$3:$D$450,MATCH(CE393,'DESEMPATE Y DISCAPACIDAD'!$C$3:$C$450,0)),"")</f>
        <v>SCAIN ADMINISTRACIÓN E INGENIERÍA SAS BIC</v>
      </c>
      <c r="CG393" s="4">
        <f>IF(OR(CE393="",CF393=""),"",SUMIF(D393:D402,CF393,CD393:CD402))</f>
        <v>0</v>
      </c>
      <c r="CH393" s="4" t="str">
        <f t="shared" si="323"/>
        <v>NO CUMPLE</v>
      </c>
      <c r="CI393" s="4">
        <f>IF(CF393="","",IF(ISTEXT(CF393),1,0))</f>
        <v>1</v>
      </c>
      <c r="CJ393" s="4" t="str">
        <f>IF(OR(CD393="",CE393="",CF393="",CG393="",CH393="",CI393=""),"",IF(COUNTIF(CH393:CH402,"CUMPLE")=COUNTIF(CI393:CI402,1),"CUMPLE","NO CUMPLE"))</f>
        <v/>
      </c>
      <c r="CK393" s="4"/>
      <c r="CL393" s="4">
        <f t="shared" si="354"/>
        <v>0</v>
      </c>
      <c r="CM393" s="4">
        <f t="shared" si="355"/>
        <v>0</v>
      </c>
      <c r="CN393" s="4" t="str">
        <f>IF(OR(CL393="",CM393=""),"",IF(AND(CL393=0,CM393=0),"N/A",IF(AND(CL393=1,CM393=0),"COND. A",IF(AND(CL393=0,CM393=1),"COND. B",IF(AND(CL393=1,CM393=1),"COND. A Y B","")))))</f>
        <v>N/A</v>
      </c>
      <c r="CO393" s="4" t="str">
        <f>IF(COUNTIF(CN393:CN402,"N/A")=10,"NO CUMPLE",IF(COUNTIF(CN393:CN402,"COND. A Y B")&gt;1,"CUMPLE",IF(AND(COUNTIF(CN393:CN402,"COND. A")&gt;0,COUNTIF(CN393:CN402,"COND. B")&gt;0),"CUMPLE",IF(AND(COUNTIF(CN393:CN402,"COND. A Y B")&gt;0,COUNTIF(CN393:CN402,"COND. A")&gt;0),"CUMPLE",IF(AND(COUNTIF(CN393:CN402,"COND. A Y B")&gt;0,COUNTIF(CN393:CN402,"COND. B")&gt;0),"CUMPLE","NO CUMPLE")))))</f>
        <v>NO CUMPLE</v>
      </c>
      <c r="CP393" s="4"/>
      <c r="CQ393" s="29">
        <f t="shared" si="335"/>
        <v>0</v>
      </c>
      <c r="CR393" s="29" t="str">
        <f t="shared" si="336"/>
        <v/>
      </c>
      <c r="CS393" s="4"/>
    </row>
    <row r="394" spans="1:97" ht="34.25" customHeight="1">
      <c r="B394" s="481"/>
      <c r="C394" s="118" t="s">
        <v>459</v>
      </c>
      <c r="D394" s="119" t="str">
        <f>+IFERROR(INDEX('DESEMPATE Y DISCAPACIDAD'!$D$3:$D$450,MATCH(C394,'DESEMPATE Y DISCAPACIDAD'!$C$3:$C$450,0)),"")</f>
        <v>A1V2 INGENIERÍA CIVIL Y ARQUITECTURA COLOMBIA SAS</v>
      </c>
      <c r="E394" s="120" t="str">
        <f>IFERROR(IF(D394="","",IF(VLOOKUP(D394,'DESEMPATE Y DISCAPACIDAD'!D$3:$E$450,2,FALSE)=1,"N/A",IF(VLOOKUP(D394,'DESEMPATE Y DISCAPACIDAD'!D$3:$F$450,3,FALSE)="X","SI","NO"))),"")</f>
        <v>NO</v>
      </c>
      <c r="F394" s="125" t="s">
        <v>718</v>
      </c>
      <c r="G394" s="125" t="s">
        <v>719</v>
      </c>
      <c r="H394" s="121" t="s">
        <v>670</v>
      </c>
      <c r="I394" s="122" t="s">
        <v>720</v>
      </c>
      <c r="J394" s="121" t="s">
        <v>74</v>
      </c>
      <c r="K394" s="121" t="s">
        <v>75</v>
      </c>
      <c r="L394" s="179" t="s">
        <v>75</v>
      </c>
      <c r="M394" s="121" t="s">
        <v>74</v>
      </c>
      <c r="N394" s="121" t="str">
        <f t="shared" ref="N394:N402" si="358">IFERROR(IF(OR(J394="",K394=""),"",IF(J394="NO","NO",K394)),"")</f>
        <v>NO</v>
      </c>
      <c r="O394" s="121" t="str">
        <f>IFERROR(IF(OR(J394="",L394=""),"",IF(J394="NO","NO",L394)),"")</f>
        <v>NO</v>
      </c>
      <c r="P394" s="121" t="str">
        <f t="shared" ref="P394:P402" si="359">IFERROR(IF(OR(J394="",M394=""),"",IF(J394="NO","NO",M394)),"")</f>
        <v>SI</v>
      </c>
      <c r="Q394" s="121" t="str">
        <f t="shared" si="356"/>
        <v>SI</v>
      </c>
      <c r="R394" s="103">
        <v>1</v>
      </c>
      <c r="S394" s="123">
        <v>39630</v>
      </c>
      <c r="T394" s="123">
        <v>41544</v>
      </c>
      <c r="U394" s="121">
        <f t="shared" ref="U394:U402" si="360">IFERROR(IF(T394="","",YEAR(T394)),"")</f>
        <v>2013</v>
      </c>
      <c r="V394" s="124">
        <f>IF(U394=2023,1160000,IFERROR(INDEX(SMMLV!$B$2:$B$101,MATCH(U394,SMMLV!$A$2:$A$101,0)),""))</f>
        <v>589500</v>
      </c>
      <c r="W394" s="124" t="s">
        <v>670</v>
      </c>
      <c r="X394" s="125" t="s">
        <v>671</v>
      </c>
      <c r="Y394" s="125">
        <v>6</v>
      </c>
      <c r="Z394" s="474" t="s">
        <v>74</v>
      </c>
      <c r="AA394" s="475"/>
      <c r="AB394" s="476"/>
      <c r="AC394" s="125" t="str">
        <f t="shared" ref="AC394:AC402" si="361">IFERROR(IF(Y394="","",IF(ISNUMBER(Y394),IF(COUNTIF(Z394,"SI")&gt;0,"SI","NO"),Y394)),"")</f>
        <v>SI</v>
      </c>
      <c r="AD394" s="117" t="str">
        <f t="shared" si="357"/>
        <v>N/A</v>
      </c>
      <c r="AE394" s="117">
        <v>9087.9699999999993</v>
      </c>
      <c r="AF394" s="117">
        <f t="shared" si="350"/>
        <v>9087.9699999999993</v>
      </c>
      <c r="AG394" s="470"/>
      <c r="AH394" s="470"/>
      <c r="AI394" s="125" t="str">
        <f t="shared" si="351"/>
        <v>CUMPLE</v>
      </c>
      <c r="AJ394" s="470"/>
      <c r="AK394" s="470"/>
      <c r="AL394" s="472"/>
      <c r="AM394" s="496"/>
      <c r="AN394" s="125" t="s">
        <v>75</v>
      </c>
      <c r="AO394" s="490"/>
      <c r="AP394" s="125" t="s">
        <v>74</v>
      </c>
      <c r="AQ394" s="490"/>
      <c r="AR394" s="522"/>
      <c r="AS394" s="519"/>
      <c r="AT394" s="204"/>
      <c r="AU394" s="683"/>
      <c r="AV394" s="695"/>
      <c r="AW394" s="689"/>
      <c r="AX394" s="689"/>
      <c r="AY394" s="19"/>
      <c r="CB394" s="29" t="str">
        <f>IFERROR(IF(COUNTIF(AF393:AF402,"")=10,"",IF(COUNTIF(E393:E402,"N/A")&gt;0,IF(AF394&gt;=CMEMM1,AF394,0),"N/A")),"")</f>
        <v>N/A</v>
      </c>
      <c r="CC394" s="4"/>
      <c r="CD394" s="4">
        <f>IFERROR(IF(COUNTIF(AF393:AF402,"")=10,"",IF(AF394="","",IF(AF394&gt;=CMEMM1,1,0))),"")</f>
        <v>1</v>
      </c>
      <c r="CE394" s="4" t="str">
        <f>B393&amp;"-0"&amp;2</f>
        <v>P40-02</v>
      </c>
      <c r="CF394" s="4" t="str">
        <f>IFERROR(INDEX('DESEMPATE Y DISCAPACIDAD'!$D$3:$D$450,MATCH(CE394,'DESEMPATE Y DISCAPACIDAD'!$C$3:$C$450,0)),"")</f>
        <v>A1V2 INGENIERÍA CIVIL Y ARQUITECTURA COLOMBIA SAS</v>
      </c>
      <c r="CG394" s="4">
        <f>IF(OR(CE394="",CF394=""),"",SUMIF(D393:D402,CF394,CD393:CD402))</f>
        <v>1</v>
      </c>
      <c r="CH394" s="4" t="str">
        <f t="shared" si="323"/>
        <v>CUMPLE</v>
      </c>
      <c r="CI394" s="4">
        <f t="shared" ref="CI394:CI402" si="362">IF(CF394="","",IF(ISTEXT(CF394),1,0))</f>
        <v>1</v>
      </c>
      <c r="CJ394" s="4"/>
      <c r="CK394" s="4"/>
      <c r="CL394" s="4">
        <f t="shared" si="354"/>
        <v>0</v>
      </c>
      <c r="CM394" s="4">
        <f t="shared" si="355"/>
        <v>0</v>
      </c>
      <c r="CN394" s="4" t="str">
        <f t="shared" ref="CN394:CN402" si="363">IF(OR(CL394="",CM394=""),"",IF(AND(CL394=0,CM394=0),"N/A",IF(AND(CL394=1,CM394=0),"COND. A",IF(AND(CL394=0,CM394=1),"COND. B",IF(AND(CL394=1,CM394=1),"COND. A Y B","")))))</f>
        <v>N/A</v>
      </c>
      <c r="CO394" s="4"/>
      <c r="CP394" s="4"/>
      <c r="CQ394" s="29" t="str">
        <f t="shared" si="335"/>
        <v>N/A</v>
      </c>
      <c r="CR394" s="29">
        <f t="shared" si="336"/>
        <v>9087.9699999999993</v>
      </c>
      <c r="CS394" s="4"/>
    </row>
    <row r="395" spans="1:97" ht="2" customHeight="1">
      <c r="B395" s="481"/>
      <c r="C395" s="118"/>
      <c r="D395" s="126" t="str">
        <f>+IFERROR(INDEX('DESEMPATE Y DISCAPACIDAD'!$D$3:$D$450,MATCH(C395,'DESEMPATE Y DISCAPACIDAD'!$C$3:$C$450,0)),"")</f>
        <v/>
      </c>
      <c r="E395" s="127" t="str">
        <f>IFERROR(IF(D395="","",IF(VLOOKUP(D395,'DESEMPATE Y DISCAPACIDAD'!D$3:$E$450,2,FALSE)=1,"N/A",IF(VLOOKUP(D395,'DESEMPATE Y DISCAPACIDAD'!D$3:$F$450,3,FALSE)="X","SI","NO"))),"")</f>
        <v/>
      </c>
      <c r="F395" s="121"/>
      <c r="G395" s="121"/>
      <c r="H395" s="125"/>
      <c r="I395" s="128"/>
      <c r="J395" s="125"/>
      <c r="K395" s="125"/>
      <c r="L395" s="3"/>
      <c r="M395" s="125"/>
      <c r="N395" s="125" t="str">
        <f t="shared" si="358"/>
        <v/>
      </c>
      <c r="O395" s="125" t="str">
        <f>IFERROR(IF(OR(J395="",L395=""),"",IF(J395="NO","NO",L395)),"")</f>
        <v/>
      </c>
      <c r="P395" s="125" t="str">
        <f t="shared" si="359"/>
        <v/>
      </c>
      <c r="Q395" s="125" t="str">
        <f t="shared" si="356"/>
        <v/>
      </c>
      <c r="R395" s="68"/>
      <c r="S395" s="129"/>
      <c r="T395" s="129"/>
      <c r="U395" s="125" t="str">
        <f t="shared" si="360"/>
        <v/>
      </c>
      <c r="V395" s="117" t="str">
        <f>IF(U395=2023,1160000,IFERROR(INDEX(SMMLV!$B$2:$B$101,MATCH(U395,SMMLV!$A$2:$A$101,0)),""))</f>
        <v/>
      </c>
      <c r="W395" s="117"/>
      <c r="X395" s="125"/>
      <c r="Y395" s="125"/>
      <c r="Z395" s="474"/>
      <c r="AA395" s="475"/>
      <c r="AB395" s="476"/>
      <c r="AC395" s="125" t="str">
        <f t="shared" si="361"/>
        <v/>
      </c>
      <c r="AD395" s="117" t="str">
        <f t="shared" si="357"/>
        <v/>
      </c>
      <c r="AE395" s="117" t="str">
        <f t="shared" si="353"/>
        <v/>
      </c>
      <c r="AF395" s="117" t="str">
        <f t="shared" si="350"/>
        <v/>
      </c>
      <c r="AG395" s="470"/>
      <c r="AH395" s="470"/>
      <c r="AI395" s="125" t="str">
        <f t="shared" si="351"/>
        <v/>
      </c>
      <c r="AJ395" s="470"/>
      <c r="AK395" s="470"/>
      <c r="AL395" s="472"/>
      <c r="AM395" s="496"/>
      <c r="AN395" s="125"/>
      <c r="AO395" s="490"/>
      <c r="AP395" s="125"/>
      <c r="AQ395" s="490"/>
      <c r="AR395" s="522"/>
      <c r="AS395" s="519"/>
      <c r="AT395" s="204"/>
      <c r="AU395" s="683"/>
      <c r="AV395" s="695"/>
      <c r="AW395" s="689"/>
      <c r="AX395" s="689"/>
      <c r="AY395" s="19"/>
      <c r="CB395" s="29" t="str">
        <f>IFERROR(IF(COUNTIF(AF393:AF402,"")=10,"",IF(COUNTIF(E393:E402,"N/A")&gt;0,IF(AF395&gt;=CMEMM1,AF395,0),"N/A")),"")</f>
        <v>N/A</v>
      </c>
      <c r="CC395" s="4"/>
      <c r="CD395" s="4" t="str">
        <f>IFERROR(IF(COUNTIF(AF393:AF402,"")=10,"",IF(AF395="","",IF(AF395&gt;=CMEMM1,1,0))),"")</f>
        <v/>
      </c>
      <c r="CE395" s="4" t="str">
        <f>B393&amp;"-0"&amp;3</f>
        <v>P40-03</v>
      </c>
      <c r="CF395" s="4">
        <f>IFERROR(INDEX('DESEMPATE Y DISCAPACIDAD'!$D$3:$D$450,MATCH(CE395,'DESEMPATE Y DISCAPACIDAD'!$C$3:$C$450,0)),"")</f>
        <v>0</v>
      </c>
      <c r="CG395" s="4">
        <f>IF(OR(CE395="",CF395=""),"",SUMIF(D393:D402,CF395,CD393:CD402))</f>
        <v>0</v>
      </c>
      <c r="CH395" s="4" t="str">
        <f t="shared" si="323"/>
        <v>NO CUMPLE</v>
      </c>
      <c r="CI395" s="4">
        <f t="shared" si="362"/>
        <v>0</v>
      </c>
      <c r="CJ395" s="4"/>
      <c r="CK395" s="4"/>
      <c r="CL395" s="4" t="str">
        <f t="shared" si="354"/>
        <v/>
      </c>
      <c r="CM395" s="4" t="str">
        <f t="shared" si="355"/>
        <v/>
      </c>
      <c r="CN395" s="4" t="str">
        <f t="shared" si="363"/>
        <v/>
      </c>
      <c r="CO395" s="4"/>
      <c r="CP395" s="4"/>
      <c r="CQ395" s="29" t="str">
        <f t="shared" si="335"/>
        <v/>
      </c>
      <c r="CR395" s="29" t="str">
        <f t="shared" si="336"/>
        <v/>
      </c>
      <c r="CS395" s="4"/>
    </row>
    <row r="396" spans="1:97" ht="2" customHeight="1">
      <c r="B396" s="481"/>
      <c r="C396" s="118"/>
      <c r="D396" s="126" t="str">
        <f>+IFERROR(INDEX('DESEMPATE Y DISCAPACIDAD'!$D$3:$D$450,MATCH(C396,'DESEMPATE Y DISCAPACIDAD'!$C$3:$C$450,0)),"")</f>
        <v/>
      </c>
      <c r="E396" s="127" t="str">
        <f>IFERROR(IF(D396="","",IF(VLOOKUP(D396,'DESEMPATE Y DISCAPACIDAD'!D$3:$E$450,2,FALSE)=1,"N/A",IF(VLOOKUP(D396,'DESEMPATE Y DISCAPACIDAD'!D$3:$F$450,3,FALSE)="X","SI","NO"))),"")</f>
        <v/>
      </c>
      <c r="F396" s="141"/>
      <c r="G396" s="125"/>
      <c r="H396" s="125"/>
      <c r="I396" s="128"/>
      <c r="J396" s="3"/>
      <c r="K396" s="3"/>
      <c r="L396" s="3"/>
      <c r="M396" s="3"/>
      <c r="N396" s="125" t="str">
        <f t="shared" si="358"/>
        <v/>
      </c>
      <c r="O396" s="125" t="str">
        <f>IFERROR(IF(OR(J396="",L396=""),"",IF(J396="NO","NO",L396)),"")</f>
        <v/>
      </c>
      <c r="P396" s="125" t="str">
        <f t="shared" si="359"/>
        <v/>
      </c>
      <c r="Q396" s="125" t="str">
        <f t="shared" si="356"/>
        <v/>
      </c>
      <c r="R396" s="68"/>
      <c r="S396" s="129"/>
      <c r="T396" s="129"/>
      <c r="U396" s="125" t="str">
        <f t="shared" si="360"/>
        <v/>
      </c>
      <c r="V396" s="117" t="str">
        <f>IF(U396=2023,1160000,IFERROR(INDEX(SMMLV!$B$2:$B$101,MATCH(U396,SMMLV!$A$2:$A$101,0)),""))</f>
        <v/>
      </c>
      <c r="W396" s="117"/>
      <c r="X396" s="125"/>
      <c r="Y396" s="125"/>
      <c r="Z396" s="477"/>
      <c r="AA396" s="478"/>
      <c r="AB396" s="479"/>
      <c r="AC396" s="125" t="str">
        <f t="shared" si="361"/>
        <v/>
      </c>
      <c r="AD396" s="117" t="str">
        <f t="shared" si="357"/>
        <v/>
      </c>
      <c r="AE396" s="117" t="str">
        <f t="shared" si="353"/>
        <v/>
      </c>
      <c r="AF396" s="117" t="str">
        <f t="shared" si="350"/>
        <v/>
      </c>
      <c r="AG396" s="470"/>
      <c r="AH396" s="470"/>
      <c r="AI396" s="125" t="str">
        <f t="shared" si="351"/>
        <v/>
      </c>
      <c r="AJ396" s="470"/>
      <c r="AK396" s="470"/>
      <c r="AL396" s="472"/>
      <c r="AM396" s="496"/>
      <c r="AN396" s="3"/>
      <c r="AO396" s="490"/>
      <c r="AP396" s="3"/>
      <c r="AQ396" s="490"/>
      <c r="AR396" s="522"/>
      <c r="AS396" s="519"/>
      <c r="AT396" s="204"/>
      <c r="AU396" s="683"/>
      <c r="AV396" s="695"/>
      <c r="AW396" s="689"/>
      <c r="AX396" s="689"/>
      <c r="AY396" s="19"/>
      <c r="CB396" s="29" t="str">
        <f>IFERROR(IF(COUNTIF(AF393:AF402,"")=10,"",IF(COUNTIF(E393:E402,"N/A")&gt;0,IF(AF396&gt;=CMEMM1,AF396,0),"N/A")),"")</f>
        <v>N/A</v>
      </c>
      <c r="CC396" s="4"/>
      <c r="CD396" s="4" t="str">
        <f>IFERROR(IF(COUNTIF(AF393:AF402,"")=10,"",IF(AF396="","",IF(AF396&gt;=CMEMM1,1,0))),"")</f>
        <v/>
      </c>
      <c r="CE396" s="4" t="str">
        <f>B393&amp;"-0"&amp;4</f>
        <v>P40-04</v>
      </c>
      <c r="CF396" s="4">
        <f>IFERROR(INDEX('DESEMPATE Y DISCAPACIDAD'!$D$3:$D$450,MATCH(CE396,'DESEMPATE Y DISCAPACIDAD'!$C$3:$C$450,0)),"")</f>
        <v>0</v>
      </c>
      <c r="CG396" s="4">
        <f>IF(OR(CE396="",CF396=""),"",SUMIF(D393:D402,CF396,CD393:CD402))</f>
        <v>0</v>
      </c>
      <c r="CH396" s="4" t="str">
        <f t="shared" si="323"/>
        <v>NO CUMPLE</v>
      </c>
      <c r="CI396" s="4">
        <f t="shared" si="362"/>
        <v>0</v>
      </c>
      <c r="CJ396" s="4"/>
      <c r="CK396" s="4"/>
      <c r="CL396" s="4" t="str">
        <f t="shared" si="354"/>
        <v/>
      </c>
      <c r="CM396" s="4" t="str">
        <f t="shared" si="355"/>
        <v/>
      </c>
      <c r="CN396" s="4" t="str">
        <f t="shared" si="363"/>
        <v/>
      </c>
      <c r="CO396" s="4"/>
      <c r="CP396" s="4"/>
      <c r="CQ396" s="29" t="str">
        <f t="shared" si="335"/>
        <v/>
      </c>
      <c r="CR396" s="29" t="str">
        <f t="shared" si="336"/>
        <v/>
      </c>
      <c r="CS396" s="4"/>
    </row>
    <row r="397" spans="1:97" ht="2" customHeight="1">
      <c r="B397" s="481"/>
      <c r="C397" s="118"/>
      <c r="D397" s="126" t="str">
        <f>+IFERROR(INDEX('DESEMPATE Y DISCAPACIDAD'!$D$3:$D$450,MATCH(C397,'DESEMPATE Y DISCAPACIDAD'!$C$3:$C$450,0)),"")</f>
        <v/>
      </c>
      <c r="E397" s="127" t="str">
        <f>IFERROR(IF(D397="","",IF(VLOOKUP(D397,'DESEMPATE Y DISCAPACIDAD'!D$3:$E$450,2,FALSE)=1,"N/A",IF(VLOOKUP(D397,'DESEMPATE Y DISCAPACIDAD'!D$3:$F$450,3,FALSE)="X","SI","NO"))),"")</f>
        <v/>
      </c>
      <c r="F397" s="125"/>
      <c r="G397" s="125"/>
      <c r="H397" s="125"/>
      <c r="I397" s="128"/>
      <c r="J397" s="3"/>
      <c r="K397" s="3"/>
      <c r="L397" s="3"/>
      <c r="M397" s="3"/>
      <c r="N397" s="125" t="str">
        <f t="shared" si="358"/>
        <v/>
      </c>
      <c r="O397" s="125" t="str">
        <f t="shared" ref="O397:O402" si="364">IFERROR(IF(OR(J397="",L397=""),"",IF(J397="NO","NO",L397)),"")</f>
        <v/>
      </c>
      <c r="P397" s="125" t="str">
        <f t="shared" si="359"/>
        <v/>
      </c>
      <c r="Q397" s="125" t="str">
        <f t="shared" si="356"/>
        <v/>
      </c>
      <c r="R397" s="68"/>
      <c r="S397" s="129"/>
      <c r="T397" s="129"/>
      <c r="U397" s="125" t="str">
        <f t="shared" si="360"/>
        <v/>
      </c>
      <c r="V397" s="117" t="str">
        <f>IF(U397=2023,1160000,IFERROR(INDEX(SMMLV!$B$2:$B$101,MATCH(U397,SMMLV!$A$2:$A$101,0)),""))</f>
        <v/>
      </c>
      <c r="W397" s="117"/>
      <c r="X397" s="125"/>
      <c r="Y397" s="125"/>
      <c r="Z397" s="477"/>
      <c r="AA397" s="478"/>
      <c r="AB397" s="479"/>
      <c r="AC397" s="125" t="str">
        <f t="shared" si="361"/>
        <v/>
      </c>
      <c r="AD397" s="117" t="str">
        <f t="shared" si="357"/>
        <v/>
      </c>
      <c r="AE397" s="117" t="str">
        <f t="shared" si="353"/>
        <v/>
      </c>
      <c r="AF397" s="117" t="str">
        <f t="shared" si="350"/>
        <v/>
      </c>
      <c r="AG397" s="470"/>
      <c r="AH397" s="470"/>
      <c r="AI397" s="125" t="str">
        <f t="shared" si="351"/>
        <v/>
      </c>
      <c r="AJ397" s="470"/>
      <c r="AK397" s="470"/>
      <c r="AL397" s="472"/>
      <c r="AM397" s="496"/>
      <c r="AN397" s="3"/>
      <c r="AO397" s="490"/>
      <c r="AP397" s="3"/>
      <c r="AQ397" s="490"/>
      <c r="AR397" s="522"/>
      <c r="AS397" s="519"/>
      <c r="AT397" s="204"/>
      <c r="AU397" s="683"/>
      <c r="AV397" s="695"/>
      <c r="AW397" s="689"/>
      <c r="AX397" s="689"/>
      <c r="AY397" s="19"/>
      <c r="CB397" s="29" t="str">
        <f>IFERROR(IF(COUNTIF(AF393:AF402,"")=10,"",IF(COUNTIF(E393:E402,"N/A")&gt;0,IF(AF397&gt;=CMEMM1,AF397,0),"N/A")),"")</f>
        <v>N/A</v>
      </c>
      <c r="CC397" s="4"/>
      <c r="CD397" s="4" t="str">
        <f>IFERROR(IF(COUNTIF(AF393:AF402,"")=10,"",IF(AF397="","",IF(AF397&gt;=CMEMM1,1,0))),"")</f>
        <v/>
      </c>
      <c r="CE397" s="4" t="str">
        <f>B393&amp;"-0"&amp;5</f>
        <v>P40-05</v>
      </c>
      <c r="CF397" s="4">
        <f>IFERROR(INDEX('DESEMPATE Y DISCAPACIDAD'!$D$3:$D$450,MATCH(CE397,'DESEMPATE Y DISCAPACIDAD'!$C$3:$C$450,0)),"")</f>
        <v>0</v>
      </c>
      <c r="CG397" s="4">
        <f>IF(OR(CE397="",CF397=""),"",SUMIF(D393:D402,CF397,CD393:CD402))</f>
        <v>0</v>
      </c>
      <c r="CH397" s="4" t="str">
        <f t="shared" si="323"/>
        <v>NO CUMPLE</v>
      </c>
      <c r="CI397" s="4">
        <f t="shared" si="362"/>
        <v>0</v>
      </c>
      <c r="CJ397" s="4"/>
      <c r="CK397" s="4"/>
      <c r="CL397" s="4" t="str">
        <f t="shared" si="354"/>
        <v/>
      </c>
      <c r="CM397" s="4" t="str">
        <f t="shared" si="355"/>
        <v/>
      </c>
      <c r="CN397" s="4" t="str">
        <f t="shared" si="363"/>
        <v/>
      </c>
      <c r="CO397" s="4"/>
      <c r="CP397" s="4"/>
      <c r="CQ397" s="29" t="str">
        <f t="shared" si="335"/>
        <v/>
      </c>
      <c r="CR397" s="29" t="str">
        <f t="shared" si="336"/>
        <v/>
      </c>
      <c r="CS397" s="4"/>
    </row>
    <row r="398" spans="1:97" ht="2" customHeight="1">
      <c r="B398" s="481"/>
      <c r="C398" s="118"/>
      <c r="D398" s="126" t="str">
        <f>+IFERROR(INDEX('DESEMPATE Y DISCAPACIDAD'!$D$3:$D$450,MATCH(C398,'DESEMPATE Y DISCAPACIDAD'!$C$3:$C$450,0)),"")</f>
        <v/>
      </c>
      <c r="E398" s="127" t="str">
        <f>IFERROR(IF(D398="","",IF(VLOOKUP(D398,'DESEMPATE Y DISCAPACIDAD'!D$3:$E$450,2,FALSE)=1,"N/A",IF(VLOOKUP(D398,'DESEMPATE Y DISCAPACIDAD'!D$3:$F$450,3,FALSE)="X","SI","NO"))),"")</f>
        <v/>
      </c>
      <c r="F398" s="125"/>
      <c r="G398" s="125"/>
      <c r="H398" s="125"/>
      <c r="I398" s="128"/>
      <c r="J398" s="125"/>
      <c r="K398" s="125"/>
      <c r="L398" s="3"/>
      <c r="M398" s="125"/>
      <c r="N398" s="125" t="str">
        <f t="shared" si="358"/>
        <v/>
      </c>
      <c r="O398" s="125" t="str">
        <f t="shared" si="364"/>
        <v/>
      </c>
      <c r="P398" s="125" t="str">
        <f t="shared" si="359"/>
        <v/>
      </c>
      <c r="Q398" s="125" t="str">
        <f t="shared" si="356"/>
        <v/>
      </c>
      <c r="R398" s="68"/>
      <c r="S398" s="129"/>
      <c r="T398" s="129"/>
      <c r="U398" s="125" t="str">
        <f t="shared" si="360"/>
        <v/>
      </c>
      <c r="V398" s="117" t="str">
        <f>IF(U398=2023,1160000,IFERROR(INDEX(SMMLV!$B$2:$B$101,MATCH(U398,SMMLV!$A$2:$A$101,0)),""))</f>
        <v/>
      </c>
      <c r="W398" s="117"/>
      <c r="X398" s="125"/>
      <c r="Y398" s="125"/>
      <c r="Z398" s="474"/>
      <c r="AA398" s="475"/>
      <c r="AB398" s="476"/>
      <c r="AC398" s="125" t="str">
        <f t="shared" si="361"/>
        <v/>
      </c>
      <c r="AD398" s="117" t="str">
        <f t="shared" si="357"/>
        <v/>
      </c>
      <c r="AE398" s="117" t="str">
        <f t="shared" si="353"/>
        <v/>
      </c>
      <c r="AF398" s="117" t="str">
        <f t="shared" si="350"/>
        <v/>
      </c>
      <c r="AG398" s="470"/>
      <c r="AH398" s="470"/>
      <c r="AI398" s="125" t="str">
        <f t="shared" si="351"/>
        <v/>
      </c>
      <c r="AJ398" s="470"/>
      <c r="AK398" s="470"/>
      <c r="AL398" s="472"/>
      <c r="AM398" s="496"/>
      <c r="AN398" s="125"/>
      <c r="AO398" s="490"/>
      <c r="AP398" s="125"/>
      <c r="AQ398" s="490"/>
      <c r="AR398" s="522"/>
      <c r="AS398" s="519"/>
      <c r="AT398" s="204"/>
      <c r="AU398" s="683"/>
      <c r="AV398" s="695"/>
      <c r="AW398" s="689"/>
      <c r="AX398" s="689"/>
      <c r="AY398" s="19"/>
      <c r="CB398" s="29" t="str">
        <f>IFERROR(IF(COUNTIF(AF393:AF402,"")=10,"",IF(COUNTIF(E393:E402,"N/A")&gt;0,IF(AF398&gt;=CMEMM1,AF398,0),"N/A")),"")</f>
        <v>N/A</v>
      </c>
      <c r="CC398" s="4"/>
      <c r="CD398" s="4" t="str">
        <f>IFERROR(IF(COUNTIF(AF393:AF402,"")=10,"",IF(AF398="","",IF(AF398&gt;=CMEMM1,1,0))),"")</f>
        <v/>
      </c>
      <c r="CE398" s="4" t="str">
        <f>B393&amp;"-0"&amp;6</f>
        <v>P40-06</v>
      </c>
      <c r="CF398" s="4">
        <f>IFERROR(INDEX('DESEMPATE Y DISCAPACIDAD'!$D$3:$D$450,MATCH(CE398,'DESEMPATE Y DISCAPACIDAD'!$C$3:$C$450,0)),"")</f>
        <v>0</v>
      </c>
      <c r="CG398" s="4">
        <f>IF(OR(CE398="",CF398=""),"",SUMIF(D393:D402,CF398,CD393:CD402))</f>
        <v>0</v>
      </c>
      <c r="CH398" s="4" t="str">
        <f t="shared" si="323"/>
        <v>NO CUMPLE</v>
      </c>
      <c r="CI398" s="4">
        <f t="shared" si="362"/>
        <v>0</v>
      </c>
      <c r="CJ398" s="4"/>
      <c r="CK398" s="4"/>
      <c r="CL398" s="4" t="str">
        <f t="shared" si="354"/>
        <v/>
      </c>
      <c r="CM398" s="4" t="str">
        <f t="shared" si="355"/>
        <v/>
      </c>
      <c r="CN398" s="4" t="str">
        <f t="shared" si="363"/>
        <v/>
      </c>
      <c r="CO398" s="4"/>
      <c r="CP398" s="4"/>
      <c r="CQ398" s="29" t="str">
        <f t="shared" si="335"/>
        <v/>
      </c>
      <c r="CR398" s="29" t="str">
        <f t="shared" si="336"/>
        <v/>
      </c>
      <c r="CS398" s="4"/>
    </row>
    <row r="399" spans="1:97" ht="2" customHeight="1">
      <c r="B399" s="481"/>
      <c r="C399" s="118"/>
      <c r="D399" s="126" t="str">
        <f>+IFERROR(INDEX('DESEMPATE Y DISCAPACIDAD'!$D$3:$D$450,MATCH(C399,'DESEMPATE Y DISCAPACIDAD'!$C$3:$C$450,0)),"")</f>
        <v/>
      </c>
      <c r="E399" s="127" t="str">
        <f>IFERROR(IF(D399="","",IF(VLOOKUP(D399,'DESEMPATE Y DISCAPACIDAD'!D$3:$E$450,2,FALSE)=1,"N/A",IF(VLOOKUP(D399,'DESEMPATE Y DISCAPACIDAD'!D$3:$F$450,3,FALSE)="X","SI","NO"))),"")</f>
        <v/>
      </c>
      <c r="F399" s="125"/>
      <c r="G399" s="125"/>
      <c r="H399" s="125"/>
      <c r="I399" s="128"/>
      <c r="J399" s="125"/>
      <c r="K399" s="125"/>
      <c r="L399" s="3"/>
      <c r="M399" s="125"/>
      <c r="N399" s="125" t="str">
        <f t="shared" si="358"/>
        <v/>
      </c>
      <c r="O399" s="125" t="str">
        <f t="shared" si="364"/>
        <v/>
      </c>
      <c r="P399" s="125" t="str">
        <f t="shared" si="359"/>
        <v/>
      </c>
      <c r="Q399" s="125" t="str">
        <f t="shared" si="356"/>
        <v/>
      </c>
      <c r="R399" s="68"/>
      <c r="S399" s="129"/>
      <c r="T399" s="129"/>
      <c r="U399" s="125" t="str">
        <f t="shared" si="360"/>
        <v/>
      </c>
      <c r="V399" s="117" t="str">
        <f>IF(U399=2023,1160000,IFERROR(INDEX(SMMLV!$B$2:$B$101,MATCH(U399,SMMLV!$A$2:$A$101,0)),""))</f>
        <v/>
      </c>
      <c r="W399" s="117"/>
      <c r="X399" s="125"/>
      <c r="Y399" s="125"/>
      <c r="Z399" s="474"/>
      <c r="AA399" s="475"/>
      <c r="AB399" s="476"/>
      <c r="AC399" s="125" t="str">
        <f t="shared" si="361"/>
        <v/>
      </c>
      <c r="AD399" s="117" t="str">
        <f t="shared" si="357"/>
        <v/>
      </c>
      <c r="AE399" s="117" t="str">
        <f t="shared" si="353"/>
        <v/>
      </c>
      <c r="AF399" s="117" t="str">
        <f t="shared" si="350"/>
        <v/>
      </c>
      <c r="AG399" s="470"/>
      <c r="AH399" s="470"/>
      <c r="AI399" s="125" t="str">
        <f t="shared" si="351"/>
        <v/>
      </c>
      <c r="AJ399" s="470"/>
      <c r="AK399" s="470"/>
      <c r="AL399" s="472"/>
      <c r="AM399" s="496"/>
      <c r="AN399" s="125"/>
      <c r="AO399" s="490"/>
      <c r="AP399" s="125"/>
      <c r="AQ399" s="490"/>
      <c r="AR399" s="522"/>
      <c r="AS399" s="519"/>
      <c r="AT399" s="204"/>
      <c r="AU399" s="683"/>
      <c r="AV399" s="695"/>
      <c r="AW399" s="689"/>
      <c r="AX399" s="689"/>
      <c r="AY399" s="19"/>
      <c r="CB399" s="29" t="str">
        <f>IFERROR(IF(COUNTIF(AF393:AF402,"")=10,"",IF(COUNTIF(E393:E402,"N/A")&gt;0,IF(AF399&gt;=CMEMM1,AF399,0),"N/A")),"")</f>
        <v>N/A</v>
      </c>
      <c r="CC399" s="4"/>
      <c r="CD399" s="4" t="str">
        <f>IFERROR(IF(COUNTIF(AF393:AF402,"")=10,"",IF(AF399="","",IF(AF399&gt;=CMEMM1,1,0))),"")</f>
        <v/>
      </c>
      <c r="CE399" s="4" t="str">
        <f>B393&amp;"-0"&amp;7</f>
        <v>P40-07</v>
      </c>
      <c r="CF399" s="4" t="str">
        <f>IFERROR(INDEX('DESEMPATE Y DISCAPACIDAD'!$D$3:$D$450,MATCH(CE399,'DESEMPATE Y DISCAPACIDAD'!$C$3:$C$450,0)),"")</f>
        <v/>
      </c>
      <c r="CG399" s="4" t="str">
        <f>IF(OR(CE399="",CF399=""),"",SUMIF(D393:D402,CF399,CD393:CD402))</f>
        <v/>
      </c>
      <c r="CH399" s="4" t="str">
        <f t="shared" si="323"/>
        <v/>
      </c>
      <c r="CI399" s="4" t="str">
        <f t="shared" si="362"/>
        <v/>
      </c>
      <c r="CJ399" s="4"/>
      <c r="CK399" s="4"/>
      <c r="CL399" s="4" t="str">
        <f t="shared" si="354"/>
        <v/>
      </c>
      <c r="CM399" s="4" t="str">
        <f t="shared" si="355"/>
        <v/>
      </c>
      <c r="CN399" s="4" t="str">
        <f t="shared" si="363"/>
        <v/>
      </c>
      <c r="CO399" s="4"/>
      <c r="CP399" s="4"/>
      <c r="CQ399" s="29" t="str">
        <f t="shared" si="335"/>
        <v/>
      </c>
      <c r="CR399" s="29" t="str">
        <f t="shared" si="336"/>
        <v/>
      </c>
      <c r="CS399" s="4"/>
    </row>
    <row r="400" spans="1:97" ht="2" customHeight="1">
      <c r="B400" s="481"/>
      <c r="C400" s="118"/>
      <c r="D400" s="126" t="str">
        <f>+IFERROR(INDEX('DESEMPATE Y DISCAPACIDAD'!$D$3:$D$450,MATCH(C400,'DESEMPATE Y DISCAPACIDAD'!$C$3:$C$450,0)),"")</f>
        <v/>
      </c>
      <c r="E400" s="127" t="str">
        <f>IFERROR(IF(D400="","",IF(VLOOKUP(D400,'DESEMPATE Y DISCAPACIDAD'!D$3:$E$450,2,FALSE)=1,"N/A",IF(VLOOKUP(D400,'DESEMPATE Y DISCAPACIDAD'!D$3:$F$450,3,FALSE)="X","SI","NO"))),"")</f>
        <v/>
      </c>
      <c r="F400" s="125"/>
      <c r="G400" s="125"/>
      <c r="H400" s="125"/>
      <c r="I400" s="128"/>
      <c r="J400" s="125"/>
      <c r="K400" s="125"/>
      <c r="L400" s="3"/>
      <c r="M400" s="125"/>
      <c r="N400" s="125" t="str">
        <f t="shared" si="358"/>
        <v/>
      </c>
      <c r="O400" s="125" t="str">
        <f t="shared" si="364"/>
        <v/>
      </c>
      <c r="P400" s="125" t="str">
        <f t="shared" si="359"/>
        <v/>
      </c>
      <c r="Q400" s="125" t="str">
        <f t="shared" si="356"/>
        <v/>
      </c>
      <c r="R400" s="68"/>
      <c r="S400" s="129"/>
      <c r="T400" s="129"/>
      <c r="U400" s="125" t="str">
        <f t="shared" si="360"/>
        <v/>
      </c>
      <c r="V400" s="117" t="str">
        <f>IF(U400=2023,1160000,IFERROR(INDEX(SMMLV!$B$2:$B$101,MATCH(U400,SMMLV!$A$2:$A$101,0)),""))</f>
        <v/>
      </c>
      <c r="W400" s="117"/>
      <c r="X400" s="125"/>
      <c r="Y400" s="125"/>
      <c r="Z400" s="474"/>
      <c r="AA400" s="475"/>
      <c r="AB400" s="476"/>
      <c r="AC400" s="125" t="str">
        <f t="shared" si="361"/>
        <v/>
      </c>
      <c r="AD400" s="117" t="str">
        <f t="shared" si="357"/>
        <v/>
      </c>
      <c r="AE400" s="117" t="str">
        <f t="shared" si="353"/>
        <v/>
      </c>
      <c r="AF400" s="117" t="str">
        <f t="shared" si="350"/>
        <v/>
      </c>
      <c r="AG400" s="470"/>
      <c r="AH400" s="470"/>
      <c r="AI400" s="125" t="str">
        <f t="shared" si="351"/>
        <v/>
      </c>
      <c r="AJ400" s="470"/>
      <c r="AK400" s="470"/>
      <c r="AL400" s="472"/>
      <c r="AM400" s="496"/>
      <c r="AN400" s="125"/>
      <c r="AO400" s="490"/>
      <c r="AP400" s="125"/>
      <c r="AQ400" s="490"/>
      <c r="AR400" s="522"/>
      <c r="AS400" s="519"/>
      <c r="AT400" s="204"/>
      <c r="AU400" s="683"/>
      <c r="AV400" s="695"/>
      <c r="AW400" s="689"/>
      <c r="AX400" s="689"/>
      <c r="AY400" s="19"/>
      <c r="CB400" s="29" t="str">
        <f>IFERROR(IF(COUNTIF(AF393:AF402,"")=10,"",IF(COUNTIF(E393:E402,"N/A")&gt;0,IF(AF400&gt;=CMEMM1,AF400,0),"N/A")),"")</f>
        <v>N/A</v>
      </c>
      <c r="CC400" s="4"/>
      <c r="CD400" s="4" t="str">
        <f>IFERROR(IF(COUNTIF(AF393:AF402,"")=10,"",IF(AF400="","",IF(AF400&gt;=CMEMM1,1,0))),"")</f>
        <v/>
      </c>
      <c r="CE400" s="4" t="str">
        <f>B393&amp;"-0"&amp;8</f>
        <v>P40-08</v>
      </c>
      <c r="CF400" s="4" t="str">
        <f>IFERROR(INDEX('DESEMPATE Y DISCAPACIDAD'!$D$3:$D$450,MATCH(CE400,'DESEMPATE Y DISCAPACIDAD'!$C$3:$C$450,0)),"")</f>
        <v/>
      </c>
      <c r="CG400" s="4" t="str">
        <f>IF(OR(CE400="",CF400=""),"",SUMIF(D393:D402,CF400,CD393:CD402))</f>
        <v/>
      </c>
      <c r="CH400" s="4" t="str">
        <f t="shared" si="323"/>
        <v/>
      </c>
      <c r="CI400" s="4" t="str">
        <f t="shared" si="362"/>
        <v/>
      </c>
      <c r="CJ400" s="4"/>
      <c r="CK400" s="4"/>
      <c r="CL400" s="4" t="str">
        <f t="shared" si="354"/>
        <v/>
      </c>
      <c r="CM400" s="4" t="str">
        <f t="shared" si="355"/>
        <v/>
      </c>
      <c r="CN400" s="4" t="str">
        <f t="shared" si="363"/>
        <v/>
      </c>
      <c r="CO400" s="4"/>
      <c r="CP400" s="4"/>
      <c r="CQ400" s="29" t="str">
        <f t="shared" si="335"/>
        <v/>
      </c>
      <c r="CR400" s="29" t="str">
        <f t="shared" si="336"/>
        <v/>
      </c>
      <c r="CS400" s="4"/>
    </row>
    <row r="401" spans="1:97" ht="2" customHeight="1">
      <c r="B401" s="481"/>
      <c r="C401" s="118"/>
      <c r="D401" s="126" t="str">
        <f>+IFERROR(INDEX('DESEMPATE Y DISCAPACIDAD'!$D$3:$D$450,MATCH(C401,'DESEMPATE Y DISCAPACIDAD'!$C$3:$C$450,0)),"")</f>
        <v/>
      </c>
      <c r="E401" s="127" t="str">
        <f>IFERROR(IF(D401="","",IF(VLOOKUP(D401,'DESEMPATE Y DISCAPACIDAD'!D$3:$E$450,2,FALSE)=1,"N/A",IF(VLOOKUP(D401,'DESEMPATE Y DISCAPACIDAD'!D$3:$F$450,3,FALSE)="X","SI","NO"))),"")</f>
        <v/>
      </c>
      <c r="F401" s="125"/>
      <c r="G401" s="125"/>
      <c r="H401" s="125"/>
      <c r="I401" s="128"/>
      <c r="J401" s="125"/>
      <c r="K401" s="125"/>
      <c r="L401" s="3"/>
      <c r="M401" s="125"/>
      <c r="N401" s="125" t="str">
        <f t="shared" si="358"/>
        <v/>
      </c>
      <c r="O401" s="125" t="str">
        <f t="shared" si="364"/>
        <v/>
      </c>
      <c r="P401" s="125" t="str">
        <f t="shared" si="359"/>
        <v/>
      </c>
      <c r="Q401" s="125" t="str">
        <f t="shared" si="356"/>
        <v/>
      </c>
      <c r="R401" s="68"/>
      <c r="S401" s="129"/>
      <c r="T401" s="129"/>
      <c r="U401" s="125" t="str">
        <f t="shared" si="360"/>
        <v/>
      </c>
      <c r="V401" s="117" t="str">
        <f>IF(U401=2023,1160000,IFERROR(INDEX(SMMLV!$B$2:$B$101,MATCH(U401,SMMLV!$A$2:$A$101,0)),""))</f>
        <v/>
      </c>
      <c r="W401" s="117"/>
      <c r="X401" s="125"/>
      <c r="Y401" s="125"/>
      <c r="Z401" s="474"/>
      <c r="AA401" s="475"/>
      <c r="AB401" s="476"/>
      <c r="AC401" s="125" t="str">
        <f t="shared" si="361"/>
        <v/>
      </c>
      <c r="AD401" s="117" t="str">
        <f t="shared" si="357"/>
        <v/>
      </c>
      <c r="AE401" s="117" t="str">
        <f t="shared" si="353"/>
        <v/>
      </c>
      <c r="AF401" s="117" t="str">
        <f t="shared" si="350"/>
        <v/>
      </c>
      <c r="AG401" s="470"/>
      <c r="AH401" s="470"/>
      <c r="AI401" s="125" t="str">
        <f t="shared" si="351"/>
        <v/>
      </c>
      <c r="AJ401" s="470"/>
      <c r="AK401" s="470"/>
      <c r="AL401" s="472"/>
      <c r="AM401" s="496"/>
      <c r="AN401" s="125"/>
      <c r="AO401" s="490"/>
      <c r="AP401" s="125"/>
      <c r="AQ401" s="490"/>
      <c r="AR401" s="522"/>
      <c r="AS401" s="519"/>
      <c r="AT401" s="204"/>
      <c r="AU401" s="683"/>
      <c r="AV401" s="695"/>
      <c r="AW401" s="689"/>
      <c r="AX401" s="689"/>
      <c r="AY401" s="19"/>
      <c r="CB401" s="29" t="str">
        <f>IFERROR(IF(COUNTIF(AF393:AF402,"")=10,"",IF(COUNTIF(E393:E402,"N/A")&gt;0,IF(AF401&gt;=CMEMM1,AF401,0),"N/A")),"")</f>
        <v>N/A</v>
      </c>
      <c r="CC401" s="4"/>
      <c r="CD401" s="4" t="str">
        <f>IFERROR(IF(COUNTIF(AF393:AF402,"")=10,"",IF(AF401="","",IF(AF401&gt;=CMEMM1,1,0))),"")</f>
        <v/>
      </c>
      <c r="CE401" s="4" t="str">
        <f>B393&amp;"-0"&amp;9</f>
        <v>P40-09</v>
      </c>
      <c r="CF401" s="4" t="str">
        <f>IFERROR(INDEX('DESEMPATE Y DISCAPACIDAD'!$D$3:$D$450,MATCH(CE401,'DESEMPATE Y DISCAPACIDAD'!$C$3:$C$450,0)),"")</f>
        <v/>
      </c>
      <c r="CG401" s="4" t="str">
        <f>IF(OR(CE401="",CF401=""),"",SUMIF(D393:D402,CF401,CD393:CD402))</f>
        <v/>
      </c>
      <c r="CH401" s="4" t="str">
        <f t="shared" si="323"/>
        <v/>
      </c>
      <c r="CI401" s="4" t="str">
        <f t="shared" si="362"/>
        <v/>
      </c>
      <c r="CJ401" s="4"/>
      <c r="CK401" s="4"/>
      <c r="CL401" s="4" t="str">
        <f t="shared" si="354"/>
        <v/>
      </c>
      <c r="CM401" s="4" t="str">
        <f t="shared" si="355"/>
        <v/>
      </c>
      <c r="CN401" s="4" t="str">
        <f t="shared" si="363"/>
        <v/>
      </c>
      <c r="CO401" s="4"/>
      <c r="CP401" s="4"/>
      <c r="CQ401" s="29" t="str">
        <f t="shared" si="335"/>
        <v/>
      </c>
      <c r="CR401" s="29" t="str">
        <f t="shared" si="336"/>
        <v/>
      </c>
      <c r="CS401" s="4"/>
    </row>
    <row r="402" spans="1:97" ht="2" customHeight="1" thickBot="1">
      <c r="B402" s="482"/>
      <c r="C402" s="130"/>
      <c r="D402" s="131" t="str">
        <f>+IFERROR(INDEX('DESEMPATE Y DISCAPACIDAD'!$D$3:$D$450,MATCH(C402,'DESEMPATE Y DISCAPACIDAD'!$C$3:$C$450,0)),"")</f>
        <v/>
      </c>
      <c r="E402" s="132" t="str">
        <f>IFERROR(IF(D402="","",IF(VLOOKUP(D402,'DESEMPATE Y DISCAPACIDAD'!D$3:$E$450,2,FALSE)=1,"N/A",IF(VLOOKUP(D402,'DESEMPATE Y DISCAPACIDAD'!D$3:$F$450,3,FALSE)="X","SI","NO"))),"")</f>
        <v/>
      </c>
      <c r="F402" s="133"/>
      <c r="G402" s="133"/>
      <c r="H402" s="133"/>
      <c r="I402" s="134"/>
      <c r="J402" s="133"/>
      <c r="K402" s="133"/>
      <c r="L402" s="5"/>
      <c r="M402" s="133"/>
      <c r="N402" s="133" t="str">
        <f t="shared" si="358"/>
        <v/>
      </c>
      <c r="O402" s="133" t="str">
        <f t="shared" si="364"/>
        <v/>
      </c>
      <c r="P402" s="133" t="str">
        <f t="shared" si="359"/>
        <v/>
      </c>
      <c r="Q402" s="133" t="str">
        <f t="shared" si="356"/>
        <v/>
      </c>
      <c r="R402" s="104"/>
      <c r="S402" s="135"/>
      <c r="T402" s="135"/>
      <c r="U402" s="133" t="str">
        <f t="shared" si="360"/>
        <v/>
      </c>
      <c r="V402" s="136" t="str">
        <f>IF(U402=2023,1160000,IFERROR(INDEX(SMMLV!$B$2:$B$101,MATCH(U402,SMMLV!$A$2:$A$101,0)),""))</f>
        <v/>
      </c>
      <c r="W402" s="136"/>
      <c r="X402" s="133"/>
      <c r="Y402" s="133"/>
      <c r="Z402" s="487"/>
      <c r="AA402" s="488"/>
      <c r="AB402" s="489"/>
      <c r="AC402" s="133" t="str">
        <f t="shared" si="361"/>
        <v/>
      </c>
      <c r="AD402" s="136" t="str">
        <f t="shared" si="357"/>
        <v/>
      </c>
      <c r="AE402" s="117" t="str">
        <f t="shared" si="353"/>
        <v/>
      </c>
      <c r="AF402" s="136" t="str">
        <f t="shared" si="350"/>
        <v/>
      </c>
      <c r="AG402" s="471"/>
      <c r="AH402" s="471"/>
      <c r="AI402" s="133" t="str">
        <f t="shared" si="351"/>
        <v/>
      </c>
      <c r="AJ402" s="471"/>
      <c r="AK402" s="471"/>
      <c r="AL402" s="473"/>
      <c r="AM402" s="497"/>
      <c r="AN402" s="133"/>
      <c r="AO402" s="491"/>
      <c r="AP402" s="133"/>
      <c r="AQ402" s="491"/>
      <c r="AR402" s="523"/>
      <c r="AS402" s="520"/>
      <c r="AT402" s="206"/>
      <c r="AU402" s="684"/>
      <c r="AV402" s="696"/>
      <c r="AW402" s="690"/>
      <c r="AX402" s="690"/>
      <c r="AY402" s="19"/>
      <c r="CB402" s="29" t="str">
        <f>IFERROR(IF(COUNTIF(AF393:AF402,"")=10,"",IF(COUNTIF(E393:E402,"N/A")&gt;0,IF(AF402&gt;=CMEMM1,AF402,0),"N/A")),"")</f>
        <v>N/A</v>
      </c>
      <c r="CC402" s="4"/>
      <c r="CD402" s="4" t="str">
        <f>IFERROR(IF(COUNTIF(AF393:AF402,"")=10,"",IF(AF402="","",IF(AF402&gt;=CMEMM1,1,0))),"")</f>
        <v/>
      </c>
      <c r="CE402" s="4" t="str">
        <f>B393&amp;"-"&amp;10</f>
        <v>P40-10</v>
      </c>
      <c r="CF402" s="4" t="str">
        <f>IFERROR(INDEX('DESEMPATE Y DISCAPACIDAD'!$D$3:$D$450,MATCH(CE402,'DESEMPATE Y DISCAPACIDAD'!$C$3:$C$450,0)),"")</f>
        <v/>
      </c>
      <c r="CG402" s="4" t="str">
        <f>IF(OR(CE402="",CF402=""),"",SUMIF(D393:D402,CF402,CD393:CD402))</f>
        <v/>
      </c>
      <c r="CH402" s="4" t="str">
        <f t="shared" si="323"/>
        <v/>
      </c>
      <c r="CI402" s="4" t="str">
        <f t="shared" si="362"/>
        <v/>
      </c>
      <c r="CJ402" s="4"/>
      <c r="CK402" s="4"/>
      <c r="CL402" s="4" t="str">
        <f t="shared" si="354"/>
        <v/>
      </c>
      <c r="CM402" s="4" t="str">
        <f t="shared" si="355"/>
        <v/>
      </c>
      <c r="CN402" s="4" t="str">
        <f t="shared" si="363"/>
        <v/>
      </c>
      <c r="CO402" s="4"/>
      <c r="CP402" s="4"/>
      <c r="CQ402" s="29" t="str">
        <f t="shared" ref="CQ402:CQ434" si="365">IF(OR(AN402="",CB402=""),"",IF(AN402="NO",CB402,0))</f>
        <v/>
      </c>
      <c r="CR402" s="29" t="str">
        <f t="shared" ref="CR402:CR434" si="366">IF(OR(AN402="",AF402=""),"",IF(AN402="NO",AF402,0))</f>
        <v/>
      </c>
      <c r="CS402" s="4"/>
    </row>
    <row r="403" spans="1:97" ht="45" customHeight="1">
      <c r="A403" s="4" t="str">
        <f>"A"&amp;B403</f>
        <v>AP41</v>
      </c>
      <c r="B403" s="480" t="s">
        <v>302</v>
      </c>
      <c r="C403" s="108" t="s">
        <v>464</v>
      </c>
      <c r="D403" s="119" t="str">
        <f>+IFERROR(INDEX('DESEMPATE Y DISCAPACIDAD'!$D$3:$D$450,MATCH(C403,'DESEMPATE Y DISCAPACIDAD'!$C$3:$C$450,0)),"")</f>
        <v>INGENIERIA Y CONSULTOARIA  INGECON SAS</v>
      </c>
      <c r="E403" s="120" t="str">
        <f>IFERROR(IF(D403="","",IF(VLOOKUP(D403,'DESEMPATE Y DISCAPACIDAD'!D$3:$E$450,2,FALSE)=1,"N/A",IF(VLOOKUP(D403,'DESEMPATE Y DISCAPACIDAD'!D$3:$F$450,3,FALSE)="X","SI","NO"))),"")</f>
        <v>NO</v>
      </c>
      <c r="F403" s="3" t="s">
        <v>725</v>
      </c>
      <c r="G403" s="3" t="s">
        <v>660</v>
      </c>
      <c r="H403" s="179" t="s">
        <v>726</v>
      </c>
      <c r="I403" s="122" t="s">
        <v>727</v>
      </c>
      <c r="J403" s="111" t="s">
        <v>74</v>
      </c>
      <c r="K403" s="111" t="s">
        <v>74</v>
      </c>
      <c r="L403" s="180" t="s">
        <v>74</v>
      </c>
      <c r="M403" s="111" t="s">
        <v>74</v>
      </c>
      <c r="N403" s="121" t="str">
        <f>IFERROR(IF(OR(J403="",K403=""),"",IF(J403="NO","NO",K403)),"")</f>
        <v>SI</v>
      </c>
      <c r="O403" s="121" t="str">
        <f>IFERROR(IF(OR(J403="",L403=""),"",IF(J403="NO","NO",L403)),"")</f>
        <v>SI</v>
      </c>
      <c r="P403" s="121" t="str">
        <f>IFERROR(IF(OR(J403="",M403=""),"",IF(J403="NO","NO",M403)),"")</f>
        <v>SI</v>
      </c>
      <c r="Q403" s="121" t="str">
        <f t="shared" si="356"/>
        <v>SI</v>
      </c>
      <c r="R403" s="103">
        <v>0.6</v>
      </c>
      <c r="S403" s="123">
        <v>42040</v>
      </c>
      <c r="T403" s="123">
        <v>44453</v>
      </c>
      <c r="U403" s="121">
        <f>IFERROR(IF(T403="","",YEAR(T403)),"")</f>
        <v>2021</v>
      </c>
      <c r="V403" s="124">
        <f>IF(U403=2023,1160000,IFERROR(INDEX(SMMLV!$B$2:$B$101,MATCH(U403,SMMLV!$A$2:$A$101,0)),""))</f>
        <v>908526</v>
      </c>
      <c r="W403" s="124" t="s">
        <v>670</v>
      </c>
      <c r="X403" s="121" t="s">
        <v>671</v>
      </c>
      <c r="Y403" s="121">
        <v>70</v>
      </c>
      <c r="Z403" s="492" t="s">
        <v>74</v>
      </c>
      <c r="AA403" s="493"/>
      <c r="AB403" s="494"/>
      <c r="AC403" s="121" t="str">
        <f>IFERROR(IF(Y403="","",IF(ISNUMBER(Y403),IF(COUNTIF(Z403,"SI")&gt;0,"SI","NO"),Y403)),"")</f>
        <v>SI</v>
      </c>
      <c r="AD403" s="124" t="str">
        <f t="shared" si="357"/>
        <v>N/A</v>
      </c>
      <c r="AE403" s="117">
        <v>34898.57</v>
      </c>
      <c r="AF403" s="124">
        <f t="shared" si="350"/>
        <v>20939.142</v>
      </c>
      <c r="AG403" s="486" t="str">
        <f>IFERROR(IF(COUNTIF(AF403:AF412,"")=10,"",IF(COUNTIF(E403:E412,"N/A")&gt;0,IF(SUM(CB403:CB412)&gt;=CMEM1,"CUMPLE","NO CUMPLE"),IF(SUM(AF403:AF412)&gt;=CMEM1,"CUMPLE","NO CUMPLE"))),"")</f>
        <v>CUMPLE</v>
      </c>
      <c r="AH403" s="486" t="str">
        <f>IF(COUNTIF(AF403:AF412,"")=10,"",IF(SUMIF(C403:C412,C403,AF403:AF412)&gt;=CMLM1,"CUMPLE",IF(SUMIF(C403:C412,C404,AF403:AF412)&gt;=CMLM1,"CUMPLE",IF(SUMIF(C403:C412,C405,AF403:AF412)&gt;=CMLM1,"CUMPLE",IF(SUMIF(C403:C412,C406,AF403:AF412)&gt;=CMLM1,"CUMPLE",IF(SUMIF(C403:C412,C407,AF403:AF412)&gt;=CMLM1,"CUMPLE",IF(SUMIF(C403:C412,C408,AF403:AF412)&gt;=CMLM1,"CUMPLE",IF(SUMIF(C403:C412,C409,AF403:AF412)&gt;=CMLM1,"CUMPLE",IF(SUMIF(C403:C412,C410,AF403:AF412)&gt;=CMLM1,"CUMPLE",IF(SUMIF(C403:C412,C411,AF403:AF412)&gt;=CMLM1,"CUMPLE",IF(SUMIF(C403:C412,C412,AF403:AF412)&gt;=CMLM1,"CUMPLE","NO CUMPLE")))))))))))</f>
        <v>CUMPLE</v>
      </c>
      <c r="AI403" s="121" t="str">
        <f t="shared" si="351"/>
        <v>CUMPLE</v>
      </c>
      <c r="AJ403" s="469" t="str">
        <f>IFERROR(IF(COUNTIF(AF403:AF412,"")=10,"",IF(COUNTIF(E403:E412,"N/A")&gt;0,"N/A",CJ403)),"")</f>
        <v>CUMPLE</v>
      </c>
      <c r="AK403" s="469" t="str">
        <f>IFERROR(IF(AND(COUNTIF(N403:N412,"SI")&gt;=1,COUNTIF(O403:O412,"SI")&gt;=1,COUNTIF(P403:P412,"SI")&gt;=1,COUNTIF(J403:J412,"SI")&lt;=10,CO403="CUMPLE"),"CUMPLE","NO CUMPLE"),"")</f>
        <v>CUMPLE</v>
      </c>
      <c r="AL403" s="527" t="s">
        <v>77</v>
      </c>
      <c r="AM403" s="504">
        <f>IFERROR(IF(B403&lt;&gt;"",IF(VLOOKUP(B403,'DESEMPATE Y DISCAPACIDAD'!$A$3:$Q$450,10,FALSE)="","",VLOOKUP(B403,'DESEMPATE Y DISCAPACIDAD'!$A$3:$Q$450,10,FALSE)+6),""),"")</f>
        <v>8</v>
      </c>
      <c r="AN403" s="180" t="s">
        <v>75</v>
      </c>
      <c r="AO403" s="697" t="s">
        <v>74</v>
      </c>
      <c r="AP403" s="180" t="s">
        <v>74</v>
      </c>
      <c r="AQ403" s="498">
        <f>IFERROR(IF(COUNTIF(AP403:AP412,"")=10,"",IF(AO403="NO",0,COUNTIF(AP403:AP412,"SI"))),"")</f>
        <v>6</v>
      </c>
      <c r="AR403" s="599">
        <f>IFERROR(IF(COUNTIF(AF403:AF412,"")=10,"",IF(AO403="NO",0,IF(COUNTIF(E403:E412,"N/A")&gt;0,SUM(CQ403:CQ412),SUM(CR403:CR412)))),"")</f>
        <v>91275.003999999986</v>
      </c>
      <c r="AS403" s="586">
        <f>IFERROR(IF(OR(COUNTIF(AF403:AF412,"")=10,AQ403="",AR403=""),"",IF(AO403="NO",0,AR403/AQ403)),"")</f>
        <v>15212.500666666665</v>
      </c>
      <c r="AT403" s="240"/>
      <c r="AU403" s="691" t="s">
        <v>753</v>
      </c>
      <c r="AV403" s="694" t="s">
        <v>754</v>
      </c>
      <c r="AW403" s="688" t="s">
        <v>1351</v>
      </c>
      <c r="AX403" s="688" t="s">
        <v>1352</v>
      </c>
      <c r="AY403" s="19"/>
      <c r="CB403" s="29" t="str">
        <f>IFERROR(IF(COUNTIF(AF403:AF412,"")=10,"",IF(COUNTIF(E403:E412,"N/A")&gt;0,IF(AF403&gt;=CMEMM1,AF403,0),"N/A")),"")</f>
        <v>N/A</v>
      </c>
      <c r="CC403" s="4"/>
      <c r="CD403" s="4">
        <f>IFERROR(IF(COUNTIF(AF403:AF412,"")=10,"",IF(AF403="","",IF(AF403&gt;=CMEMM1,1,0))),"")</f>
        <v>1</v>
      </c>
      <c r="CE403" s="4" t="str">
        <f>B403&amp;"-0"&amp;1</f>
        <v>P41-01</v>
      </c>
      <c r="CF403" s="4" t="str">
        <f>IFERROR(INDEX('DESEMPATE Y DISCAPACIDAD'!$D$3:$D$450,MATCH(CE403,'DESEMPATE Y DISCAPACIDAD'!$C$3:$C$450,0)),"")</f>
        <v>INGENIERIA Y CONSULTOARIA  INGECON SAS</v>
      </c>
      <c r="CG403" s="4">
        <f>IF(OR(CE403="",CF403=""),"",SUMIF(D403:D412,CF403,CD403:CD412))</f>
        <v>1</v>
      </c>
      <c r="CH403" s="4" t="str">
        <f t="shared" si="323"/>
        <v>CUMPLE</v>
      </c>
      <c r="CI403" s="4">
        <f>IF(CF403="","",IF(ISTEXT(CF403),1,0))</f>
        <v>1</v>
      </c>
      <c r="CJ403" s="4" t="str">
        <f>IF(OR(CD403="",CE403="",CF403="",CG403="",CH403="",CI403=""),"",IF(COUNTIF(CH403:CH412,"CUMPLE")=COUNTIF(CI403:CI412,1),"CUMPLE","NO CUMPLE"))</f>
        <v>CUMPLE</v>
      </c>
      <c r="CK403" s="4"/>
      <c r="CL403" s="4">
        <f t="shared" si="354"/>
        <v>1</v>
      </c>
      <c r="CM403" s="4">
        <f t="shared" si="355"/>
        <v>1</v>
      </c>
      <c r="CN403" s="4" t="str">
        <f>IF(OR(CL403="",CM403=""),"",IF(AND(CL403=0,CM403=0),"N/A",IF(AND(CL403=1,CM403=0),"COND. A",IF(AND(CL403=0,CM403=1),"COND. B",IF(AND(CL403=1,CM403=1),"COND. A Y B","")))))</f>
        <v>COND. A Y B</v>
      </c>
      <c r="CO403" s="4" t="str">
        <f>IF(COUNTIF(CN403:CN412,"N/A")=10,"NO CUMPLE",IF(COUNTIF(CN403:CN412,"COND. A Y B")&gt;1,"CUMPLE",IF(AND(COUNTIF(CN403:CN412,"COND. A")&gt;0,COUNTIF(CN403:CN412,"COND. B")&gt;0),"CUMPLE",IF(AND(COUNTIF(CN403:CN412,"COND. A Y B")&gt;0,COUNTIF(CN403:CN412,"COND. A")&gt;0),"CUMPLE",IF(AND(COUNTIF(CN403:CN412,"COND. A Y B")&gt;0,COUNTIF(CN403:CN412,"COND. B")&gt;0),"CUMPLE","NO CUMPLE")))))</f>
        <v>CUMPLE</v>
      </c>
      <c r="CP403" s="4"/>
      <c r="CQ403" s="29" t="str">
        <f t="shared" si="365"/>
        <v>N/A</v>
      </c>
      <c r="CR403" s="29">
        <f t="shared" si="366"/>
        <v>20939.142</v>
      </c>
      <c r="CS403" s="4"/>
    </row>
    <row r="404" spans="1:97" ht="45" customHeight="1">
      <c r="B404" s="481"/>
      <c r="C404" s="118" t="s">
        <v>465</v>
      </c>
      <c r="D404" s="119" t="str">
        <f>+IFERROR(INDEX('DESEMPATE Y DISCAPACIDAD'!$D$3:$D$450,MATCH(C404,'DESEMPATE Y DISCAPACIDAD'!$C$3:$C$450,0)),"")</f>
        <v>CONSUL TORIA INTEGRAL EN INGENIERIA S.A. DE C.V. (CONIISA)</v>
      </c>
      <c r="E404" s="120" t="str">
        <f>IFERROR(IF(D404="","",IF(VLOOKUP(D404,'DESEMPATE Y DISCAPACIDAD'!D$3:$E$450,2,FALSE)=1,"N/A",IF(VLOOKUP(D404,'DESEMPATE Y DISCAPACIDAD'!D$3:$F$450,3,FALSE)="X","SI","NO"))),"")</f>
        <v>NO</v>
      </c>
      <c r="F404" s="125" t="s">
        <v>728</v>
      </c>
      <c r="G404" s="125" t="s">
        <v>729</v>
      </c>
      <c r="H404" s="121" t="s">
        <v>730</v>
      </c>
      <c r="I404" s="122" t="s">
        <v>731</v>
      </c>
      <c r="J404" s="394" t="s">
        <v>74</v>
      </c>
      <c r="K404" s="179" t="s">
        <v>74</v>
      </c>
      <c r="L404" s="179" t="s">
        <v>75</v>
      </c>
      <c r="M404" s="179" t="s">
        <v>74</v>
      </c>
      <c r="N404" s="121" t="str">
        <f t="shared" ref="N404:N412" si="367">IFERROR(IF(OR(J404="",K404=""),"",IF(J404="NO","NO",K404)),"")</f>
        <v>SI</v>
      </c>
      <c r="O404" s="121" t="str">
        <f>IFERROR(IF(OR(J404="",L404=""),"",IF(J404="NO","NO",L404)),"")</f>
        <v>NO</v>
      </c>
      <c r="P404" s="121" t="str">
        <f t="shared" ref="P404:P412" si="368">IFERROR(IF(OR(J404="",M404=""),"",IF(J404="NO","NO",M404)),"")</f>
        <v>SI</v>
      </c>
      <c r="Q404" s="121" t="str">
        <f t="shared" si="356"/>
        <v>SI</v>
      </c>
      <c r="R404" s="103">
        <v>1</v>
      </c>
      <c r="S404" s="123">
        <v>43707</v>
      </c>
      <c r="T404" s="123">
        <v>44196</v>
      </c>
      <c r="U404" s="121">
        <f t="shared" ref="U404:U412" si="369">IFERROR(IF(T404="","",YEAR(T404)),"")</f>
        <v>2020</v>
      </c>
      <c r="V404" s="124">
        <f>IF(U404=2023,1160000,IFERROR(INDEX(SMMLV!$B$2:$B$101,MATCH(U404,SMMLV!$A$2:$A$101,0)),""))</f>
        <v>877803</v>
      </c>
      <c r="W404" s="124" t="s">
        <v>670</v>
      </c>
      <c r="X404" s="125" t="s">
        <v>671</v>
      </c>
      <c r="Y404" s="125">
        <v>37</v>
      </c>
      <c r="Z404" s="477" t="s">
        <v>74</v>
      </c>
      <c r="AA404" s="478"/>
      <c r="AB404" s="479"/>
      <c r="AC404" s="125" t="str">
        <f t="shared" ref="AC404:AC412" si="370">IFERROR(IF(Y404="","",IF(ISNUMBER(Y404),IF(COUNTIF(Z404,"SI")&gt;0,"SI","NO"),Y404)),"")</f>
        <v>SI</v>
      </c>
      <c r="AD404" s="117" t="str">
        <f t="shared" si="357"/>
        <v>N/A</v>
      </c>
      <c r="AE404" s="117">
        <v>6707.71</v>
      </c>
      <c r="AF404" s="117">
        <f t="shared" si="350"/>
        <v>6707.71</v>
      </c>
      <c r="AG404" s="470"/>
      <c r="AH404" s="470"/>
      <c r="AI404" s="125" t="str">
        <f t="shared" si="351"/>
        <v>CUMPLE</v>
      </c>
      <c r="AJ404" s="470"/>
      <c r="AK404" s="470"/>
      <c r="AL404" s="527"/>
      <c r="AM404" s="505"/>
      <c r="AN404" s="3" t="s">
        <v>75</v>
      </c>
      <c r="AO404" s="498"/>
      <c r="AP404" s="3" t="s">
        <v>74</v>
      </c>
      <c r="AQ404" s="498"/>
      <c r="AR404" s="600"/>
      <c r="AS404" s="587"/>
      <c r="AT404" s="240"/>
      <c r="AU404" s="692"/>
      <c r="AV404" s="695"/>
      <c r="AW404" s="689"/>
      <c r="AX404" s="689"/>
      <c r="AY404" s="19"/>
      <c r="CB404" s="29" t="str">
        <f>IFERROR(IF(COUNTIF(AF403:AF412,"")=10,"",IF(COUNTIF(E403:E412,"N/A")&gt;0,IF(AF404&gt;=CMEMM1,AF404,0),"N/A")),"")</f>
        <v>N/A</v>
      </c>
      <c r="CC404" s="4"/>
      <c r="CD404" s="4">
        <f>IFERROR(IF(COUNTIF(AF403:AF412,"")=10,"",IF(AF404="","",IF(AF404&gt;=CMEMM1,1,0))),"")</f>
        <v>1</v>
      </c>
      <c r="CE404" s="4" t="str">
        <f>B403&amp;"-0"&amp;2</f>
        <v>P41-02</v>
      </c>
      <c r="CF404" s="4" t="str">
        <f>IFERROR(INDEX('DESEMPATE Y DISCAPACIDAD'!$D$3:$D$450,MATCH(CE404,'DESEMPATE Y DISCAPACIDAD'!$C$3:$C$450,0)),"")</f>
        <v>CONSUL TORIA INTEGRAL EN INGENIERIA S.A. DE C.V. (CONIISA)</v>
      </c>
      <c r="CG404" s="4">
        <f>IF(OR(CE404="",CF404=""),"",SUMIF(D403:D412,CF404,CD403:CD412))</f>
        <v>2</v>
      </c>
      <c r="CH404" s="4" t="str">
        <f t="shared" si="323"/>
        <v>CUMPLE</v>
      </c>
      <c r="CI404" s="4">
        <f t="shared" ref="CI404:CI412" si="371">IF(CF404="","",IF(ISTEXT(CF404),1,0))</f>
        <v>1</v>
      </c>
      <c r="CJ404" s="4"/>
      <c r="CK404" s="4"/>
      <c r="CL404" s="4">
        <f t="shared" si="354"/>
        <v>1</v>
      </c>
      <c r="CM404" s="4">
        <f t="shared" si="355"/>
        <v>0</v>
      </c>
      <c r="CN404" s="4" t="str">
        <f t="shared" ref="CN404:CN412" si="372">IF(OR(CL404="",CM404=""),"",IF(AND(CL404=0,CM404=0),"N/A",IF(AND(CL404=1,CM404=0),"COND. A",IF(AND(CL404=0,CM404=1),"COND. B",IF(AND(CL404=1,CM404=1),"COND. A Y B","")))))</f>
        <v>COND. A</v>
      </c>
      <c r="CO404" s="4"/>
      <c r="CP404" s="4"/>
      <c r="CQ404" s="29" t="str">
        <f t="shared" si="365"/>
        <v>N/A</v>
      </c>
      <c r="CR404" s="29">
        <f t="shared" si="366"/>
        <v>6707.71</v>
      </c>
      <c r="CS404" s="4"/>
    </row>
    <row r="405" spans="1:97" ht="45" customHeight="1">
      <c r="B405" s="481"/>
      <c r="C405" s="118" t="s">
        <v>465</v>
      </c>
      <c r="D405" s="126" t="str">
        <f>+IFERROR(INDEX('DESEMPATE Y DISCAPACIDAD'!$D$3:$D$450,MATCH(C405,'DESEMPATE Y DISCAPACIDAD'!$C$3:$C$450,0)),"")</f>
        <v>CONSUL TORIA INTEGRAL EN INGENIERIA S.A. DE C.V. (CONIISA)</v>
      </c>
      <c r="E405" s="127" t="str">
        <f>IFERROR(IF(D405="","",IF(VLOOKUP(D405,'DESEMPATE Y DISCAPACIDAD'!D$3:$E$450,2,FALSE)=1,"N/A",IF(VLOOKUP(D405,'DESEMPATE Y DISCAPACIDAD'!D$3:$F$450,3,FALSE)="X","SI","NO"))),"")</f>
        <v>NO</v>
      </c>
      <c r="F405" s="121" t="s">
        <v>732</v>
      </c>
      <c r="G405" s="121" t="s">
        <v>729</v>
      </c>
      <c r="H405" s="125" t="s">
        <v>733</v>
      </c>
      <c r="I405" s="128" t="s">
        <v>734</v>
      </c>
      <c r="J405" s="3" t="s">
        <v>74</v>
      </c>
      <c r="K405" s="125" t="s">
        <v>75</v>
      </c>
      <c r="L405" s="3" t="s">
        <v>75</v>
      </c>
      <c r="M405" s="125" t="s">
        <v>74</v>
      </c>
      <c r="N405" s="125" t="str">
        <f t="shared" si="367"/>
        <v>NO</v>
      </c>
      <c r="O405" s="125" t="str">
        <f>IFERROR(IF(OR(J405="",L405=""),"",IF(J405="NO","NO",L405)),"")</f>
        <v>NO</v>
      </c>
      <c r="P405" s="125" t="str">
        <f t="shared" si="368"/>
        <v>SI</v>
      </c>
      <c r="Q405" s="125" t="str">
        <f t="shared" si="356"/>
        <v>SI</v>
      </c>
      <c r="R405" s="68">
        <v>0.45</v>
      </c>
      <c r="S405" s="129">
        <v>44039</v>
      </c>
      <c r="T405" s="129">
        <v>45657</v>
      </c>
      <c r="U405" s="125">
        <f t="shared" si="369"/>
        <v>2024</v>
      </c>
      <c r="V405" s="117" t="str">
        <f>IF(U405=2023,1160000,IFERROR(INDEX(SMMLV!$B$2:$B$101,MATCH(U405,SMMLV!$A$2:$A$101,0)),""))</f>
        <v/>
      </c>
      <c r="W405" s="117" t="s">
        <v>670</v>
      </c>
      <c r="X405" s="125" t="s">
        <v>671</v>
      </c>
      <c r="Y405" s="125">
        <v>39</v>
      </c>
      <c r="Z405" s="474" t="s">
        <v>74</v>
      </c>
      <c r="AA405" s="475"/>
      <c r="AB405" s="476"/>
      <c r="AC405" s="125" t="str">
        <f t="shared" si="370"/>
        <v>SI</v>
      </c>
      <c r="AD405" s="117" t="str">
        <f t="shared" si="357"/>
        <v>N/A</v>
      </c>
      <c r="AE405" s="117">
        <v>117075.24</v>
      </c>
      <c r="AF405" s="117">
        <f t="shared" si="350"/>
        <v>52683.858</v>
      </c>
      <c r="AG405" s="470"/>
      <c r="AH405" s="470"/>
      <c r="AI405" s="125" t="str">
        <f t="shared" si="351"/>
        <v>CUMPLE</v>
      </c>
      <c r="AJ405" s="470"/>
      <c r="AK405" s="470"/>
      <c r="AL405" s="527"/>
      <c r="AM405" s="505"/>
      <c r="AN405" s="3" t="s">
        <v>75</v>
      </c>
      <c r="AO405" s="498"/>
      <c r="AP405" s="3" t="s">
        <v>74</v>
      </c>
      <c r="AQ405" s="498"/>
      <c r="AR405" s="600"/>
      <c r="AS405" s="587"/>
      <c r="AT405" s="204"/>
      <c r="AU405" s="692"/>
      <c r="AV405" s="695"/>
      <c r="AW405" s="689"/>
      <c r="AX405" s="689"/>
      <c r="AY405" s="19"/>
      <c r="CB405" s="29" t="str">
        <f>IFERROR(IF(COUNTIF(AF403:AF412,"")=10,"",IF(COUNTIF(E403:E412,"N/A")&gt;0,IF(AF405&gt;=CMEMM1,AF405,0),"N/A")),"")</f>
        <v>N/A</v>
      </c>
      <c r="CC405" s="4"/>
      <c r="CD405" s="4">
        <f>IFERROR(IF(COUNTIF(AF403:AF412,"")=10,"",IF(AF405="","",IF(AF405&gt;=CMEMM1,1,0))),"")</f>
        <v>1</v>
      </c>
      <c r="CE405" s="4" t="str">
        <f>B403&amp;"-0"&amp;3</f>
        <v>P41-03</v>
      </c>
      <c r="CF405" s="4" t="str">
        <f>IFERROR(INDEX('DESEMPATE Y DISCAPACIDAD'!$D$3:$D$450,MATCH(CE405,'DESEMPATE Y DISCAPACIDAD'!$C$3:$C$450,0)),"")</f>
        <v>ECG INGENIERIA SAS</v>
      </c>
      <c r="CG405" s="4">
        <f>IF(OR(CE405="",CF405=""),"",SUMIF(D403:D412,CF405,CD403:CD412))</f>
        <v>1</v>
      </c>
      <c r="CH405" s="4" t="str">
        <f t="shared" si="323"/>
        <v>CUMPLE</v>
      </c>
      <c r="CI405" s="4">
        <f t="shared" si="371"/>
        <v>1</v>
      </c>
      <c r="CJ405" s="4"/>
      <c r="CK405" s="4"/>
      <c r="CL405" s="4">
        <f t="shared" si="354"/>
        <v>0</v>
      </c>
      <c r="CM405" s="4">
        <f t="shared" si="355"/>
        <v>0</v>
      </c>
      <c r="CN405" s="4" t="str">
        <f t="shared" si="372"/>
        <v>N/A</v>
      </c>
      <c r="CO405" s="4"/>
      <c r="CP405" s="4"/>
      <c r="CQ405" s="29" t="str">
        <f t="shared" si="365"/>
        <v>N/A</v>
      </c>
      <c r="CR405" s="29">
        <f t="shared" si="366"/>
        <v>52683.858</v>
      </c>
      <c r="CS405" s="4"/>
    </row>
    <row r="406" spans="1:97" ht="45" customHeight="1">
      <c r="B406" s="481"/>
      <c r="C406" s="118" t="s">
        <v>466</v>
      </c>
      <c r="D406" s="126" t="str">
        <f>+IFERROR(INDEX('DESEMPATE Y DISCAPACIDAD'!$D$3:$D$450,MATCH(C406,'DESEMPATE Y DISCAPACIDAD'!$C$3:$C$450,0)),"")</f>
        <v>ECG INGENIERIA SAS</v>
      </c>
      <c r="E406" s="127" t="str">
        <f>IFERROR(IF(D406="","",IF(VLOOKUP(D406,'DESEMPATE Y DISCAPACIDAD'!D$3:$E$450,2,FALSE)=1,"N/A",IF(VLOOKUP(D406,'DESEMPATE Y DISCAPACIDAD'!D$3:$F$450,3,FALSE)="X","SI","NO"))),"")</f>
        <v>NO</v>
      </c>
      <c r="F406" s="141" t="s">
        <v>735</v>
      </c>
      <c r="G406" s="125" t="s">
        <v>736</v>
      </c>
      <c r="H406" s="125" t="s">
        <v>737</v>
      </c>
      <c r="I406" s="128" t="s">
        <v>738</v>
      </c>
      <c r="J406" s="3" t="s">
        <v>74</v>
      </c>
      <c r="K406" s="3" t="s">
        <v>74</v>
      </c>
      <c r="L406" s="3" t="s">
        <v>75</v>
      </c>
      <c r="M406" s="3" t="s">
        <v>74</v>
      </c>
      <c r="N406" s="125" t="str">
        <f t="shared" si="367"/>
        <v>SI</v>
      </c>
      <c r="O406" s="125" t="str">
        <f>IFERROR(IF(OR(J406="",L406=""),"",IF(J406="NO","NO",L406)),"")</f>
        <v>NO</v>
      </c>
      <c r="P406" s="125" t="str">
        <f t="shared" si="368"/>
        <v>SI</v>
      </c>
      <c r="Q406" s="125" t="str">
        <f t="shared" si="356"/>
        <v>SI</v>
      </c>
      <c r="R406" s="68">
        <v>1</v>
      </c>
      <c r="S406" s="129">
        <v>38824</v>
      </c>
      <c r="T406" s="129">
        <v>40135</v>
      </c>
      <c r="U406" s="125">
        <f t="shared" si="369"/>
        <v>2009</v>
      </c>
      <c r="V406" s="117">
        <f>IF(U406=2023,1160000,IFERROR(INDEX(SMMLV!$B$2:$B$101,MATCH(U406,SMMLV!$A$2:$A$101,0)),""))</f>
        <v>496900</v>
      </c>
      <c r="W406" s="117" t="s">
        <v>670</v>
      </c>
      <c r="X406" s="125" t="s">
        <v>671</v>
      </c>
      <c r="Y406" s="125">
        <v>6</v>
      </c>
      <c r="Z406" s="477" t="s">
        <v>74</v>
      </c>
      <c r="AA406" s="478"/>
      <c r="AB406" s="479"/>
      <c r="AC406" s="125" t="str">
        <f t="shared" si="370"/>
        <v>SI</v>
      </c>
      <c r="AD406" s="117" t="str">
        <f t="shared" si="357"/>
        <v>N/A</v>
      </c>
      <c r="AE406" s="117">
        <v>7092.56</v>
      </c>
      <c r="AF406" s="117">
        <f t="shared" si="350"/>
        <v>7092.56</v>
      </c>
      <c r="AG406" s="470"/>
      <c r="AH406" s="470"/>
      <c r="AI406" s="125" t="str">
        <f t="shared" si="351"/>
        <v>CUMPLE</v>
      </c>
      <c r="AJ406" s="470"/>
      <c r="AK406" s="470"/>
      <c r="AL406" s="527"/>
      <c r="AM406" s="505"/>
      <c r="AN406" s="3" t="s">
        <v>75</v>
      </c>
      <c r="AO406" s="498"/>
      <c r="AP406" s="3" t="s">
        <v>74</v>
      </c>
      <c r="AQ406" s="498"/>
      <c r="AR406" s="600"/>
      <c r="AS406" s="587"/>
      <c r="AT406" s="204"/>
      <c r="AU406" s="692"/>
      <c r="AV406" s="695"/>
      <c r="AW406" s="689"/>
      <c r="AX406" s="689"/>
      <c r="AY406" s="19"/>
      <c r="CB406" s="29" t="str">
        <f>IFERROR(IF(COUNTIF(AF403:AF412,"")=10,"",IF(COUNTIF(E403:E412,"N/A")&gt;0,IF(AF406&gt;=CMEMM1,AF406,0),"N/A")),"")</f>
        <v>N/A</v>
      </c>
      <c r="CC406" s="4"/>
      <c r="CD406" s="4">
        <f>IFERROR(IF(COUNTIF(AF403:AF412,"")=10,"",IF(AF406="","",IF(AF406&gt;=CMEMM1,1,0))),"")</f>
        <v>1</v>
      </c>
      <c r="CE406" s="4" t="str">
        <f>B403&amp;"-0"&amp;4</f>
        <v>P41-04</v>
      </c>
      <c r="CF406" s="4">
        <f>IFERROR(INDEX('DESEMPATE Y DISCAPACIDAD'!$D$3:$D$450,MATCH(CE406,'DESEMPATE Y DISCAPACIDAD'!$C$3:$C$450,0)),"")</f>
        <v>0</v>
      </c>
      <c r="CG406" s="4">
        <f>IF(OR(CE406="",CF406=""),"",SUMIF(D403:D412,CF406,CD403:CD412))</f>
        <v>0</v>
      </c>
      <c r="CH406" s="4" t="str">
        <f t="shared" si="323"/>
        <v>NO CUMPLE</v>
      </c>
      <c r="CI406" s="4">
        <f t="shared" si="371"/>
        <v>0</v>
      </c>
      <c r="CJ406" s="4"/>
      <c r="CK406" s="4"/>
      <c r="CL406" s="4">
        <f t="shared" si="354"/>
        <v>1</v>
      </c>
      <c r="CM406" s="4">
        <f t="shared" si="355"/>
        <v>0</v>
      </c>
      <c r="CN406" s="4" t="str">
        <f t="shared" si="372"/>
        <v>COND. A</v>
      </c>
      <c r="CO406" s="4"/>
      <c r="CP406" s="4"/>
      <c r="CQ406" s="29" t="str">
        <f t="shared" si="365"/>
        <v>N/A</v>
      </c>
      <c r="CR406" s="29">
        <f t="shared" si="366"/>
        <v>7092.56</v>
      </c>
      <c r="CS406" s="4"/>
    </row>
    <row r="407" spans="1:97" ht="45" customHeight="1">
      <c r="B407" s="481"/>
      <c r="C407" s="118" t="s">
        <v>466</v>
      </c>
      <c r="D407" s="126" t="str">
        <f>+IFERROR(INDEX('DESEMPATE Y DISCAPACIDAD'!$D$3:$D$450,MATCH(C407,'DESEMPATE Y DISCAPACIDAD'!$C$3:$C$450,0)),"")</f>
        <v>ECG INGENIERIA SAS</v>
      </c>
      <c r="E407" s="127" t="str">
        <f>IFERROR(IF(D407="","",IF(VLOOKUP(D407,'DESEMPATE Y DISCAPACIDAD'!D$3:$E$450,2,FALSE)=1,"N/A",IF(VLOOKUP(D407,'DESEMPATE Y DISCAPACIDAD'!D$3:$F$450,3,FALSE)="X","SI","NO"))),"")</f>
        <v>NO</v>
      </c>
      <c r="F407" s="125" t="s">
        <v>739</v>
      </c>
      <c r="G407" s="125" t="s">
        <v>736</v>
      </c>
      <c r="H407" s="125">
        <v>88</v>
      </c>
      <c r="I407" s="128" t="s">
        <v>740</v>
      </c>
      <c r="J407" s="3" t="s">
        <v>74</v>
      </c>
      <c r="K407" s="3" t="s">
        <v>75</v>
      </c>
      <c r="L407" s="3" t="s">
        <v>75</v>
      </c>
      <c r="M407" s="3" t="s">
        <v>74</v>
      </c>
      <c r="N407" s="125" t="str">
        <f t="shared" si="367"/>
        <v>NO</v>
      </c>
      <c r="O407" s="125" t="str">
        <f t="shared" ref="O407:O412" si="373">IFERROR(IF(OR(J407="",L407=""),"",IF(J407="NO","NO",L407)),"")</f>
        <v>NO</v>
      </c>
      <c r="P407" s="125" t="str">
        <f t="shared" si="368"/>
        <v>SI</v>
      </c>
      <c r="Q407" s="125" t="str">
        <f t="shared" si="356"/>
        <v>SI</v>
      </c>
      <c r="R407" s="68">
        <v>1</v>
      </c>
      <c r="S407" s="129">
        <v>38240</v>
      </c>
      <c r="T407" s="129">
        <v>38666</v>
      </c>
      <c r="U407" s="125">
        <f t="shared" si="369"/>
        <v>2005</v>
      </c>
      <c r="V407" s="117">
        <f>IF(U407=2023,1160000,IFERROR(INDEX(SMMLV!$B$2:$B$101,MATCH(U407,SMMLV!$A$2:$A$101,0)),""))</f>
        <v>381500</v>
      </c>
      <c r="W407" s="117" t="s">
        <v>670</v>
      </c>
      <c r="X407" s="125" t="s">
        <v>671</v>
      </c>
      <c r="Y407" s="125">
        <v>88</v>
      </c>
      <c r="Z407" s="477" t="s">
        <v>74</v>
      </c>
      <c r="AA407" s="478"/>
      <c r="AB407" s="479"/>
      <c r="AC407" s="125" t="str">
        <f t="shared" si="370"/>
        <v>SI</v>
      </c>
      <c r="AD407" s="117" t="str">
        <f t="shared" si="357"/>
        <v>N/A</v>
      </c>
      <c r="AE407" s="117">
        <v>1086.52</v>
      </c>
      <c r="AF407" s="117">
        <f t="shared" si="350"/>
        <v>1086.52</v>
      </c>
      <c r="AG407" s="470"/>
      <c r="AH407" s="470"/>
      <c r="AI407" s="125" t="str">
        <f t="shared" si="351"/>
        <v>NO CUMPLE</v>
      </c>
      <c r="AJ407" s="470"/>
      <c r="AK407" s="470"/>
      <c r="AL407" s="527"/>
      <c r="AM407" s="505"/>
      <c r="AN407" s="3" t="s">
        <v>75</v>
      </c>
      <c r="AO407" s="498"/>
      <c r="AP407" s="3" t="s">
        <v>74</v>
      </c>
      <c r="AQ407" s="498"/>
      <c r="AR407" s="600"/>
      <c r="AS407" s="587"/>
      <c r="AT407" s="204"/>
      <c r="AU407" s="692"/>
      <c r="AV407" s="695"/>
      <c r="AW407" s="689"/>
      <c r="AX407" s="689"/>
      <c r="AY407" s="19"/>
      <c r="CB407" s="29" t="str">
        <f>IFERROR(IF(COUNTIF(AF403:AF412,"")=10,"",IF(COUNTIF(E403:E412,"N/A")&gt;0,IF(AF407&gt;=CMEMM1,AF407,0),"N/A")),"")</f>
        <v>N/A</v>
      </c>
      <c r="CC407" s="4"/>
      <c r="CD407" s="4">
        <f>IFERROR(IF(COUNTIF(AF403:AF412,"")=10,"",IF(AF407="","",IF(AF407&gt;=CMEMM1,1,0))),"")</f>
        <v>0</v>
      </c>
      <c r="CE407" s="4" t="str">
        <f>B403&amp;"-0"&amp;5</f>
        <v>P41-05</v>
      </c>
      <c r="CF407" s="4">
        <f>IFERROR(INDEX('DESEMPATE Y DISCAPACIDAD'!$D$3:$D$450,MATCH(CE407,'DESEMPATE Y DISCAPACIDAD'!$C$3:$C$450,0)),"")</f>
        <v>0</v>
      </c>
      <c r="CG407" s="4">
        <f>IF(OR(CE407="",CF407=""),"",SUMIF(D403:D412,CF407,CD403:CD412))</f>
        <v>0</v>
      </c>
      <c r="CH407" s="4" t="str">
        <f t="shared" si="323"/>
        <v>NO CUMPLE</v>
      </c>
      <c r="CI407" s="4">
        <f t="shared" si="371"/>
        <v>0</v>
      </c>
      <c r="CJ407" s="4"/>
      <c r="CK407" s="4"/>
      <c r="CL407" s="4">
        <f t="shared" si="354"/>
        <v>0</v>
      </c>
      <c r="CM407" s="4">
        <f t="shared" si="355"/>
        <v>0</v>
      </c>
      <c r="CN407" s="4" t="str">
        <f t="shared" si="372"/>
        <v>N/A</v>
      </c>
      <c r="CO407" s="4"/>
      <c r="CP407" s="4"/>
      <c r="CQ407" s="29" t="str">
        <f t="shared" si="365"/>
        <v>N/A</v>
      </c>
      <c r="CR407" s="29">
        <f t="shared" si="366"/>
        <v>1086.52</v>
      </c>
      <c r="CS407" s="4"/>
    </row>
    <row r="408" spans="1:97" ht="45" customHeight="1">
      <c r="B408" s="481"/>
      <c r="C408" s="118" t="s">
        <v>466</v>
      </c>
      <c r="D408" s="126" t="str">
        <f>+IFERROR(INDEX('DESEMPATE Y DISCAPACIDAD'!$D$3:$D$450,MATCH(C408,'DESEMPATE Y DISCAPACIDAD'!$C$3:$C$450,0)),"")</f>
        <v>ECG INGENIERIA SAS</v>
      </c>
      <c r="E408" s="127" t="str">
        <f>IFERROR(IF(D408="","",IF(VLOOKUP(D408,'DESEMPATE Y DISCAPACIDAD'!D$3:$E$450,2,FALSE)=1,"N/A",IF(VLOOKUP(D408,'DESEMPATE Y DISCAPACIDAD'!D$3:$F$450,3,FALSE)="X","SI","NO"))),"")</f>
        <v>NO</v>
      </c>
      <c r="F408" s="125" t="s">
        <v>741</v>
      </c>
      <c r="G408" s="125" t="s">
        <v>660</v>
      </c>
      <c r="H408" s="125" t="s">
        <v>742</v>
      </c>
      <c r="I408" s="128" t="s">
        <v>743</v>
      </c>
      <c r="J408" s="125" t="s">
        <v>74</v>
      </c>
      <c r="K408" s="125" t="s">
        <v>74</v>
      </c>
      <c r="L408" s="3" t="s">
        <v>75</v>
      </c>
      <c r="M408" s="125" t="s">
        <v>74</v>
      </c>
      <c r="N408" s="125" t="str">
        <f t="shared" si="367"/>
        <v>SI</v>
      </c>
      <c r="O408" s="125" t="str">
        <f t="shared" si="373"/>
        <v>NO</v>
      </c>
      <c r="P408" s="125" t="str">
        <f t="shared" si="368"/>
        <v>SI</v>
      </c>
      <c r="Q408" s="125" t="str">
        <f t="shared" si="356"/>
        <v>SI</v>
      </c>
      <c r="R408" s="68">
        <v>0.6</v>
      </c>
      <c r="S408" s="129">
        <v>43875</v>
      </c>
      <c r="T408" s="129">
        <v>44651</v>
      </c>
      <c r="U408" s="125">
        <f t="shared" si="369"/>
        <v>2022</v>
      </c>
      <c r="V408" s="117">
        <f>IF(U408=2023,1160000,IFERROR(INDEX(SMMLV!$B$2:$B$101,MATCH(U408,SMMLV!$A$2:$A$101,0)),""))</f>
        <v>1000000</v>
      </c>
      <c r="W408" s="117" t="s">
        <v>670</v>
      </c>
      <c r="X408" s="125" t="s">
        <v>671</v>
      </c>
      <c r="Y408" s="125">
        <v>137</v>
      </c>
      <c r="Z408" s="474" t="s">
        <v>74</v>
      </c>
      <c r="AA408" s="475"/>
      <c r="AB408" s="476"/>
      <c r="AC408" s="125" t="str">
        <f t="shared" si="370"/>
        <v>SI</v>
      </c>
      <c r="AD408" s="117" t="str">
        <f t="shared" si="357"/>
        <v>N/A</v>
      </c>
      <c r="AE408" s="117">
        <v>4608.6899999999996</v>
      </c>
      <c r="AF408" s="117">
        <f t="shared" si="350"/>
        <v>2765.2139999999995</v>
      </c>
      <c r="AG408" s="470"/>
      <c r="AH408" s="470"/>
      <c r="AI408" s="125" t="str">
        <f t="shared" si="351"/>
        <v>NO CUMPLE</v>
      </c>
      <c r="AJ408" s="470"/>
      <c r="AK408" s="470"/>
      <c r="AL408" s="527"/>
      <c r="AM408" s="505"/>
      <c r="AN408" s="3" t="s">
        <v>75</v>
      </c>
      <c r="AO408" s="498"/>
      <c r="AP408" s="3" t="s">
        <v>74</v>
      </c>
      <c r="AQ408" s="498"/>
      <c r="AR408" s="600"/>
      <c r="AS408" s="587"/>
      <c r="AT408" s="204"/>
      <c r="AU408" s="692"/>
      <c r="AV408" s="695"/>
      <c r="AW408" s="689"/>
      <c r="AX408" s="689"/>
      <c r="AY408" s="19"/>
      <c r="CB408" s="29" t="str">
        <f>IFERROR(IF(COUNTIF(AF403:AF412,"")=10,"",IF(COUNTIF(E403:E412,"N/A")&gt;0,IF(AF408&gt;=CMEMM1,AF408,0),"N/A")),"")</f>
        <v>N/A</v>
      </c>
      <c r="CC408" s="4"/>
      <c r="CD408" s="4">
        <f>IFERROR(IF(COUNTIF(AF403:AF412,"")=10,"",IF(AF408="","",IF(AF408&gt;=CMEMM1,1,0))),"")</f>
        <v>0</v>
      </c>
      <c r="CE408" s="4" t="str">
        <f>B403&amp;"-0"&amp;6</f>
        <v>P41-06</v>
      </c>
      <c r="CF408" s="4">
        <f>IFERROR(INDEX('DESEMPATE Y DISCAPACIDAD'!$D$3:$D$450,MATCH(CE408,'DESEMPATE Y DISCAPACIDAD'!$C$3:$C$450,0)),"")</f>
        <v>0</v>
      </c>
      <c r="CG408" s="4">
        <f>IF(OR(CE408="",CF408=""),"",SUMIF(D403:D412,CF408,CD403:CD412))</f>
        <v>0</v>
      </c>
      <c r="CH408" s="4" t="str">
        <f t="shared" si="323"/>
        <v>NO CUMPLE</v>
      </c>
      <c r="CI408" s="4">
        <f t="shared" si="371"/>
        <v>0</v>
      </c>
      <c r="CJ408" s="4"/>
      <c r="CK408" s="4"/>
      <c r="CL408" s="4">
        <f t="shared" si="354"/>
        <v>1</v>
      </c>
      <c r="CM408" s="4">
        <f t="shared" si="355"/>
        <v>0</v>
      </c>
      <c r="CN408" s="4" t="str">
        <f t="shared" si="372"/>
        <v>COND. A</v>
      </c>
      <c r="CO408" s="4"/>
      <c r="CP408" s="4"/>
      <c r="CQ408" s="29" t="str">
        <f t="shared" si="365"/>
        <v>N/A</v>
      </c>
      <c r="CR408" s="29">
        <f t="shared" si="366"/>
        <v>2765.2139999999995</v>
      </c>
      <c r="CS408" s="4"/>
    </row>
    <row r="409" spans="1:97" ht="2" customHeight="1">
      <c r="B409" s="481"/>
      <c r="C409" s="118"/>
      <c r="D409" s="126" t="str">
        <f>+IFERROR(INDEX('DESEMPATE Y DISCAPACIDAD'!$D$3:$D$450,MATCH(C409,'DESEMPATE Y DISCAPACIDAD'!$C$3:$C$450,0)),"")</f>
        <v/>
      </c>
      <c r="E409" s="127" t="str">
        <f>IFERROR(IF(D409="","",IF(VLOOKUP(D409,'DESEMPATE Y DISCAPACIDAD'!D$3:$E$450,2,FALSE)=1,"N/A",IF(VLOOKUP(D409,'DESEMPATE Y DISCAPACIDAD'!D$3:$F$450,3,FALSE)="X","SI","NO"))),"")</f>
        <v/>
      </c>
      <c r="F409" s="125"/>
      <c r="G409" s="125"/>
      <c r="H409" s="125"/>
      <c r="I409" s="128"/>
      <c r="J409" s="125"/>
      <c r="K409" s="125"/>
      <c r="L409" s="3"/>
      <c r="M409" s="125"/>
      <c r="N409" s="125" t="str">
        <f t="shared" si="367"/>
        <v/>
      </c>
      <c r="O409" s="125" t="str">
        <f t="shared" si="373"/>
        <v/>
      </c>
      <c r="P409" s="125" t="str">
        <f t="shared" si="368"/>
        <v/>
      </c>
      <c r="Q409" s="125" t="str">
        <f t="shared" si="356"/>
        <v/>
      </c>
      <c r="R409" s="68"/>
      <c r="S409" s="129"/>
      <c r="T409" s="129"/>
      <c r="U409" s="125" t="str">
        <f t="shared" si="369"/>
        <v/>
      </c>
      <c r="V409" s="117" t="str">
        <f>IF(U409=2023,1160000,IFERROR(INDEX(SMMLV!$B$2:$B$101,MATCH(U409,SMMLV!$A$2:$A$101,0)),""))</f>
        <v/>
      </c>
      <c r="W409" s="117"/>
      <c r="X409" s="125"/>
      <c r="Y409" s="125"/>
      <c r="Z409" s="474"/>
      <c r="AA409" s="475"/>
      <c r="AB409" s="476"/>
      <c r="AC409" s="125" t="str">
        <f t="shared" si="370"/>
        <v/>
      </c>
      <c r="AD409" s="117" t="str">
        <f t="shared" si="357"/>
        <v/>
      </c>
      <c r="AE409" s="117" t="str">
        <f t="shared" si="353"/>
        <v/>
      </c>
      <c r="AF409" s="117" t="str">
        <f t="shared" si="350"/>
        <v/>
      </c>
      <c r="AG409" s="470"/>
      <c r="AH409" s="470"/>
      <c r="AI409" s="125" t="str">
        <f t="shared" si="351"/>
        <v/>
      </c>
      <c r="AJ409" s="470"/>
      <c r="AK409" s="470"/>
      <c r="AL409" s="527"/>
      <c r="AM409" s="505"/>
      <c r="AN409" s="3"/>
      <c r="AO409" s="498"/>
      <c r="AP409" s="3"/>
      <c r="AQ409" s="498"/>
      <c r="AR409" s="600"/>
      <c r="AS409" s="587"/>
      <c r="AT409" s="204"/>
      <c r="AU409" s="692"/>
      <c r="AV409" s="695"/>
      <c r="AW409" s="689"/>
      <c r="AX409" s="689"/>
      <c r="AY409" s="19"/>
      <c r="CB409" s="29" t="str">
        <f>IFERROR(IF(COUNTIF(AF403:AF412,"")=10,"",IF(COUNTIF(E403:E412,"N/A")&gt;0,IF(AF409&gt;=CMEMM1,AF409,0),"N/A")),"")</f>
        <v>N/A</v>
      </c>
      <c r="CC409" s="4"/>
      <c r="CD409" s="4" t="str">
        <f>IFERROR(IF(COUNTIF(AF403:AF412,"")=10,"",IF(AF409="","",IF(AF409&gt;=CMEMM1,1,0))),"")</f>
        <v/>
      </c>
      <c r="CE409" s="4" t="str">
        <f>B403&amp;"-0"&amp;7</f>
        <v>P41-07</v>
      </c>
      <c r="CF409" s="4" t="str">
        <f>IFERROR(INDEX('DESEMPATE Y DISCAPACIDAD'!$D$3:$D$450,MATCH(CE409,'DESEMPATE Y DISCAPACIDAD'!$C$3:$C$450,0)),"")</f>
        <v/>
      </c>
      <c r="CG409" s="4" t="str">
        <f>IF(OR(CE409="",CF409=""),"",SUMIF(D403:D412,CF409,CD403:CD412))</f>
        <v/>
      </c>
      <c r="CH409" s="4" t="str">
        <f t="shared" si="323"/>
        <v/>
      </c>
      <c r="CI409" s="4" t="str">
        <f t="shared" si="371"/>
        <v/>
      </c>
      <c r="CJ409" s="4"/>
      <c r="CK409" s="4"/>
      <c r="CL409" s="4" t="str">
        <f t="shared" si="354"/>
        <v/>
      </c>
      <c r="CM409" s="4" t="str">
        <f t="shared" si="355"/>
        <v/>
      </c>
      <c r="CN409" s="4" t="str">
        <f t="shared" si="372"/>
        <v/>
      </c>
      <c r="CO409" s="4"/>
      <c r="CP409" s="4"/>
      <c r="CQ409" s="29" t="str">
        <f t="shared" si="365"/>
        <v/>
      </c>
      <c r="CR409" s="29" t="str">
        <f t="shared" si="366"/>
        <v/>
      </c>
      <c r="CS409" s="4"/>
    </row>
    <row r="410" spans="1:97" ht="2" customHeight="1">
      <c r="B410" s="481"/>
      <c r="C410" s="118"/>
      <c r="D410" s="126" t="str">
        <f>+IFERROR(INDEX('DESEMPATE Y DISCAPACIDAD'!$D$3:$D$450,MATCH(C410,'DESEMPATE Y DISCAPACIDAD'!$C$3:$C$450,0)),"")</f>
        <v/>
      </c>
      <c r="E410" s="127" t="str">
        <f>IFERROR(IF(D410="","",IF(VLOOKUP(D410,'DESEMPATE Y DISCAPACIDAD'!D$3:$E$450,2,FALSE)=1,"N/A",IF(VLOOKUP(D410,'DESEMPATE Y DISCAPACIDAD'!D$3:$F$450,3,FALSE)="X","SI","NO"))),"")</f>
        <v/>
      </c>
      <c r="F410" s="125"/>
      <c r="G410" s="125"/>
      <c r="H410" s="125"/>
      <c r="I410" s="128"/>
      <c r="J410" s="125"/>
      <c r="K410" s="125"/>
      <c r="L410" s="3"/>
      <c r="M410" s="125"/>
      <c r="N410" s="125" t="str">
        <f t="shared" si="367"/>
        <v/>
      </c>
      <c r="O410" s="125" t="str">
        <f t="shared" si="373"/>
        <v/>
      </c>
      <c r="P410" s="125" t="str">
        <f t="shared" si="368"/>
        <v/>
      </c>
      <c r="Q410" s="125" t="str">
        <f t="shared" si="356"/>
        <v/>
      </c>
      <c r="R410" s="68"/>
      <c r="S410" s="129"/>
      <c r="T410" s="129"/>
      <c r="U410" s="125" t="str">
        <f t="shared" si="369"/>
        <v/>
      </c>
      <c r="V410" s="117" t="str">
        <f>IF(U410=2023,1160000,IFERROR(INDEX(SMMLV!$B$2:$B$101,MATCH(U410,SMMLV!$A$2:$A$101,0)),""))</f>
        <v/>
      </c>
      <c r="W410" s="117"/>
      <c r="X410" s="125"/>
      <c r="Y410" s="125"/>
      <c r="Z410" s="474"/>
      <c r="AA410" s="475"/>
      <c r="AB410" s="476"/>
      <c r="AC410" s="125" t="str">
        <f t="shared" si="370"/>
        <v/>
      </c>
      <c r="AD410" s="117" t="str">
        <f t="shared" si="357"/>
        <v/>
      </c>
      <c r="AE410" s="117" t="str">
        <f t="shared" si="353"/>
        <v/>
      </c>
      <c r="AF410" s="117" t="str">
        <f t="shared" si="350"/>
        <v/>
      </c>
      <c r="AG410" s="470"/>
      <c r="AH410" s="470"/>
      <c r="AI410" s="125" t="str">
        <f t="shared" si="351"/>
        <v/>
      </c>
      <c r="AJ410" s="470"/>
      <c r="AK410" s="470"/>
      <c r="AL410" s="527"/>
      <c r="AM410" s="505"/>
      <c r="AN410" s="3"/>
      <c r="AO410" s="498"/>
      <c r="AP410" s="3"/>
      <c r="AQ410" s="498"/>
      <c r="AR410" s="600"/>
      <c r="AS410" s="587"/>
      <c r="AT410" s="204"/>
      <c r="AU410" s="692"/>
      <c r="AV410" s="695"/>
      <c r="AW410" s="689"/>
      <c r="AX410" s="689"/>
      <c r="AY410" s="19"/>
      <c r="CB410" s="29" t="str">
        <f>IFERROR(IF(COUNTIF(AF403:AF412,"")=10,"",IF(COUNTIF(E403:E412,"N/A")&gt;0,IF(AF410&gt;=CMEMM1,AF410,0),"N/A")),"")</f>
        <v>N/A</v>
      </c>
      <c r="CC410" s="4"/>
      <c r="CD410" s="4" t="str">
        <f>IFERROR(IF(COUNTIF(AF403:AF412,"")=10,"",IF(AF410="","",IF(AF410&gt;=CMEMM1,1,0))),"")</f>
        <v/>
      </c>
      <c r="CE410" s="4" t="str">
        <f>B403&amp;"-0"&amp;8</f>
        <v>P41-08</v>
      </c>
      <c r="CF410" s="4" t="str">
        <f>IFERROR(INDEX('DESEMPATE Y DISCAPACIDAD'!$D$3:$D$450,MATCH(CE410,'DESEMPATE Y DISCAPACIDAD'!$C$3:$C$450,0)),"")</f>
        <v/>
      </c>
      <c r="CG410" s="4" t="str">
        <f>IF(OR(CE410="",CF410=""),"",SUMIF(D403:D412,CF410,CD403:CD412))</f>
        <v/>
      </c>
      <c r="CH410" s="4" t="str">
        <f t="shared" si="323"/>
        <v/>
      </c>
      <c r="CI410" s="4" t="str">
        <f t="shared" si="371"/>
        <v/>
      </c>
      <c r="CJ410" s="4"/>
      <c r="CK410" s="4"/>
      <c r="CL410" s="4" t="str">
        <f t="shared" si="354"/>
        <v/>
      </c>
      <c r="CM410" s="4" t="str">
        <f t="shared" si="355"/>
        <v/>
      </c>
      <c r="CN410" s="4" t="str">
        <f t="shared" si="372"/>
        <v/>
      </c>
      <c r="CO410" s="4"/>
      <c r="CP410" s="4"/>
      <c r="CQ410" s="29" t="str">
        <f t="shared" si="365"/>
        <v/>
      </c>
      <c r="CR410" s="29" t="str">
        <f t="shared" si="366"/>
        <v/>
      </c>
      <c r="CS410" s="4"/>
    </row>
    <row r="411" spans="1:97" ht="2" customHeight="1">
      <c r="B411" s="481"/>
      <c r="C411" s="118"/>
      <c r="D411" s="126" t="str">
        <f>+IFERROR(INDEX('DESEMPATE Y DISCAPACIDAD'!$D$3:$D$450,MATCH(C411,'DESEMPATE Y DISCAPACIDAD'!$C$3:$C$450,0)),"")</f>
        <v/>
      </c>
      <c r="E411" s="127" t="str">
        <f>IFERROR(IF(D411="","",IF(VLOOKUP(D411,'DESEMPATE Y DISCAPACIDAD'!D$3:$E$450,2,FALSE)=1,"N/A",IF(VLOOKUP(D411,'DESEMPATE Y DISCAPACIDAD'!D$3:$F$450,3,FALSE)="X","SI","NO"))),"")</f>
        <v/>
      </c>
      <c r="F411" s="125"/>
      <c r="G411" s="125"/>
      <c r="H411" s="125"/>
      <c r="I411" s="128"/>
      <c r="J411" s="125"/>
      <c r="K411" s="125"/>
      <c r="L411" s="3"/>
      <c r="M411" s="125"/>
      <c r="N411" s="125" t="str">
        <f t="shared" si="367"/>
        <v/>
      </c>
      <c r="O411" s="125" t="str">
        <f t="shared" si="373"/>
        <v/>
      </c>
      <c r="P411" s="125" t="str">
        <f t="shared" si="368"/>
        <v/>
      </c>
      <c r="Q411" s="125" t="str">
        <f t="shared" si="356"/>
        <v/>
      </c>
      <c r="R411" s="68"/>
      <c r="S411" s="129"/>
      <c r="T411" s="129"/>
      <c r="U411" s="125" t="str">
        <f t="shared" si="369"/>
        <v/>
      </c>
      <c r="V411" s="117" t="str">
        <f>IF(U411=2023,1160000,IFERROR(INDEX(SMMLV!$B$2:$B$101,MATCH(U411,SMMLV!$A$2:$A$101,0)),""))</f>
        <v/>
      </c>
      <c r="W411" s="117"/>
      <c r="X411" s="125"/>
      <c r="Y411" s="125"/>
      <c r="Z411" s="474"/>
      <c r="AA411" s="475"/>
      <c r="AB411" s="476"/>
      <c r="AC411" s="125" t="str">
        <f t="shared" si="370"/>
        <v/>
      </c>
      <c r="AD411" s="117" t="str">
        <f t="shared" si="357"/>
        <v/>
      </c>
      <c r="AE411" s="117" t="str">
        <f t="shared" si="353"/>
        <v/>
      </c>
      <c r="AF411" s="117" t="str">
        <f t="shared" si="350"/>
        <v/>
      </c>
      <c r="AG411" s="470"/>
      <c r="AH411" s="470"/>
      <c r="AI411" s="125" t="str">
        <f t="shared" si="351"/>
        <v/>
      </c>
      <c r="AJ411" s="470"/>
      <c r="AK411" s="470"/>
      <c r="AL411" s="527"/>
      <c r="AM411" s="505"/>
      <c r="AN411" s="3"/>
      <c r="AO411" s="498"/>
      <c r="AP411" s="3"/>
      <c r="AQ411" s="498"/>
      <c r="AR411" s="600"/>
      <c r="AS411" s="587"/>
      <c r="AT411" s="204"/>
      <c r="AU411" s="692"/>
      <c r="AV411" s="695"/>
      <c r="AW411" s="689"/>
      <c r="AX411" s="689"/>
      <c r="AY411" s="19"/>
      <c r="CB411" s="29" t="str">
        <f>IFERROR(IF(COUNTIF(AF403:AF412,"")=10,"",IF(COUNTIF(E403:E412,"N/A")&gt;0,IF(AF411&gt;=CMEMM1,AF411,0),"N/A")),"")</f>
        <v>N/A</v>
      </c>
      <c r="CC411" s="4"/>
      <c r="CD411" s="4" t="str">
        <f>IFERROR(IF(COUNTIF(AF403:AF412,"")=10,"",IF(AF411="","",IF(AF411&gt;=CMEMM1,1,0))),"")</f>
        <v/>
      </c>
      <c r="CE411" s="4" t="str">
        <f>B403&amp;"-0"&amp;9</f>
        <v>P41-09</v>
      </c>
      <c r="CF411" s="4" t="str">
        <f>IFERROR(INDEX('DESEMPATE Y DISCAPACIDAD'!$D$3:$D$450,MATCH(CE411,'DESEMPATE Y DISCAPACIDAD'!$C$3:$C$450,0)),"")</f>
        <v/>
      </c>
      <c r="CG411" s="4" t="str">
        <f>IF(OR(CE411="",CF411=""),"",SUMIF(D403:D412,CF411,CD403:CD412))</f>
        <v/>
      </c>
      <c r="CH411" s="4" t="str">
        <f t="shared" si="323"/>
        <v/>
      </c>
      <c r="CI411" s="4" t="str">
        <f t="shared" si="371"/>
        <v/>
      </c>
      <c r="CJ411" s="4"/>
      <c r="CK411" s="4"/>
      <c r="CL411" s="4" t="str">
        <f t="shared" si="354"/>
        <v/>
      </c>
      <c r="CM411" s="4" t="str">
        <f t="shared" si="355"/>
        <v/>
      </c>
      <c r="CN411" s="4" t="str">
        <f t="shared" si="372"/>
        <v/>
      </c>
      <c r="CO411" s="4"/>
      <c r="CP411" s="4"/>
      <c r="CQ411" s="29" t="str">
        <f t="shared" si="365"/>
        <v/>
      </c>
      <c r="CR411" s="29" t="str">
        <f t="shared" si="366"/>
        <v/>
      </c>
      <c r="CS411" s="4"/>
    </row>
    <row r="412" spans="1:97" ht="2" customHeight="1" thickBot="1">
      <c r="B412" s="482"/>
      <c r="C412" s="130"/>
      <c r="D412" s="131" t="str">
        <f>+IFERROR(INDEX('DESEMPATE Y DISCAPACIDAD'!$D$3:$D$450,MATCH(C412,'DESEMPATE Y DISCAPACIDAD'!$C$3:$C$450,0)),"")</f>
        <v/>
      </c>
      <c r="E412" s="132" t="str">
        <f>IFERROR(IF(D412="","",IF(VLOOKUP(D412,'DESEMPATE Y DISCAPACIDAD'!D$3:$E$450,2,FALSE)=1,"N/A",IF(VLOOKUP(D412,'DESEMPATE Y DISCAPACIDAD'!D$3:$F$450,3,FALSE)="X","SI","NO"))),"")</f>
        <v/>
      </c>
      <c r="F412" s="133"/>
      <c r="G412" s="133"/>
      <c r="H412" s="133"/>
      <c r="I412" s="134"/>
      <c r="J412" s="133"/>
      <c r="K412" s="133"/>
      <c r="L412" s="5"/>
      <c r="M412" s="133"/>
      <c r="N412" s="133" t="str">
        <f t="shared" si="367"/>
        <v/>
      </c>
      <c r="O412" s="133" t="str">
        <f t="shared" si="373"/>
        <v/>
      </c>
      <c r="P412" s="133" t="str">
        <f t="shared" si="368"/>
        <v/>
      </c>
      <c r="Q412" s="133" t="str">
        <f t="shared" si="356"/>
        <v/>
      </c>
      <c r="R412" s="104"/>
      <c r="S412" s="135"/>
      <c r="T412" s="135"/>
      <c r="U412" s="133" t="str">
        <f t="shared" si="369"/>
        <v/>
      </c>
      <c r="V412" s="136" t="str">
        <f>IF(U412=2023,1160000,IFERROR(INDEX(SMMLV!$B$2:$B$101,MATCH(U412,SMMLV!$A$2:$A$101,0)),""))</f>
        <v/>
      </c>
      <c r="W412" s="136"/>
      <c r="X412" s="133"/>
      <c r="Y412" s="133"/>
      <c r="Z412" s="487"/>
      <c r="AA412" s="488"/>
      <c r="AB412" s="489"/>
      <c r="AC412" s="133" t="str">
        <f t="shared" si="370"/>
        <v/>
      </c>
      <c r="AD412" s="136" t="str">
        <f t="shared" si="357"/>
        <v/>
      </c>
      <c r="AE412" s="117" t="str">
        <f t="shared" si="353"/>
        <v/>
      </c>
      <c r="AF412" s="136" t="str">
        <f t="shared" si="350"/>
        <v/>
      </c>
      <c r="AG412" s="471"/>
      <c r="AH412" s="471"/>
      <c r="AI412" s="133" t="str">
        <f t="shared" si="351"/>
        <v/>
      </c>
      <c r="AJ412" s="471"/>
      <c r="AK412" s="471"/>
      <c r="AL412" s="528"/>
      <c r="AM412" s="506"/>
      <c r="AN412" s="5"/>
      <c r="AO412" s="499"/>
      <c r="AP412" s="5"/>
      <c r="AQ412" s="499"/>
      <c r="AR412" s="601"/>
      <c r="AS412" s="588"/>
      <c r="AT412" s="206"/>
      <c r="AU412" s="693"/>
      <c r="AV412" s="696"/>
      <c r="AW412" s="690"/>
      <c r="AX412" s="690"/>
      <c r="AY412" s="19"/>
      <c r="CB412" s="29" t="str">
        <f>IFERROR(IF(COUNTIF(AF403:AF412,"")=10,"",IF(COUNTIF(E403:E412,"N/A")&gt;0,IF(AF412&gt;=CMEMM1,AF412,0),"N/A")),"")</f>
        <v>N/A</v>
      </c>
      <c r="CC412" s="4"/>
      <c r="CD412" s="4" t="str">
        <f>IFERROR(IF(COUNTIF(AF403:AF412,"")=10,"",IF(AF412="","",IF(AF412&gt;=CMEMM1,1,0))),"")</f>
        <v/>
      </c>
      <c r="CE412" s="4" t="str">
        <f>B403&amp;"-"&amp;10</f>
        <v>P41-10</v>
      </c>
      <c r="CF412" s="4" t="str">
        <f>IFERROR(INDEX('DESEMPATE Y DISCAPACIDAD'!$D$3:$D$450,MATCH(CE412,'DESEMPATE Y DISCAPACIDAD'!$C$3:$C$450,0)),"")</f>
        <v/>
      </c>
      <c r="CG412" s="4" t="str">
        <f>IF(OR(CE412="",CF412=""),"",SUMIF(D403:D412,CF412,CD403:CD412))</f>
        <v/>
      </c>
      <c r="CH412" s="4" t="str">
        <f t="shared" si="323"/>
        <v/>
      </c>
      <c r="CI412" s="4" t="str">
        <f t="shared" si="371"/>
        <v/>
      </c>
      <c r="CJ412" s="4"/>
      <c r="CK412" s="4"/>
      <c r="CL412" s="4" t="str">
        <f t="shared" si="354"/>
        <v/>
      </c>
      <c r="CM412" s="4" t="str">
        <f t="shared" si="355"/>
        <v/>
      </c>
      <c r="CN412" s="4" t="str">
        <f t="shared" si="372"/>
        <v/>
      </c>
      <c r="CO412" s="4"/>
      <c r="CP412" s="4"/>
      <c r="CQ412" s="29" t="str">
        <f t="shared" si="365"/>
        <v/>
      </c>
      <c r="CR412" s="29" t="str">
        <f t="shared" si="366"/>
        <v/>
      </c>
      <c r="CS412" s="4"/>
    </row>
    <row r="413" spans="1:97" ht="34.25" hidden="1" customHeight="1">
      <c r="A413" s="4" t="str">
        <f>"A"&amp;B413</f>
        <v>AP42</v>
      </c>
      <c r="B413" s="480" t="s">
        <v>303</v>
      </c>
      <c r="C413" s="108"/>
      <c r="D413" s="119" t="str">
        <f>+IFERROR(INDEX('DESEMPATE Y DISCAPACIDAD'!$D$3:$D$450,MATCH(C413,'DESEMPATE Y DISCAPACIDAD'!$C$3:$C$450,0)),"")</f>
        <v/>
      </c>
      <c r="E413" s="120" t="str">
        <f>IFERROR(IF(D413="","",IF(VLOOKUP(D413,'DESEMPATE Y DISCAPACIDAD'!D$3:$E$450,2,FALSE)=1,"N/A",IF(VLOOKUP(D413,'DESEMPATE Y DISCAPACIDAD'!D$3:$F$450,3,FALSE)="X","SI","NO"))),"")</f>
        <v/>
      </c>
      <c r="F413" s="125"/>
      <c r="G413" s="125"/>
      <c r="H413" s="121"/>
      <c r="I413" s="122"/>
      <c r="J413" s="121"/>
      <c r="K413" s="121"/>
      <c r="L413" s="179"/>
      <c r="M413" s="121"/>
      <c r="N413" s="121" t="str">
        <f>IFERROR(IF(OR(J413="",K413=""),"",IF(J413="NO","NO",K413)),"")</f>
        <v/>
      </c>
      <c r="O413" s="121" t="str">
        <f>IFERROR(IF(OR(J413="",L413=""),"",IF(J413="NO","NO",L413)),"")</f>
        <v/>
      </c>
      <c r="P413" s="121" t="str">
        <f>IFERROR(IF(OR(J413="",M413=""),"",IF(J413="NO","NO",M413)),"")</f>
        <v/>
      </c>
      <c r="Q413" s="121" t="str">
        <f t="shared" si="356"/>
        <v/>
      </c>
      <c r="R413" s="103"/>
      <c r="S413" s="123"/>
      <c r="T413" s="123"/>
      <c r="U413" s="121" t="str">
        <f>IFERROR(IF(T413="","",YEAR(T413)),"")</f>
        <v/>
      </c>
      <c r="V413" s="124" t="str">
        <f>IF(U413=2023,1160000,IFERROR(INDEX(SMMLV!$B$2:$B$101,MATCH(U413,SMMLV!$A$2:$A$101,0)),""))</f>
        <v/>
      </c>
      <c r="W413" s="124"/>
      <c r="X413" s="121"/>
      <c r="Y413" s="121"/>
      <c r="Z413" s="483"/>
      <c r="AA413" s="484"/>
      <c r="AB413" s="485"/>
      <c r="AC413" s="121" t="str">
        <f>IFERROR(IF(Y413="","",IF(ISNUMBER(Y413),IF(COUNTIF(Z413,"SI")&gt;0,"SI","NO"),Y413)),"")</f>
        <v/>
      </c>
      <c r="AD413" s="124" t="str">
        <f t="shared" si="357"/>
        <v/>
      </c>
      <c r="AE413" s="117" t="str">
        <f t="shared" si="353"/>
        <v/>
      </c>
      <c r="AF413" s="124" t="str">
        <f t="shared" si="350"/>
        <v/>
      </c>
      <c r="AG413" s="486" t="str">
        <f>IFERROR(IF(COUNTIF(AF413:AF422,"")=10,"",IF(COUNTIF(E413:E422,"N/A")&gt;0,IF(SUM(CB413:CB422)&gt;=CMEM1,"CUMPLE","NO CUMPLE"),IF(SUM(AF413:AF422)&gt;=CMEM1,"CUMPLE","NO CUMPLE"))),"")</f>
        <v/>
      </c>
      <c r="AH413" s="486" t="str">
        <f>IF(COUNTIF(AF413:AF422,"")=10,"",IF(SUMIF(C413:C422,C413,AF413:AF422)&gt;=CMLM1,"CUMPLE",IF(SUMIF(C413:C422,C414,AF413:AF422)&gt;=CMLM1,"CUMPLE",IF(SUMIF(C413:C422,C415,AF413:AF422)&gt;=CMLM1,"CUMPLE",IF(SUMIF(C413:C422,C416,AF413:AF422)&gt;=CMLM1,"CUMPLE",IF(SUMIF(C413:C422,C417,AF413:AF422)&gt;=CMLM1,"CUMPLE",IF(SUMIF(C413:C422,C418,AF413:AF422)&gt;=CMLM1,"CUMPLE",IF(SUMIF(C413:C422,C419,AF413:AF422)&gt;=CMLM1,"CUMPLE",IF(SUMIF(C413:C422,C420,AF413:AF422)&gt;=CMLM1,"CUMPLE",IF(SUMIF(C413:C422,C421,AF413:AF422)&gt;=CMLM1,"CUMPLE",IF(SUMIF(C413:C422,C422,AF413:AF422)&gt;=CMLM1,"CUMPLE","NO CUMPLE")))))))))))</f>
        <v/>
      </c>
      <c r="AI413" s="121" t="str">
        <f t="shared" si="351"/>
        <v/>
      </c>
      <c r="AJ413" s="469" t="str">
        <f>IFERROR(IF(COUNTIF(AF413:AF422,"")=10,"",IF(COUNTIF(E413:E422,"N/A")&gt;0,"N/A",CJ413)),"")</f>
        <v/>
      </c>
      <c r="AK413" s="469" t="str">
        <f>IFERROR(IF(AND(COUNTIF(N413:N422,"SI")&gt;=1,COUNTIF(O413:O422,"SI")&gt;=1,COUNTIF(P413:P422,"SI")&gt;=1,COUNTIF(J413:J422,"SI")&lt;=10,CO413="CUMPLE"),"CUMPLE","NO CUMPLE"),"")</f>
        <v>NO CUMPLE</v>
      </c>
      <c r="AL413" s="472"/>
      <c r="AM413" s="495">
        <f>IFERROR(IF(B413&lt;&gt;"",IF(VLOOKUP(B413,'DESEMPATE Y DISCAPACIDAD'!$A$3:$Q$450,10,FALSE)="","",VLOOKUP(B413,'DESEMPATE Y DISCAPACIDAD'!$A$3:$Q$450,10,FALSE)+6),""),"")</f>
        <v>6</v>
      </c>
      <c r="AN413" s="121"/>
      <c r="AO413" s="490"/>
      <c r="AP413" s="121"/>
      <c r="AQ413" s="490" t="str">
        <f>IFERROR(IF(COUNTIF(AP413:AP422,"")=10,"",IF(AO413="NO",0,COUNTIF(AP413:AP422,"SI"))),"")</f>
        <v/>
      </c>
      <c r="AR413" s="521" t="str">
        <f>IFERROR(IF(COUNTIF(AF413:AF422,"")=10,"",IF(AO413="NO",0,IF(COUNTIF(E413:E422,"N/A")&gt;0,SUM(CQ413:CQ422),SUM(CR413:CR422)))),"")</f>
        <v/>
      </c>
      <c r="AS413" s="518" t="str">
        <f>IFERROR(IF(OR(COUNTIF(AF413:AF422,"")=10,AQ413="",AR413=""),"",IF(AO413="NO",0,AR413/AQ413)),"")</f>
        <v/>
      </c>
      <c r="AT413" s="207"/>
      <c r="AU413" s="698"/>
      <c r="AV413" s="701"/>
      <c r="AW413" s="704"/>
      <c r="AX413" s="704"/>
      <c r="AY413" s="19"/>
      <c r="CB413" s="29" t="str">
        <f>IFERROR(IF(COUNTIF(AF413:AF422,"")=10,"",IF(COUNTIF(E413:E422,"N/A")&gt;0,IF(AF413&gt;=CMEMM1,AF413,0),"N/A")),"")</f>
        <v/>
      </c>
      <c r="CC413" s="4"/>
      <c r="CD413" s="4" t="str">
        <f>IFERROR(IF(COUNTIF(AF413:AF422,"")=10,"",IF(AF413="","",IF(AF413&gt;=CMEMM1,1,0))),"")</f>
        <v/>
      </c>
      <c r="CE413" s="4" t="str">
        <f>B413&amp;"-0"&amp;1</f>
        <v>P42-01</v>
      </c>
      <c r="CF413" s="4">
        <f>IFERROR(INDEX('DESEMPATE Y DISCAPACIDAD'!$D$3:$D$450,MATCH(CE413,'DESEMPATE Y DISCAPACIDAD'!$C$3:$C$450,0)),"")</f>
        <v>0</v>
      </c>
      <c r="CG413" s="4">
        <f>IF(OR(CE413="",CF413=""),"",SUMIF(D413:D422,CF413,CD413:CD422))</f>
        <v>0</v>
      </c>
      <c r="CH413" s="4" t="str">
        <f t="shared" si="323"/>
        <v>NO CUMPLE</v>
      </c>
      <c r="CI413" s="4">
        <f>IF(CF413="","",IF(ISTEXT(CF413),1,0))</f>
        <v>0</v>
      </c>
      <c r="CJ413" s="4" t="str">
        <f>IF(OR(CD413="",CE413="",CF413="",CG413="",CH413="",CI413=""),"",IF(COUNTIF(CH413:CH422,"CUMPLE")=COUNTIF(CI413:CI422,1),"CUMPLE","NO CUMPLE"))</f>
        <v/>
      </c>
      <c r="CK413" s="4"/>
      <c r="CL413" s="4" t="str">
        <f t="shared" si="354"/>
        <v/>
      </c>
      <c r="CM413" s="4" t="str">
        <f t="shared" si="355"/>
        <v/>
      </c>
      <c r="CN413" s="4" t="str">
        <f>IF(OR(CL413="",CM413=""),"",IF(AND(CL413=0,CM413=0),"N/A",IF(AND(CL413=1,CM413=0),"COND. A",IF(AND(CL413=0,CM413=1),"COND. B",IF(AND(CL413=1,CM413=1),"COND. A Y B","")))))</f>
        <v/>
      </c>
      <c r="CO413" s="4" t="str">
        <f>IF(COUNTIF(CN413:CN422,"N/A")=10,"NO CUMPLE",IF(COUNTIF(CN413:CN422,"COND. A Y B")&gt;1,"CUMPLE",IF(AND(COUNTIF(CN413:CN422,"COND. A")&gt;0,COUNTIF(CN413:CN422,"COND. B")&gt;0),"CUMPLE",IF(AND(COUNTIF(CN413:CN422,"COND. A Y B")&gt;0,COUNTIF(CN413:CN422,"COND. A")&gt;0),"CUMPLE",IF(AND(COUNTIF(CN413:CN422,"COND. A Y B")&gt;0,COUNTIF(CN413:CN422,"COND. B")&gt;0),"CUMPLE","NO CUMPLE")))))</f>
        <v>NO CUMPLE</v>
      </c>
      <c r="CP413" s="4"/>
      <c r="CQ413" s="29" t="str">
        <f t="shared" si="365"/>
        <v/>
      </c>
      <c r="CR413" s="29" t="str">
        <f t="shared" si="366"/>
        <v/>
      </c>
      <c r="CS413" s="4"/>
    </row>
    <row r="414" spans="1:97" ht="34.25" hidden="1" customHeight="1">
      <c r="B414" s="481"/>
      <c r="C414" s="118"/>
      <c r="D414" s="119" t="str">
        <f>+IFERROR(INDEX('DESEMPATE Y DISCAPACIDAD'!$D$3:$D$450,MATCH(C414,'DESEMPATE Y DISCAPACIDAD'!$C$3:$C$450,0)),"")</f>
        <v/>
      </c>
      <c r="E414" s="120" t="str">
        <f>IFERROR(IF(D414="","",IF(VLOOKUP(D414,'DESEMPATE Y DISCAPACIDAD'!D$3:$E$450,2,FALSE)=1,"N/A",IF(VLOOKUP(D414,'DESEMPATE Y DISCAPACIDAD'!D$3:$F$450,3,FALSE)="X","SI","NO"))),"")</f>
        <v/>
      </c>
      <c r="F414" s="125"/>
      <c r="G414" s="125"/>
      <c r="H414" s="121"/>
      <c r="I414" s="122"/>
      <c r="J414" s="179"/>
      <c r="K414" s="179"/>
      <c r="L414" s="179"/>
      <c r="M414" s="179"/>
      <c r="N414" s="121" t="str">
        <f t="shared" ref="N414:N422" si="374">IFERROR(IF(OR(J414="",K414=""),"",IF(J414="NO","NO",K414)),"")</f>
        <v/>
      </c>
      <c r="O414" s="121" t="str">
        <f>IFERROR(IF(OR(J414="",L414=""),"",IF(J414="NO","NO",L414)),"")</f>
        <v/>
      </c>
      <c r="P414" s="121" t="str">
        <f t="shared" ref="P414:P422" si="375">IFERROR(IF(OR(J414="",M414=""),"",IF(J414="NO","NO",M414)),"")</f>
        <v/>
      </c>
      <c r="Q414" s="121" t="str">
        <f t="shared" si="356"/>
        <v/>
      </c>
      <c r="R414" s="103"/>
      <c r="S414" s="123"/>
      <c r="T414" s="123"/>
      <c r="U414" s="121" t="str">
        <f t="shared" ref="U414:U422" si="376">IFERROR(IF(T414="","",YEAR(T414)),"")</f>
        <v/>
      </c>
      <c r="V414" s="124" t="str">
        <f>IF(U414=2023,1160000,IFERROR(INDEX(SMMLV!$B$2:$B$101,MATCH(U414,SMMLV!$A$2:$A$101,0)),""))</f>
        <v/>
      </c>
      <c r="W414" s="124"/>
      <c r="X414" s="125"/>
      <c r="Y414" s="125"/>
      <c r="Z414" s="477"/>
      <c r="AA414" s="478"/>
      <c r="AB414" s="479"/>
      <c r="AC414" s="125" t="str">
        <f t="shared" ref="AC414:AC422" si="377">IFERROR(IF(Y414="","",IF(ISNUMBER(Y414),IF(COUNTIF(Z414,"SI")&gt;0,"SI","NO"),Y414)),"")</f>
        <v/>
      </c>
      <c r="AD414" s="117" t="str">
        <f t="shared" si="357"/>
        <v/>
      </c>
      <c r="AE414" s="117" t="str">
        <f t="shared" si="353"/>
        <v/>
      </c>
      <c r="AF414" s="117" t="str">
        <f t="shared" si="350"/>
        <v/>
      </c>
      <c r="AG414" s="470"/>
      <c r="AH414" s="470"/>
      <c r="AI414" s="125" t="str">
        <f t="shared" si="351"/>
        <v/>
      </c>
      <c r="AJ414" s="470"/>
      <c r="AK414" s="470"/>
      <c r="AL414" s="472"/>
      <c r="AM414" s="496"/>
      <c r="AN414" s="3"/>
      <c r="AO414" s="490"/>
      <c r="AP414" s="3"/>
      <c r="AQ414" s="490"/>
      <c r="AR414" s="522"/>
      <c r="AS414" s="519"/>
      <c r="AT414" s="204"/>
      <c r="AU414" s="699"/>
      <c r="AV414" s="702"/>
      <c r="AW414" s="705"/>
      <c r="AX414" s="705"/>
      <c r="AY414" s="19"/>
      <c r="CB414" s="29" t="str">
        <f>IFERROR(IF(COUNTIF(AF413:AF422,"")=10,"",IF(COUNTIF(E413:E422,"N/A")&gt;0,IF(AF414&gt;=CMEMM1,AF414,0),"N/A")),"")</f>
        <v/>
      </c>
      <c r="CC414" s="4"/>
      <c r="CD414" s="4" t="str">
        <f>IFERROR(IF(COUNTIF(AF413:AF422,"")=10,"",IF(AF414="","",IF(AF414&gt;=CMEMM1,1,0))),"")</f>
        <v/>
      </c>
      <c r="CE414" s="4" t="str">
        <f>B413&amp;"-0"&amp;2</f>
        <v>P42-02</v>
      </c>
      <c r="CF414" s="4">
        <f>IFERROR(INDEX('DESEMPATE Y DISCAPACIDAD'!$D$3:$D$450,MATCH(CE414,'DESEMPATE Y DISCAPACIDAD'!$C$3:$C$450,0)),"")</f>
        <v>0</v>
      </c>
      <c r="CG414" s="4">
        <f>IF(OR(CE414="",CF414=""),"",SUMIF(D413:D422,CF414,CD413:CD422))</f>
        <v>0</v>
      </c>
      <c r="CH414" s="4" t="str">
        <f t="shared" si="323"/>
        <v>NO CUMPLE</v>
      </c>
      <c r="CI414" s="4">
        <f t="shared" ref="CI414:CI422" si="378">IF(CF414="","",IF(ISTEXT(CF414),1,0))</f>
        <v>0</v>
      </c>
      <c r="CJ414" s="4"/>
      <c r="CK414" s="4"/>
      <c r="CL414" s="4" t="str">
        <f t="shared" si="354"/>
        <v/>
      </c>
      <c r="CM414" s="4" t="str">
        <f t="shared" si="355"/>
        <v/>
      </c>
      <c r="CN414" s="4" t="str">
        <f t="shared" ref="CN414:CN422" si="379">IF(OR(CL414="",CM414=""),"",IF(AND(CL414=0,CM414=0),"N/A",IF(AND(CL414=1,CM414=0),"COND. A",IF(AND(CL414=0,CM414=1),"COND. B",IF(AND(CL414=1,CM414=1),"COND. A Y B","")))))</f>
        <v/>
      </c>
      <c r="CO414" s="4"/>
      <c r="CP414" s="4"/>
      <c r="CQ414" s="29" t="str">
        <f t="shared" si="365"/>
        <v/>
      </c>
      <c r="CR414" s="29" t="str">
        <f t="shared" si="366"/>
        <v/>
      </c>
      <c r="CS414" s="4"/>
    </row>
    <row r="415" spans="1:97" ht="34.25" hidden="1" customHeight="1">
      <c r="B415" s="481"/>
      <c r="C415" s="118"/>
      <c r="D415" s="126" t="str">
        <f>+IFERROR(INDEX('DESEMPATE Y DISCAPACIDAD'!$D$3:$D$450,MATCH(C415,'DESEMPATE Y DISCAPACIDAD'!$C$3:$C$450,0)),"")</f>
        <v/>
      </c>
      <c r="E415" s="127" t="str">
        <f>IFERROR(IF(D415="","",IF(VLOOKUP(D415,'DESEMPATE Y DISCAPACIDAD'!D$3:$E$450,2,FALSE)=1,"N/A",IF(VLOOKUP(D415,'DESEMPATE Y DISCAPACIDAD'!D$3:$F$450,3,FALSE)="X","SI","NO"))),"")</f>
        <v/>
      </c>
      <c r="F415" s="121"/>
      <c r="G415" s="121"/>
      <c r="H415" s="125"/>
      <c r="I415" s="128"/>
      <c r="J415" s="3"/>
      <c r="K415" s="125"/>
      <c r="L415" s="3"/>
      <c r="M415" s="125"/>
      <c r="N415" s="125" t="str">
        <f t="shared" si="374"/>
        <v/>
      </c>
      <c r="O415" s="125" t="str">
        <f>IFERROR(IF(OR(J415="",L415=""),"",IF(J415="NO","NO",L415)),"")</f>
        <v/>
      </c>
      <c r="P415" s="125" t="str">
        <f t="shared" si="375"/>
        <v/>
      </c>
      <c r="Q415" s="125" t="str">
        <f t="shared" si="356"/>
        <v/>
      </c>
      <c r="R415" s="68"/>
      <c r="S415" s="129"/>
      <c r="T415" s="129"/>
      <c r="U415" s="125" t="str">
        <f t="shared" si="376"/>
        <v/>
      </c>
      <c r="V415" s="117" t="str">
        <f>IF(U415=2023,1160000,IFERROR(INDEX(SMMLV!$B$2:$B$101,MATCH(U415,SMMLV!$A$2:$A$101,0)),""))</f>
        <v/>
      </c>
      <c r="W415" s="117"/>
      <c r="X415" s="125"/>
      <c r="Y415" s="125"/>
      <c r="Z415" s="474"/>
      <c r="AA415" s="475"/>
      <c r="AB415" s="476"/>
      <c r="AC415" s="125" t="str">
        <f t="shared" si="377"/>
        <v/>
      </c>
      <c r="AD415" s="117" t="str">
        <f t="shared" si="357"/>
        <v/>
      </c>
      <c r="AE415" s="117" t="str">
        <f t="shared" si="353"/>
        <v/>
      </c>
      <c r="AF415" s="117" t="str">
        <f t="shared" si="350"/>
        <v/>
      </c>
      <c r="AG415" s="470"/>
      <c r="AH415" s="470"/>
      <c r="AI415" s="125" t="str">
        <f t="shared" si="351"/>
        <v/>
      </c>
      <c r="AJ415" s="470"/>
      <c r="AK415" s="470"/>
      <c r="AL415" s="472"/>
      <c r="AM415" s="496"/>
      <c r="AN415" s="125"/>
      <c r="AO415" s="490"/>
      <c r="AP415" s="125"/>
      <c r="AQ415" s="490"/>
      <c r="AR415" s="522"/>
      <c r="AS415" s="519"/>
      <c r="AT415" s="204"/>
      <c r="AU415" s="699"/>
      <c r="AV415" s="702"/>
      <c r="AW415" s="705"/>
      <c r="AX415" s="705"/>
      <c r="AY415" s="19"/>
      <c r="CB415" s="29" t="str">
        <f>IFERROR(IF(COUNTIF(AF413:AF422,"")=10,"",IF(COUNTIF(E413:E422,"N/A")&gt;0,IF(AF415&gt;=CMEMM1,AF415,0),"N/A")),"")</f>
        <v/>
      </c>
      <c r="CC415" s="4"/>
      <c r="CD415" s="4" t="str">
        <f>IFERROR(IF(COUNTIF(AF413:AF422,"")=10,"",IF(AF415="","",IF(AF415&gt;=CMEMM1,1,0))),"")</f>
        <v/>
      </c>
      <c r="CE415" s="4" t="str">
        <f>B413&amp;"-0"&amp;3</f>
        <v>P42-03</v>
      </c>
      <c r="CF415" s="4">
        <f>IFERROR(INDEX('DESEMPATE Y DISCAPACIDAD'!$D$3:$D$450,MATCH(CE415,'DESEMPATE Y DISCAPACIDAD'!$C$3:$C$450,0)),"")</f>
        <v>0</v>
      </c>
      <c r="CG415" s="4">
        <f>IF(OR(CE415="",CF415=""),"",SUMIF(D413:D422,CF415,CD413:CD422))</f>
        <v>0</v>
      </c>
      <c r="CH415" s="4" t="str">
        <f t="shared" si="323"/>
        <v>NO CUMPLE</v>
      </c>
      <c r="CI415" s="4">
        <f t="shared" si="378"/>
        <v>0</v>
      </c>
      <c r="CJ415" s="4"/>
      <c r="CK415" s="4"/>
      <c r="CL415" s="4" t="str">
        <f t="shared" si="354"/>
        <v/>
      </c>
      <c r="CM415" s="4" t="str">
        <f t="shared" si="355"/>
        <v/>
      </c>
      <c r="CN415" s="4" t="str">
        <f t="shared" si="379"/>
        <v/>
      </c>
      <c r="CO415" s="4"/>
      <c r="CP415" s="4"/>
      <c r="CQ415" s="29" t="str">
        <f t="shared" si="365"/>
        <v/>
      </c>
      <c r="CR415" s="29" t="str">
        <f t="shared" si="366"/>
        <v/>
      </c>
      <c r="CS415" s="4"/>
    </row>
    <row r="416" spans="1:97" ht="34.25" hidden="1" customHeight="1">
      <c r="B416" s="481"/>
      <c r="C416" s="118"/>
      <c r="D416" s="126" t="str">
        <f>+IFERROR(INDEX('DESEMPATE Y DISCAPACIDAD'!$D$3:$D$450,MATCH(C416,'DESEMPATE Y DISCAPACIDAD'!$C$3:$C$450,0)),"")</f>
        <v/>
      </c>
      <c r="E416" s="127" t="str">
        <f>IFERROR(IF(D416="","",IF(VLOOKUP(D416,'DESEMPATE Y DISCAPACIDAD'!D$3:$E$450,2,FALSE)=1,"N/A",IF(VLOOKUP(D416,'DESEMPATE Y DISCAPACIDAD'!D$3:$F$450,3,FALSE)="X","SI","NO"))),"")</f>
        <v/>
      </c>
      <c r="F416" s="141"/>
      <c r="G416" s="125"/>
      <c r="H416" s="125"/>
      <c r="I416" s="128"/>
      <c r="J416" s="3"/>
      <c r="K416" s="3"/>
      <c r="L416" s="3"/>
      <c r="M416" s="3"/>
      <c r="N416" s="125" t="str">
        <f t="shared" si="374"/>
        <v/>
      </c>
      <c r="O416" s="125" t="str">
        <f>IFERROR(IF(OR(J416="",L416=""),"",IF(J416="NO","NO",L416)),"")</f>
        <v/>
      </c>
      <c r="P416" s="125" t="str">
        <f t="shared" si="375"/>
        <v/>
      </c>
      <c r="Q416" s="125" t="str">
        <f t="shared" si="356"/>
        <v/>
      </c>
      <c r="R416" s="68"/>
      <c r="S416" s="129"/>
      <c r="T416" s="129"/>
      <c r="U416" s="125" t="str">
        <f t="shared" si="376"/>
        <v/>
      </c>
      <c r="V416" s="117" t="str">
        <f>IF(U416=2023,1160000,IFERROR(INDEX(SMMLV!$B$2:$B$101,MATCH(U416,SMMLV!$A$2:$A$101,0)),""))</f>
        <v/>
      </c>
      <c r="W416" s="117"/>
      <c r="X416" s="125"/>
      <c r="Y416" s="125"/>
      <c r="Z416" s="477"/>
      <c r="AA416" s="478"/>
      <c r="AB416" s="479"/>
      <c r="AC416" s="125" t="str">
        <f t="shared" si="377"/>
        <v/>
      </c>
      <c r="AD416" s="117" t="str">
        <f t="shared" si="357"/>
        <v/>
      </c>
      <c r="AE416" s="117" t="str">
        <f t="shared" si="353"/>
        <v/>
      </c>
      <c r="AF416" s="117" t="str">
        <f t="shared" si="350"/>
        <v/>
      </c>
      <c r="AG416" s="470"/>
      <c r="AH416" s="470"/>
      <c r="AI416" s="125" t="str">
        <f t="shared" si="351"/>
        <v/>
      </c>
      <c r="AJ416" s="470"/>
      <c r="AK416" s="470"/>
      <c r="AL416" s="472"/>
      <c r="AM416" s="496"/>
      <c r="AN416" s="3"/>
      <c r="AO416" s="490"/>
      <c r="AP416" s="3"/>
      <c r="AQ416" s="490"/>
      <c r="AR416" s="522"/>
      <c r="AS416" s="519"/>
      <c r="AT416" s="204"/>
      <c r="AU416" s="699"/>
      <c r="AV416" s="702"/>
      <c r="AW416" s="705"/>
      <c r="AX416" s="705"/>
      <c r="AY416" s="19"/>
      <c r="CB416" s="29" t="str">
        <f>IFERROR(IF(COUNTIF(AF413:AF422,"")=10,"",IF(COUNTIF(E413:E422,"N/A")&gt;0,IF(AF416&gt;=CMEMM1,AF416,0),"N/A")),"")</f>
        <v/>
      </c>
      <c r="CC416" s="4"/>
      <c r="CD416" s="4" t="str">
        <f>IFERROR(IF(COUNTIF(AF413:AF422,"")=10,"",IF(AF416="","",IF(AF416&gt;=CMEMM1,1,0))),"")</f>
        <v/>
      </c>
      <c r="CE416" s="4" t="str">
        <f>B413&amp;"-0"&amp;4</f>
        <v>P42-04</v>
      </c>
      <c r="CF416" s="4">
        <f>IFERROR(INDEX('DESEMPATE Y DISCAPACIDAD'!$D$3:$D$450,MATCH(CE416,'DESEMPATE Y DISCAPACIDAD'!$C$3:$C$450,0)),"")</f>
        <v>0</v>
      </c>
      <c r="CG416" s="4">
        <f>IF(OR(CE416="",CF416=""),"",SUMIF(D413:D422,CF416,CD413:CD422))</f>
        <v>0</v>
      </c>
      <c r="CH416" s="4" t="str">
        <f t="shared" si="323"/>
        <v>NO CUMPLE</v>
      </c>
      <c r="CI416" s="4">
        <f t="shared" si="378"/>
        <v>0</v>
      </c>
      <c r="CJ416" s="4"/>
      <c r="CK416" s="4"/>
      <c r="CL416" s="4" t="str">
        <f t="shared" si="354"/>
        <v/>
      </c>
      <c r="CM416" s="4" t="str">
        <f t="shared" si="355"/>
        <v/>
      </c>
      <c r="CN416" s="4" t="str">
        <f t="shared" si="379"/>
        <v/>
      </c>
      <c r="CO416" s="4"/>
      <c r="CP416" s="4"/>
      <c r="CQ416" s="29" t="str">
        <f t="shared" si="365"/>
        <v/>
      </c>
      <c r="CR416" s="29" t="str">
        <f t="shared" si="366"/>
        <v/>
      </c>
      <c r="CS416" s="4"/>
    </row>
    <row r="417" spans="1:97" ht="34.25" hidden="1" customHeight="1">
      <c r="B417" s="481"/>
      <c r="C417" s="118"/>
      <c r="D417" s="126" t="str">
        <f>+IFERROR(INDEX('DESEMPATE Y DISCAPACIDAD'!$D$3:$D$450,MATCH(C417,'DESEMPATE Y DISCAPACIDAD'!$C$3:$C$450,0)),"")</f>
        <v/>
      </c>
      <c r="E417" s="127" t="str">
        <f>IFERROR(IF(D417="","",IF(VLOOKUP(D417,'DESEMPATE Y DISCAPACIDAD'!D$3:$E$450,2,FALSE)=1,"N/A",IF(VLOOKUP(D417,'DESEMPATE Y DISCAPACIDAD'!D$3:$F$450,3,FALSE)="X","SI","NO"))),"")</f>
        <v/>
      </c>
      <c r="F417" s="125"/>
      <c r="G417" s="125"/>
      <c r="H417" s="125"/>
      <c r="I417" s="128"/>
      <c r="J417" s="125"/>
      <c r="K417" s="125"/>
      <c r="L417" s="3"/>
      <c r="M417" s="125"/>
      <c r="N417" s="125" t="str">
        <f t="shared" si="374"/>
        <v/>
      </c>
      <c r="O417" s="125" t="str">
        <f t="shared" ref="O417:O422" si="380">IFERROR(IF(OR(J417="",L417=""),"",IF(J417="NO","NO",L417)),"")</f>
        <v/>
      </c>
      <c r="P417" s="125" t="str">
        <f t="shared" si="375"/>
        <v/>
      </c>
      <c r="Q417" s="125" t="str">
        <f t="shared" si="356"/>
        <v/>
      </c>
      <c r="R417" s="68"/>
      <c r="S417" s="129"/>
      <c r="T417" s="129"/>
      <c r="U417" s="125" t="str">
        <f t="shared" si="376"/>
        <v/>
      </c>
      <c r="V417" s="117" t="str">
        <f>IF(U417=2023,1160000,IFERROR(INDEX(SMMLV!$B$2:$B$101,MATCH(U417,SMMLV!$A$2:$A$101,0)),""))</f>
        <v/>
      </c>
      <c r="W417" s="117"/>
      <c r="X417" s="125"/>
      <c r="Y417" s="125"/>
      <c r="Z417" s="474"/>
      <c r="AA417" s="475"/>
      <c r="AB417" s="476"/>
      <c r="AC417" s="125" t="str">
        <f t="shared" si="377"/>
        <v/>
      </c>
      <c r="AD417" s="117" t="str">
        <f t="shared" si="357"/>
        <v/>
      </c>
      <c r="AE417" s="117" t="str">
        <f t="shared" si="353"/>
        <v/>
      </c>
      <c r="AF417" s="117" t="str">
        <f t="shared" si="350"/>
        <v/>
      </c>
      <c r="AG417" s="470"/>
      <c r="AH417" s="470"/>
      <c r="AI417" s="125" t="str">
        <f t="shared" si="351"/>
        <v/>
      </c>
      <c r="AJ417" s="470"/>
      <c r="AK417" s="470"/>
      <c r="AL417" s="472"/>
      <c r="AM417" s="496"/>
      <c r="AN417" s="125"/>
      <c r="AO417" s="490"/>
      <c r="AP417" s="125"/>
      <c r="AQ417" s="490"/>
      <c r="AR417" s="522"/>
      <c r="AS417" s="519"/>
      <c r="AT417" s="204"/>
      <c r="AU417" s="699"/>
      <c r="AV417" s="702"/>
      <c r="AW417" s="705"/>
      <c r="AX417" s="705"/>
      <c r="AY417" s="19"/>
      <c r="CB417" s="29" t="str">
        <f>IFERROR(IF(COUNTIF(AF413:AF422,"")=10,"",IF(COUNTIF(E413:E422,"N/A")&gt;0,IF(AF417&gt;=CMEMM1,AF417,0),"N/A")),"")</f>
        <v/>
      </c>
      <c r="CC417" s="4"/>
      <c r="CD417" s="4" t="str">
        <f>IFERROR(IF(COUNTIF(AF413:AF422,"")=10,"",IF(AF417="","",IF(AF417&gt;=CMEMM1,1,0))),"")</f>
        <v/>
      </c>
      <c r="CE417" s="4" t="str">
        <f>B413&amp;"-0"&amp;5</f>
        <v>P42-05</v>
      </c>
      <c r="CF417" s="4">
        <f>IFERROR(INDEX('DESEMPATE Y DISCAPACIDAD'!$D$3:$D$450,MATCH(CE417,'DESEMPATE Y DISCAPACIDAD'!$C$3:$C$450,0)),"")</f>
        <v>0</v>
      </c>
      <c r="CG417" s="4">
        <f>IF(OR(CE417="",CF417=""),"",SUMIF(D413:D422,CF417,CD413:CD422))</f>
        <v>0</v>
      </c>
      <c r="CH417" s="4" t="str">
        <f t="shared" si="323"/>
        <v>NO CUMPLE</v>
      </c>
      <c r="CI417" s="4">
        <f t="shared" si="378"/>
        <v>0</v>
      </c>
      <c r="CJ417" s="4"/>
      <c r="CK417" s="4"/>
      <c r="CL417" s="4" t="str">
        <f t="shared" si="354"/>
        <v/>
      </c>
      <c r="CM417" s="4" t="str">
        <f t="shared" si="355"/>
        <v/>
      </c>
      <c r="CN417" s="4" t="str">
        <f t="shared" si="379"/>
        <v/>
      </c>
      <c r="CO417" s="4"/>
      <c r="CP417" s="4"/>
      <c r="CQ417" s="29" t="str">
        <f t="shared" si="365"/>
        <v/>
      </c>
      <c r="CR417" s="29" t="str">
        <f t="shared" si="366"/>
        <v/>
      </c>
      <c r="CS417" s="4"/>
    </row>
    <row r="418" spans="1:97" ht="34.25" hidden="1" customHeight="1">
      <c r="B418" s="481"/>
      <c r="C418" s="118"/>
      <c r="D418" s="126" t="str">
        <f>+IFERROR(INDEX('DESEMPATE Y DISCAPACIDAD'!$D$3:$D$450,MATCH(C418,'DESEMPATE Y DISCAPACIDAD'!$C$3:$C$450,0)),"")</f>
        <v/>
      </c>
      <c r="E418" s="127" t="str">
        <f>IFERROR(IF(D418="","",IF(VLOOKUP(D418,'DESEMPATE Y DISCAPACIDAD'!D$3:$E$450,2,FALSE)=1,"N/A",IF(VLOOKUP(D418,'DESEMPATE Y DISCAPACIDAD'!D$3:$F$450,3,FALSE)="X","SI","NO"))),"")</f>
        <v/>
      </c>
      <c r="F418" s="125"/>
      <c r="G418" s="125"/>
      <c r="H418" s="125"/>
      <c r="I418" s="128"/>
      <c r="J418" s="125"/>
      <c r="K418" s="125"/>
      <c r="L418" s="3"/>
      <c r="M418" s="125"/>
      <c r="N418" s="125" t="str">
        <f t="shared" si="374"/>
        <v/>
      </c>
      <c r="O418" s="125" t="str">
        <f t="shared" si="380"/>
        <v/>
      </c>
      <c r="P418" s="125" t="str">
        <f t="shared" si="375"/>
        <v/>
      </c>
      <c r="Q418" s="125" t="str">
        <f t="shared" si="356"/>
        <v/>
      </c>
      <c r="R418" s="68"/>
      <c r="S418" s="129"/>
      <c r="T418" s="129"/>
      <c r="U418" s="125" t="str">
        <f t="shared" si="376"/>
        <v/>
      </c>
      <c r="V418" s="117" t="str">
        <f>IF(U418=2023,1160000,IFERROR(INDEX(SMMLV!$B$2:$B$101,MATCH(U418,SMMLV!$A$2:$A$101,0)),""))</f>
        <v/>
      </c>
      <c r="W418" s="117"/>
      <c r="X418" s="125"/>
      <c r="Y418" s="125"/>
      <c r="Z418" s="474"/>
      <c r="AA418" s="475"/>
      <c r="AB418" s="476"/>
      <c r="AC418" s="125" t="str">
        <f t="shared" si="377"/>
        <v/>
      </c>
      <c r="AD418" s="117" t="str">
        <f t="shared" si="357"/>
        <v/>
      </c>
      <c r="AE418" s="117" t="str">
        <f t="shared" si="353"/>
        <v/>
      </c>
      <c r="AF418" s="117" t="str">
        <f t="shared" si="350"/>
        <v/>
      </c>
      <c r="AG418" s="470"/>
      <c r="AH418" s="470"/>
      <c r="AI418" s="125" t="str">
        <f t="shared" si="351"/>
        <v/>
      </c>
      <c r="AJ418" s="470"/>
      <c r="AK418" s="470"/>
      <c r="AL418" s="472"/>
      <c r="AM418" s="496"/>
      <c r="AN418" s="125"/>
      <c r="AO418" s="490"/>
      <c r="AP418" s="125"/>
      <c r="AQ418" s="490"/>
      <c r="AR418" s="522"/>
      <c r="AS418" s="519"/>
      <c r="AT418" s="204"/>
      <c r="AU418" s="699"/>
      <c r="AV418" s="702"/>
      <c r="AW418" s="705"/>
      <c r="AX418" s="705"/>
      <c r="AY418" s="19"/>
      <c r="CB418" s="29" t="str">
        <f>IFERROR(IF(COUNTIF(AF413:AF422,"")=10,"",IF(COUNTIF(E413:E422,"N/A")&gt;0,IF(AF418&gt;=CMEMM1,AF418,0),"N/A")),"")</f>
        <v/>
      </c>
      <c r="CC418" s="4"/>
      <c r="CD418" s="4" t="str">
        <f>IFERROR(IF(COUNTIF(AF413:AF422,"")=10,"",IF(AF418="","",IF(AF418&gt;=CMEMM1,1,0))),"")</f>
        <v/>
      </c>
      <c r="CE418" s="4" t="str">
        <f>B413&amp;"-0"&amp;6</f>
        <v>P42-06</v>
      </c>
      <c r="CF418" s="4">
        <f>IFERROR(INDEX('DESEMPATE Y DISCAPACIDAD'!$D$3:$D$450,MATCH(CE418,'DESEMPATE Y DISCAPACIDAD'!$C$3:$C$450,0)),"")</f>
        <v>0</v>
      </c>
      <c r="CG418" s="4">
        <f>IF(OR(CE418="",CF418=""),"",SUMIF(D413:D422,CF418,CD413:CD422))</f>
        <v>0</v>
      </c>
      <c r="CH418" s="4" t="str">
        <f t="shared" ref="CH418:CH481" si="381">IF(OR(CE418="",CF418="",CG418=""),"",IF(CG418&gt;0,"CUMPLE","NO CUMPLE"))</f>
        <v>NO CUMPLE</v>
      </c>
      <c r="CI418" s="4">
        <f t="shared" si="378"/>
        <v>0</v>
      </c>
      <c r="CJ418" s="4"/>
      <c r="CK418" s="4"/>
      <c r="CL418" s="4" t="str">
        <f t="shared" si="354"/>
        <v/>
      </c>
      <c r="CM418" s="4" t="str">
        <f t="shared" si="355"/>
        <v/>
      </c>
      <c r="CN418" s="4" t="str">
        <f t="shared" si="379"/>
        <v/>
      </c>
      <c r="CO418" s="4"/>
      <c r="CP418" s="4"/>
      <c r="CQ418" s="29" t="str">
        <f t="shared" si="365"/>
        <v/>
      </c>
      <c r="CR418" s="29" t="str">
        <f t="shared" si="366"/>
        <v/>
      </c>
      <c r="CS418" s="4"/>
    </row>
    <row r="419" spans="1:97" ht="34.25" hidden="1" customHeight="1">
      <c r="B419" s="481"/>
      <c r="C419" s="118"/>
      <c r="D419" s="126" t="str">
        <f>+IFERROR(INDEX('DESEMPATE Y DISCAPACIDAD'!$D$3:$D$450,MATCH(C419,'DESEMPATE Y DISCAPACIDAD'!$C$3:$C$450,0)),"")</f>
        <v/>
      </c>
      <c r="E419" s="127" t="str">
        <f>IFERROR(IF(D419="","",IF(VLOOKUP(D419,'DESEMPATE Y DISCAPACIDAD'!D$3:$E$450,2,FALSE)=1,"N/A",IF(VLOOKUP(D419,'DESEMPATE Y DISCAPACIDAD'!D$3:$F$450,3,FALSE)="X","SI","NO"))),"")</f>
        <v/>
      </c>
      <c r="F419" s="125"/>
      <c r="G419" s="125"/>
      <c r="H419" s="125"/>
      <c r="I419" s="128"/>
      <c r="J419" s="125"/>
      <c r="K419" s="125"/>
      <c r="L419" s="3"/>
      <c r="M419" s="125"/>
      <c r="N419" s="125" t="str">
        <f t="shared" si="374"/>
        <v/>
      </c>
      <c r="O419" s="125" t="str">
        <f t="shared" si="380"/>
        <v/>
      </c>
      <c r="P419" s="125" t="str">
        <f t="shared" si="375"/>
        <v/>
      </c>
      <c r="Q419" s="125" t="str">
        <f t="shared" si="356"/>
        <v/>
      </c>
      <c r="R419" s="68"/>
      <c r="S419" s="129"/>
      <c r="T419" s="129"/>
      <c r="U419" s="125" t="str">
        <f t="shared" si="376"/>
        <v/>
      </c>
      <c r="V419" s="117" t="str">
        <f>IF(U419=2023,1160000,IFERROR(INDEX(SMMLV!$B$2:$B$101,MATCH(U419,SMMLV!$A$2:$A$101,0)),""))</f>
        <v/>
      </c>
      <c r="W419" s="117"/>
      <c r="X419" s="125"/>
      <c r="Y419" s="125"/>
      <c r="Z419" s="474"/>
      <c r="AA419" s="475"/>
      <c r="AB419" s="476"/>
      <c r="AC419" s="125" t="str">
        <f t="shared" si="377"/>
        <v/>
      </c>
      <c r="AD419" s="117" t="str">
        <f t="shared" si="357"/>
        <v/>
      </c>
      <c r="AE419" s="117" t="str">
        <f t="shared" si="353"/>
        <v/>
      </c>
      <c r="AF419" s="117" t="str">
        <f t="shared" si="350"/>
        <v/>
      </c>
      <c r="AG419" s="470"/>
      <c r="AH419" s="470"/>
      <c r="AI419" s="125" t="str">
        <f t="shared" si="351"/>
        <v/>
      </c>
      <c r="AJ419" s="470"/>
      <c r="AK419" s="470"/>
      <c r="AL419" s="472"/>
      <c r="AM419" s="496"/>
      <c r="AN419" s="125"/>
      <c r="AO419" s="490"/>
      <c r="AP419" s="125"/>
      <c r="AQ419" s="490"/>
      <c r="AR419" s="522"/>
      <c r="AS419" s="519"/>
      <c r="AT419" s="204"/>
      <c r="AU419" s="699"/>
      <c r="AV419" s="702"/>
      <c r="AW419" s="705"/>
      <c r="AX419" s="705"/>
      <c r="AY419" s="19"/>
      <c r="CB419" s="29" t="str">
        <f>IFERROR(IF(COUNTIF(AF413:AF422,"")=10,"",IF(COUNTIF(E413:E422,"N/A")&gt;0,IF(AF419&gt;=CMEMM1,AF419,0),"N/A")),"")</f>
        <v/>
      </c>
      <c r="CC419" s="4"/>
      <c r="CD419" s="4" t="str">
        <f>IFERROR(IF(COUNTIF(AF413:AF422,"")=10,"",IF(AF419="","",IF(AF419&gt;=CMEMM1,1,0))),"")</f>
        <v/>
      </c>
      <c r="CE419" s="4" t="str">
        <f>B413&amp;"-0"&amp;7</f>
        <v>P42-07</v>
      </c>
      <c r="CF419" s="4" t="str">
        <f>IFERROR(INDEX('DESEMPATE Y DISCAPACIDAD'!$D$3:$D$450,MATCH(CE419,'DESEMPATE Y DISCAPACIDAD'!$C$3:$C$450,0)),"")</f>
        <v/>
      </c>
      <c r="CG419" s="4" t="str">
        <f>IF(OR(CE419="",CF419=""),"",SUMIF(D413:D422,CF419,CD413:CD422))</f>
        <v/>
      </c>
      <c r="CH419" s="4" t="str">
        <f t="shared" si="381"/>
        <v/>
      </c>
      <c r="CI419" s="4" t="str">
        <f t="shared" si="378"/>
        <v/>
      </c>
      <c r="CJ419" s="4"/>
      <c r="CK419" s="4"/>
      <c r="CL419" s="4" t="str">
        <f t="shared" si="354"/>
        <v/>
      </c>
      <c r="CM419" s="4" t="str">
        <f t="shared" si="355"/>
        <v/>
      </c>
      <c r="CN419" s="4" t="str">
        <f t="shared" si="379"/>
        <v/>
      </c>
      <c r="CO419" s="4"/>
      <c r="CP419" s="4"/>
      <c r="CQ419" s="29" t="str">
        <f t="shared" si="365"/>
        <v/>
      </c>
      <c r="CR419" s="29" t="str">
        <f t="shared" si="366"/>
        <v/>
      </c>
      <c r="CS419" s="4"/>
    </row>
    <row r="420" spans="1:97" ht="34.25" hidden="1" customHeight="1">
      <c r="B420" s="481"/>
      <c r="C420" s="118"/>
      <c r="D420" s="126" t="str">
        <f>+IFERROR(INDEX('DESEMPATE Y DISCAPACIDAD'!$D$3:$D$450,MATCH(C420,'DESEMPATE Y DISCAPACIDAD'!$C$3:$C$450,0)),"")</f>
        <v/>
      </c>
      <c r="E420" s="127" t="str">
        <f>IFERROR(IF(D420="","",IF(VLOOKUP(D420,'DESEMPATE Y DISCAPACIDAD'!D$3:$E$450,2,FALSE)=1,"N/A",IF(VLOOKUP(D420,'DESEMPATE Y DISCAPACIDAD'!D$3:$F$450,3,FALSE)="X","SI","NO"))),"")</f>
        <v/>
      </c>
      <c r="F420" s="125"/>
      <c r="G420" s="125"/>
      <c r="H420" s="125"/>
      <c r="I420" s="128"/>
      <c r="J420" s="125"/>
      <c r="K420" s="125"/>
      <c r="L420" s="3"/>
      <c r="M420" s="125"/>
      <c r="N420" s="125" t="str">
        <f t="shared" si="374"/>
        <v/>
      </c>
      <c r="O420" s="125" t="str">
        <f t="shared" si="380"/>
        <v/>
      </c>
      <c r="P420" s="125" t="str">
        <f t="shared" si="375"/>
        <v/>
      </c>
      <c r="Q420" s="125" t="str">
        <f t="shared" si="356"/>
        <v/>
      </c>
      <c r="R420" s="68"/>
      <c r="S420" s="129"/>
      <c r="T420" s="129"/>
      <c r="U420" s="125" t="str">
        <f t="shared" si="376"/>
        <v/>
      </c>
      <c r="V420" s="117" t="str">
        <f>IF(U420=2023,1160000,IFERROR(INDEX(SMMLV!$B$2:$B$101,MATCH(U420,SMMLV!$A$2:$A$101,0)),""))</f>
        <v/>
      </c>
      <c r="W420" s="117"/>
      <c r="X420" s="125"/>
      <c r="Y420" s="125"/>
      <c r="Z420" s="474"/>
      <c r="AA420" s="475"/>
      <c r="AB420" s="476"/>
      <c r="AC420" s="125" t="str">
        <f t="shared" si="377"/>
        <v/>
      </c>
      <c r="AD420" s="117" t="str">
        <f t="shared" si="357"/>
        <v/>
      </c>
      <c r="AE420" s="117" t="str">
        <f t="shared" si="353"/>
        <v/>
      </c>
      <c r="AF420" s="117" t="str">
        <f t="shared" si="350"/>
        <v/>
      </c>
      <c r="AG420" s="470"/>
      <c r="AH420" s="470"/>
      <c r="AI420" s="125" t="str">
        <f t="shared" si="351"/>
        <v/>
      </c>
      <c r="AJ420" s="470"/>
      <c r="AK420" s="470"/>
      <c r="AL420" s="472"/>
      <c r="AM420" s="496"/>
      <c r="AN420" s="125"/>
      <c r="AO420" s="490"/>
      <c r="AP420" s="125"/>
      <c r="AQ420" s="490"/>
      <c r="AR420" s="522"/>
      <c r="AS420" s="519"/>
      <c r="AT420" s="204"/>
      <c r="AU420" s="699"/>
      <c r="AV420" s="702"/>
      <c r="AW420" s="705"/>
      <c r="AX420" s="705"/>
      <c r="AY420" s="19"/>
      <c r="CB420" s="29" t="str">
        <f>IFERROR(IF(COUNTIF(AF413:AF422,"")=10,"",IF(COUNTIF(E413:E422,"N/A")&gt;0,IF(AF420&gt;=CMEMM1,AF420,0),"N/A")),"")</f>
        <v/>
      </c>
      <c r="CC420" s="4"/>
      <c r="CD420" s="4" t="str">
        <f>IFERROR(IF(COUNTIF(AF413:AF422,"")=10,"",IF(AF420="","",IF(AF420&gt;=CMEMM1,1,0))),"")</f>
        <v/>
      </c>
      <c r="CE420" s="4" t="str">
        <f>B413&amp;"-0"&amp;8</f>
        <v>P42-08</v>
      </c>
      <c r="CF420" s="4" t="str">
        <f>IFERROR(INDEX('DESEMPATE Y DISCAPACIDAD'!$D$3:$D$450,MATCH(CE420,'DESEMPATE Y DISCAPACIDAD'!$C$3:$C$450,0)),"")</f>
        <v/>
      </c>
      <c r="CG420" s="4" t="str">
        <f>IF(OR(CE420="",CF420=""),"",SUMIF(D413:D422,CF420,CD413:CD422))</f>
        <v/>
      </c>
      <c r="CH420" s="4" t="str">
        <f t="shared" si="381"/>
        <v/>
      </c>
      <c r="CI420" s="4" t="str">
        <f t="shared" si="378"/>
        <v/>
      </c>
      <c r="CJ420" s="4"/>
      <c r="CK420" s="4"/>
      <c r="CL420" s="4" t="str">
        <f t="shared" si="354"/>
        <v/>
      </c>
      <c r="CM420" s="4" t="str">
        <f t="shared" si="355"/>
        <v/>
      </c>
      <c r="CN420" s="4" t="str">
        <f t="shared" si="379"/>
        <v/>
      </c>
      <c r="CO420" s="4"/>
      <c r="CP420" s="4"/>
      <c r="CQ420" s="29" t="str">
        <f t="shared" si="365"/>
        <v/>
      </c>
      <c r="CR420" s="29" t="str">
        <f t="shared" si="366"/>
        <v/>
      </c>
      <c r="CS420" s="4"/>
    </row>
    <row r="421" spans="1:97" ht="34.25" hidden="1" customHeight="1">
      <c r="B421" s="481"/>
      <c r="C421" s="118"/>
      <c r="D421" s="126" t="str">
        <f>+IFERROR(INDEX('DESEMPATE Y DISCAPACIDAD'!$D$3:$D$450,MATCH(C421,'DESEMPATE Y DISCAPACIDAD'!$C$3:$C$450,0)),"")</f>
        <v/>
      </c>
      <c r="E421" s="127" t="str">
        <f>IFERROR(IF(D421="","",IF(VLOOKUP(D421,'DESEMPATE Y DISCAPACIDAD'!D$3:$E$450,2,FALSE)=1,"N/A",IF(VLOOKUP(D421,'DESEMPATE Y DISCAPACIDAD'!D$3:$F$450,3,FALSE)="X","SI","NO"))),"")</f>
        <v/>
      </c>
      <c r="F421" s="125"/>
      <c r="G421" s="125"/>
      <c r="H421" s="125"/>
      <c r="I421" s="128"/>
      <c r="J421" s="125"/>
      <c r="K421" s="125"/>
      <c r="L421" s="3"/>
      <c r="M421" s="125"/>
      <c r="N421" s="125" t="str">
        <f t="shared" si="374"/>
        <v/>
      </c>
      <c r="O421" s="125" t="str">
        <f t="shared" si="380"/>
        <v/>
      </c>
      <c r="P421" s="125" t="str">
        <f t="shared" si="375"/>
        <v/>
      </c>
      <c r="Q421" s="125" t="str">
        <f t="shared" si="356"/>
        <v/>
      </c>
      <c r="R421" s="68"/>
      <c r="S421" s="129"/>
      <c r="T421" s="129"/>
      <c r="U421" s="125" t="str">
        <f t="shared" si="376"/>
        <v/>
      </c>
      <c r="V421" s="117" t="str">
        <f>IF(U421=2023,1160000,IFERROR(INDEX(SMMLV!$B$2:$B$101,MATCH(U421,SMMLV!$A$2:$A$101,0)),""))</f>
        <v/>
      </c>
      <c r="W421" s="117"/>
      <c r="X421" s="125"/>
      <c r="Y421" s="125"/>
      <c r="Z421" s="474"/>
      <c r="AA421" s="475"/>
      <c r="AB421" s="476"/>
      <c r="AC421" s="125" t="str">
        <f t="shared" si="377"/>
        <v/>
      </c>
      <c r="AD421" s="117" t="str">
        <f t="shared" si="357"/>
        <v/>
      </c>
      <c r="AE421" s="117" t="str">
        <f t="shared" si="353"/>
        <v/>
      </c>
      <c r="AF421" s="117" t="str">
        <f t="shared" si="350"/>
        <v/>
      </c>
      <c r="AG421" s="470"/>
      <c r="AH421" s="470"/>
      <c r="AI421" s="125" t="str">
        <f t="shared" si="351"/>
        <v/>
      </c>
      <c r="AJ421" s="470"/>
      <c r="AK421" s="470"/>
      <c r="AL421" s="472"/>
      <c r="AM421" s="496"/>
      <c r="AN421" s="125"/>
      <c r="AO421" s="490"/>
      <c r="AP421" s="125"/>
      <c r="AQ421" s="490"/>
      <c r="AR421" s="522"/>
      <c r="AS421" s="519"/>
      <c r="AT421" s="204"/>
      <c r="AU421" s="699"/>
      <c r="AV421" s="702"/>
      <c r="AW421" s="705"/>
      <c r="AX421" s="705"/>
      <c r="AY421" s="19"/>
      <c r="CB421" s="29" t="str">
        <f>IFERROR(IF(COUNTIF(AF413:AF422,"")=10,"",IF(COUNTIF(E413:E422,"N/A")&gt;0,IF(AF421&gt;=CMEMM1,AF421,0),"N/A")),"")</f>
        <v/>
      </c>
      <c r="CC421" s="4"/>
      <c r="CD421" s="4" t="str">
        <f>IFERROR(IF(COUNTIF(AF413:AF422,"")=10,"",IF(AF421="","",IF(AF421&gt;=CMEMM1,1,0))),"")</f>
        <v/>
      </c>
      <c r="CE421" s="4" t="str">
        <f>B413&amp;"-0"&amp;9</f>
        <v>P42-09</v>
      </c>
      <c r="CF421" s="4" t="str">
        <f>IFERROR(INDEX('DESEMPATE Y DISCAPACIDAD'!$D$3:$D$450,MATCH(CE421,'DESEMPATE Y DISCAPACIDAD'!$C$3:$C$450,0)),"")</f>
        <v/>
      </c>
      <c r="CG421" s="4" t="str">
        <f>IF(OR(CE421="",CF421=""),"",SUMIF(D413:D422,CF421,CD413:CD422))</f>
        <v/>
      </c>
      <c r="CH421" s="4" t="str">
        <f t="shared" si="381"/>
        <v/>
      </c>
      <c r="CI421" s="4" t="str">
        <f t="shared" si="378"/>
        <v/>
      </c>
      <c r="CJ421" s="4"/>
      <c r="CK421" s="4"/>
      <c r="CL421" s="4" t="str">
        <f t="shared" si="354"/>
        <v/>
      </c>
      <c r="CM421" s="4" t="str">
        <f t="shared" si="355"/>
        <v/>
      </c>
      <c r="CN421" s="4" t="str">
        <f t="shared" si="379"/>
        <v/>
      </c>
      <c r="CO421" s="4"/>
      <c r="CP421" s="4"/>
      <c r="CQ421" s="29" t="str">
        <f t="shared" si="365"/>
        <v/>
      </c>
      <c r="CR421" s="29" t="str">
        <f t="shared" si="366"/>
        <v/>
      </c>
      <c r="CS421" s="4"/>
    </row>
    <row r="422" spans="1:97" ht="34.25" hidden="1" customHeight="1" thickBot="1">
      <c r="B422" s="482"/>
      <c r="C422" s="130"/>
      <c r="D422" s="131" t="str">
        <f>+IFERROR(INDEX('DESEMPATE Y DISCAPACIDAD'!$D$3:$D$450,MATCH(C422,'DESEMPATE Y DISCAPACIDAD'!$C$3:$C$450,0)),"")</f>
        <v/>
      </c>
      <c r="E422" s="132" t="str">
        <f>IFERROR(IF(D422="","",IF(VLOOKUP(D422,'DESEMPATE Y DISCAPACIDAD'!D$3:$E$450,2,FALSE)=1,"N/A",IF(VLOOKUP(D422,'DESEMPATE Y DISCAPACIDAD'!D$3:$F$450,3,FALSE)="X","SI","NO"))),"")</f>
        <v/>
      </c>
      <c r="F422" s="133"/>
      <c r="G422" s="133"/>
      <c r="H422" s="133"/>
      <c r="I422" s="134"/>
      <c r="J422" s="133"/>
      <c r="K422" s="133"/>
      <c r="L422" s="5"/>
      <c r="M422" s="133"/>
      <c r="N422" s="133" t="str">
        <f t="shared" si="374"/>
        <v/>
      </c>
      <c r="O422" s="133" t="str">
        <f t="shared" si="380"/>
        <v/>
      </c>
      <c r="P422" s="133" t="str">
        <f t="shared" si="375"/>
        <v/>
      </c>
      <c r="Q422" s="133" t="str">
        <f t="shared" si="356"/>
        <v/>
      </c>
      <c r="R422" s="104"/>
      <c r="S422" s="135"/>
      <c r="T422" s="135"/>
      <c r="U422" s="133" t="str">
        <f t="shared" si="376"/>
        <v/>
      </c>
      <c r="V422" s="136" t="str">
        <f>IF(U422=2023,1160000,IFERROR(INDEX(SMMLV!$B$2:$B$101,MATCH(U422,SMMLV!$A$2:$A$101,0)),""))</f>
        <v/>
      </c>
      <c r="W422" s="136"/>
      <c r="X422" s="133"/>
      <c r="Y422" s="133"/>
      <c r="Z422" s="487"/>
      <c r="AA422" s="488"/>
      <c r="AB422" s="489"/>
      <c r="AC422" s="133" t="str">
        <f t="shared" si="377"/>
        <v/>
      </c>
      <c r="AD422" s="136" t="str">
        <f t="shared" si="357"/>
        <v/>
      </c>
      <c r="AE422" s="117" t="str">
        <f t="shared" si="353"/>
        <v/>
      </c>
      <c r="AF422" s="136" t="str">
        <f t="shared" si="350"/>
        <v/>
      </c>
      <c r="AG422" s="471"/>
      <c r="AH422" s="471"/>
      <c r="AI422" s="133" t="str">
        <f t="shared" si="351"/>
        <v/>
      </c>
      <c r="AJ422" s="471"/>
      <c r="AK422" s="471"/>
      <c r="AL422" s="473"/>
      <c r="AM422" s="497"/>
      <c r="AN422" s="133"/>
      <c r="AO422" s="491"/>
      <c r="AP422" s="133"/>
      <c r="AQ422" s="491"/>
      <c r="AR422" s="523"/>
      <c r="AS422" s="520"/>
      <c r="AT422" s="206"/>
      <c r="AU422" s="700"/>
      <c r="AV422" s="703"/>
      <c r="AW422" s="706"/>
      <c r="AX422" s="706"/>
      <c r="AY422" s="19"/>
      <c r="CB422" s="29" t="str">
        <f>IFERROR(IF(COUNTIF(AF413:AF422,"")=10,"",IF(COUNTIF(E413:E422,"N/A")&gt;0,IF(AF422&gt;=CMEMM1,AF422,0),"N/A")),"")</f>
        <v/>
      </c>
      <c r="CC422" s="4"/>
      <c r="CD422" s="4" t="str">
        <f>IFERROR(IF(COUNTIF(AF413:AF422,"")=10,"",IF(AF422="","",IF(AF422&gt;=CMEMM1,1,0))),"")</f>
        <v/>
      </c>
      <c r="CE422" s="4" t="str">
        <f>B413&amp;"-"&amp;10</f>
        <v>P42-10</v>
      </c>
      <c r="CF422" s="4" t="str">
        <f>IFERROR(INDEX('DESEMPATE Y DISCAPACIDAD'!$D$3:$D$450,MATCH(CE422,'DESEMPATE Y DISCAPACIDAD'!$C$3:$C$450,0)),"")</f>
        <v/>
      </c>
      <c r="CG422" s="4" t="str">
        <f>IF(OR(CE422="",CF422=""),"",SUMIF(D413:D422,CF422,CD413:CD422))</f>
        <v/>
      </c>
      <c r="CH422" s="4" t="str">
        <f t="shared" si="381"/>
        <v/>
      </c>
      <c r="CI422" s="4" t="str">
        <f t="shared" si="378"/>
        <v/>
      </c>
      <c r="CJ422" s="4"/>
      <c r="CK422" s="4"/>
      <c r="CL422" s="4" t="str">
        <f t="shared" si="354"/>
        <v/>
      </c>
      <c r="CM422" s="4" t="str">
        <f t="shared" si="355"/>
        <v/>
      </c>
      <c r="CN422" s="4" t="str">
        <f t="shared" si="379"/>
        <v/>
      </c>
      <c r="CO422" s="4"/>
      <c r="CP422" s="4"/>
      <c r="CQ422" s="29" t="str">
        <f t="shared" si="365"/>
        <v/>
      </c>
      <c r="CR422" s="29" t="str">
        <f t="shared" si="366"/>
        <v/>
      </c>
      <c r="CS422" s="4"/>
    </row>
    <row r="423" spans="1:97" ht="34.25" hidden="1" customHeight="1">
      <c r="A423" s="4" t="str">
        <f>"A"&amp;B423</f>
        <v>AP43</v>
      </c>
      <c r="B423" s="480" t="s">
        <v>304</v>
      </c>
      <c r="C423" s="108"/>
      <c r="D423" s="119" t="str">
        <f>+IFERROR(INDEX('DESEMPATE Y DISCAPACIDAD'!$D$3:$D$450,MATCH(C423,'DESEMPATE Y DISCAPACIDAD'!$C$3:$C$450,0)),"")</f>
        <v/>
      </c>
      <c r="E423" s="120" t="str">
        <f>IFERROR(IF(D423="","",IF(VLOOKUP(D423,'DESEMPATE Y DISCAPACIDAD'!D$3:$E$450,2,FALSE)=1,"N/A",IF(VLOOKUP(D423,'DESEMPATE Y DISCAPACIDAD'!D$3:$F$450,3,FALSE)="X","SI","NO"))),"")</f>
        <v/>
      </c>
      <c r="F423" s="125"/>
      <c r="G423" s="125"/>
      <c r="H423" s="121"/>
      <c r="I423" s="122"/>
      <c r="J423" s="121"/>
      <c r="K423" s="121"/>
      <c r="L423" s="179"/>
      <c r="M423" s="121"/>
      <c r="N423" s="121" t="str">
        <f>IFERROR(IF(OR(J423="",K423=""),"",IF(J423="NO","NO",K423)),"")</f>
        <v/>
      </c>
      <c r="O423" s="121" t="str">
        <f>IFERROR(IF(OR(J423="",L423=""),"",IF(J423="NO","NO",L423)),"")</f>
        <v/>
      </c>
      <c r="P423" s="121" t="str">
        <f>IFERROR(IF(OR(J423="",M423=""),"",IF(J423="NO","NO",M423)),"")</f>
        <v/>
      </c>
      <c r="Q423" s="121" t="str">
        <f t="shared" si="356"/>
        <v/>
      </c>
      <c r="R423" s="103"/>
      <c r="S423" s="123"/>
      <c r="T423" s="123"/>
      <c r="U423" s="121" t="str">
        <f>IFERROR(IF(T423="","",YEAR(T423)),"")</f>
        <v/>
      </c>
      <c r="V423" s="124" t="str">
        <f>IF(U423=2023,1160000,IFERROR(INDEX(SMMLV!$B$2:$B$101,MATCH(U423,SMMLV!$A$2:$A$101,0)),""))</f>
        <v/>
      </c>
      <c r="W423" s="124"/>
      <c r="X423" s="121"/>
      <c r="Y423" s="121"/>
      <c r="Z423" s="483"/>
      <c r="AA423" s="484"/>
      <c r="AB423" s="485"/>
      <c r="AC423" s="121" t="str">
        <f>IFERROR(IF(Y423="","",IF(ISNUMBER(Y423),IF(COUNTIF(Z423,"SI")&gt;0,"SI","NO"),Y423)),"")</f>
        <v/>
      </c>
      <c r="AD423" s="124" t="str">
        <f t="shared" si="357"/>
        <v/>
      </c>
      <c r="AE423" s="117" t="str">
        <f t="shared" si="353"/>
        <v/>
      </c>
      <c r="AF423" s="124" t="str">
        <f t="shared" si="350"/>
        <v/>
      </c>
      <c r="AG423" s="486" t="str">
        <f>IFERROR(IF(COUNTIF(AF423:AF432,"")=10,"",IF(COUNTIF(E423:E432,"N/A")&gt;0,IF(SUM(CB423:CB432)&gt;=CMEM1,"CUMPLE","NO CUMPLE"),IF(SUM(AF423:AF432)&gt;=CMEM1,"CUMPLE","NO CUMPLE"))),"")</f>
        <v/>
      </c>
      <c r="AH423" s="486" t="str">
        <f>IF(COUNTIF(AF423:AF432,"")=10,"",IF(SUMIF(C423:C432,C423,AF423:AF432)&gt;=CMLM1,"CUMPLE",IF(SUMIF(C423:C432,C424,AF423:AF432)&gt;=CMLM1,"CUMPLE",IF(SUMIF(C423:C432,C425,AF423:AF432)&gt;=CMLM1,"CUMPLE",IF(SUMIF(C423:C432,C426,AF423:AF432)&gt;=CMLM1,"CUMPLE",IF(SUMIF(C423:C432,C427,AF423:AF432)&gt;=CMLM1,"CUMPLE",IF(SUMIF(C423:C432,C428,AF423:AF432)&gt;=CMLM1,"CUMPLE",IF(SUMIF(C423:C432,C429,AF423:AF432)&gt;=CMLM1,"CUMPLE",IF(SUMIF(C423:C432,C430,AF423:AF432)&gt;=CMLM1,"CUMPLE",IF(SUMIF(C423:C432,C431,AF423:AF432)&gt;=CMLM1,"CUMPLE",IF(SUMIF(C423:C432,C432,AF423:AF432)&gt;=CMLM1,"CUMPLE","NO CUMPLE")))))))))))</f>
        <v/>
      </c>
      <c r="AI423" s="121" t="str">
        <f t="shared" si="351"/>
        <v/>
      </c>
      <c r="AJ423" s="469" t="str">
        <f>IFERROR(IF(COUNTIF(AF423:AF432,"")=10,"",IF(COUNTIF(E423:E432,"N/A")&gt;0,"N/A",CJ423)),"")</f>
        <v/>
      </c>
      <c r="AK423" s="469" t="str">
        <f>IFERROR(IF(AND(COUNTIF(N423:N432,"SI")&gt;=1,COUNTIF(O423:O432,"SI")&gt;=1,COUNTIF(P423:P432,"SI")&gt;=1,COUNTIF(J423:J432,"SI")&lt;=10,CO423="CUMPLE"),"CUMPLE","NO CUMPLE"),"")</f>
        <v>NO CUMPLE</v>
      </c>
      <c r="AL423" s="472"/>
      <c r="AM423" s="495">
        <f>IFERROR(IF(B423&lt;&gt;"",IF(VLOOKUP(B423,'DESEMPATE Y DISCAPACIDAD'!$A$3:$Q$450,10,FALSE)="","",VLOOKUP(B423,'DESEMPATE Y DISCAPACIDAD'!$A$3:$Q$450,10,FALSE)+6),""),"")</f>
        <v>6</v>
      </c>
      <c r="AN423" s="121"/>
      <c r="AO423" s="490"/>
      <c r="AP423" s="121"/>
      <c r="AQ423" s="490" t="str">
        <f>IFERROR(IF(COUNTIF(AP423:AP432,"")=10,"",IF(AO423="NO",0,COUNTIF(AP423:AP432,"SI"))),"")</f>
        <v/>
      </c>
      <c r="AR423" s="521" t="str">
        <f>IFERROR(IF(COUNTIF(AF423:AF432,"")=10,"",IF(AO423="NO",0,IF(COUNTIF(E423:E432,"N/A")&gt;0,SUM(CQ423:CQ432),SUM(CR423:CR432)))),"")</f>
        <v/>
      </c>
      <c r="AS423" s="518" t="str">
        <f>IFERROR(IF(OR(COUNTIF(AF423:AF432,"")=10,AQ423="",AR423=""),"",IF(AO423="NO",0,AR423/AQ423)),"")</f>
        <v/>
      </c>
      <c r="AT423" s="207"/>
      <c r="AU423" s="698"/>
      <c r="AV423" s="701"/>
      <c r="AW423" s="704"/>
      <c r="AX423" s="707"/>
      <c r="AY423" s="19"/>
      <c r="CB423" s="29" t="str">
        <f>IFERROR(IF(COUNTIF(AF423:AF432,"")=10,"",IF(COUNTIF(E423:E432,"N/A")&gt;0,IF(AF423&gt;=CMEMM1,AF423,0),"N/A")),"")</f>
        <v/>
      </c>
      <c r="CC423" s="4"/>
      <c r="CD423" s="4" t="str">
        <f>IFERROR(IF(COUNTIF(AF423:AF432,"")=10,"",IF(AF423="","",IF(AF423&gt;=CMEMM1,1,0))),"")</f>
        <v/>
      </c>
      <c r="CE423" s="4" t="str">
        <f>B423&amp;"-0"&amp;1</f>
        <v>P43-01</v>
      </c>
      <c r="CF423" s="4">
        <f>IFERROR(INDEX('DESEMPATE Y DISCAPACIDAD'!$D$3:$D$450,MATCH(CE423,'DESEMPATE Y DISCAPACIDAD'!$C$3:$C$450,0)),"")</f>
        <v>0</v>
      </c>
      <c r="CG423" s="4">
        <f>IF(OR(CE423="",CF423=""),"",SUMIF(D423:D432,CF423,CD423:CD432))</f>
        <v>0</v>
      </c>
      <c r="CH423" s="4" t="str">
        <f t="shared" si="381"/>
        <v>NO CUMPLE</v>
      </c>
      <c r="CI423" s="4">
        <f>IF(CF423="","",IF(ISTEXT(CF423),1,0))</f>
        <v>0</v>
      </c>
      <c r="CJ423" s="4" t="str">
        <f>IF(OR(CD423="",CE423="",CF423="",CG423="",CH423="",CI423=""),"",IF(COUNTIF(CH423:CH432,"CUMPLE")=COUNTIF(CI423:CI432,1),"CUMPLE","NO CUMPLE"))</f>
        <v/>
      </c>
      <c r="CK423" s="4"/>
      <c r="CL423" s="4" t="str">
        <f t="shared" si="354"/>
        <v/>
      </c>
      <c r="CM423" s="4" t="str">
        <f t="shared" si="355"/>
        <v/>
      </c>
      <c r="CN423" s="4" t="str">
        <f>IF(OR(CL423="",CM423=""),"",IF(AND(CL423=0,CM423=0),"N/A",IF(AND(CL423=1,CM423=0),"COND. A",IF(AND(CL423=0,CM423=1),"COND. B",IF(AND(CL423=1,CM423=1),"COND. A Y B","")))))</f>
        <v/>
      </c>
      <c r="CO423" s="4" t="str">
        <f>IF(COUNTIF(CN423:CN432,"N/A")=10,"NO CUMPLE",IF(COUNTIF(CN423:CN432,"COND. A Y B")&gt;1,"CUMPLE",IF(AND(COUNTIF(CN423:CN432,"COND. A")&gt;0,COUNTIF(CN423:CN432,"COND. B")&gt;0),"CUMPLE",IF(AND(COUNTIF(CN423:CN432,"COND. A Y B")&gt;0,COUNTIF(CN423:CN432,"COND. A")&gt;0),"CUMPLE",IF(AND(COUNTIF(CN423:CN432,"COND. A Y B")&gt;0,COUNTIF(CN423:CN432,"COND. B")&gt;0),"CUMPLE","NO CUMPLE")))))</f>
        <v>NO CUMPLE</v>
      </c>
      <c r="CP423" s="4"/>
      <c r="CQ423" s="29" t="str">
        <f t="shared" si="365"/>
        <v/>
      </c>
      <c r="CR423" s="29" t="str">
        <f t="shared" si="366"/>
        <v/>
      </c>
      <c r="CS423" s="4"/>
    </row>
    <row r="424" spans="1:97" ht="34.25" hidden="1" customHeight="1">
      <c r="B424" s="481"/>
      <c r="C424" s="118"/>
      <c r="D424" s="119" t="str">
        <f>+IFERROR(INDEX('DESEMPATE Y DISCAPACIDAD'!$D$3:$D$450,MATCH(C424,'DESEMPATE Y DISCAPACIDAD'!$C$3:$C$450,0)),"")</f>
        <v/>
      </c>
      <c r="E424" s="120" t="str">
        <f>IFERROR(IF(D424="","",IF(VLOOKUP(D424,'DESEMPATE Y DISCAPACIDAD'!D$3:$E$450,2,FALSE)=1,"N/A",IF(VLOOKUP(D424,'DESEMPATE Y DISCAPACIDAD'!D$3:$F$450,3,FALSE)="X","SI","NO"))),"")</f>
        <v/>
      </c>
      <c r="F424" s="125"/>
      <c r="G424" s="125"/>
      <c r="H424" s="121"/>
      <c r="I424" s="122"/>
      <c r="J424" s="121"/>
      <c r="K424" s="121"/>
      <c r="L424" s="179"/>
      <c r="M424" s="121"/>
      <c r="N424" s="121" t="str">
        <f t="shared" ref="N424:N432" si="382">IFERROR(IF(OR(J424="",K424=""),"",IF(J424="NO","NO",K424)),"")</f>
        <v/>
      </c>
      <c r="O424" s="121" t="str">
        <f>IFERROR(IF(OR(J424="",L424=""),"",IF(J424="NO","NO",L424)),"")</f>
        <v/>
      </c>
      <c r="P424" s="121" t="str">
        <f t="shared" ref="P424:P432" si="383">IFERROR(IF(OR(J424="",M424=""),"",IF(J424="NO","NO",M424)),"")</f>
        <v/>
      </c>
      <c r="Q424" s="121" t="str">
        <f t="shared" si="356"/>
        <v/>
      </c>
      <c r="R424" s="103"/>
      <c r="S424" s="123"/>
      <c r="T424" s="123"/>
      <c r="U424" s="121" t="str">
        <f t="shared" ref="U424:U432" si="384">IFERROR(IF(T424="","",YEAR(T424)),"")</f>
        <v/>
      </c>
      <c r="V424" s="124" t="str">
        <f>IF(U424=2023,1160000,IFERROR(INDEX(SMMLV!$B$2:$B$101,MATCH(U424,SMMLV!$A$2:$A$101,0)),""))</f>
        <v/>
      </c>
      <c r="W424" s="124"/>
      <c r="X424" s="125"/>
      <c r="Y424" s="125"/>
      <c r="Z424" s="474"/>
      <c r="AA424" s="475"/>
      <c r="AB424" s="476"/>
      <c r="AC424" s="125" t="str">
        <f t="shared" ref="AC424:AC432" si="385">IFERROR(IF(Y424="","",IF(ISNUMBER(Y424),IF(COUNTIF(Z424,"SI")&gt;0,"SI","NO"),Y424)),"")</f>
        <v/>
      </c>
      <c r="AD424" s="117" t="str">
        <f t="shared" si="357"/>
        <v/>
      </c>
      <c r="AE424" s="117" t="str">
        <f t="shared" si="353"/>
        <v/>
      </c>
      <c r="AF424" s="117" t="str">
        <f t="shared" si="350"/>
        <v/>
      </c>
      <c r="AG424" s="470"/>
      <c r="AH424" s="470"/>
      <c r="AI424" s="125" t="str">
        <f t="shared" si="351"/>
        <v/>
      </c>
      <c r="AJ424" s="470"/>
      <c r="AK424" s="470"/>
      <c r="AL424" s="472"/>
      <c r="AM424" s="496"/>
      <c r="AN424" s="125"/>
      <c r="AO424" s="490"/>
      <c r="AP424" s="125"/>
      <c r="AQ424" s="490"/>
      <c r="AR424" s="522"/>
      <c r="AS424" s="519"/>
      <c r="AT424" s="204"/>
      <c r="AU424" s="699"/>
      <c r="AV424" s="702"/>
      <c r="AW424" s="705"/>
      <c r="AX424" s="708"/>
      <c r="AY424" s="19"/>
      <c r="CB424" s="29" t="str">
        <f>IFERROR(IF(COUNTIF(AF423:AF432,"")=10,"",IF(COUNTIF(E423:E432,"N/A")&gt;0,IF(AF424&gt;=CMEMM1,AF424,0),"N/A")),"")</f>
        <v/>
      </c>
      <c r="CC424" s="4"/>
      <c r="CD424" s="4" t="str">
        <f>IFERROR(IF(COUNTIF(AF423:AF432,"")=10,"",IF(AF424="","",IF(AF424&gt;=CMEMM1,1,0))),"")</f>
        <v/>
      </c>
      <c r="CE424" s="4" t="str">
        <f>B423&amp;"-0"&amp;2</f>
        <v>P43-02</v>
      </c>
      <c r="CF424" s="4">
        <f>IFERROR(INDEX('DESEMPATE Y DISCAPACIDAD'!$D$3:$D$450,MATCH(CE424,'DESEMPATE Y DISCAPACIDAD'!$C$3:$C$450,0)),"")</f>
        <v>0</v>
      </c>
      <c r="CG424" s="4">
        <f>IF(OR(CE424="",CF424=""),"",SUMIF(D423:D432,CF424,CD423:CD432))</f>
        <v>0</v>
      </c>
      <c r="CH424" s="4" t="str">
        <f t="shared" si="381"/>
        <v>NO CUMPLE</v>
      </c>
      <c r="CI424" s="4">
        <f t="shared" ref="CI424:CI432" si="386">IF(CF424="","",IF(ISTEXT(CF424),1,0))</f>
        <v>0</v>
      </c>
      <c r="CJ424" s="4"/>
      <c r="CK424" s="4"/>
      <c r="CL424" s="4" t="str">
        <f t="shared" si="354"/>
        <v/>
      </c>
      <c r="CM424" s="4" t="str">
        <f t="shared" si="355"/>
        <v/>
      </c>
      <c r="CN424" s="4" t="str">
        <f t="shared" ref="CN424:CN432" si="387">IF(OR(CL424="",CM424=""),"",IF(AND(CL424=0,CM424=0),"N/A",IF(AND(CL424=1,CM424=0),"COND. A",IF(AND(CL424=0,CM424=1),"COND. B",IF(AND(CL424=1,CM424=1),"COND. A Y B","")))))</f>
        <v/>
      </c>
      <c r="CO424" s="4"/>
      <c r="CP424" s="4"/>
      <c r="CQ424" s="29" t="str">
        <f t="shared" si="365"/>
        <v/>
      </c>
      <c r="CR424" s="29" t="str">
        <f t="shared" si="366"/>
        <v/>
      </c>
      <c r="CS424" s="4"/>
    </row>
    <row r="425" spans="1:97" ht="34.25" hidden="1" customHeight="1">
      <c r="B425" s="481"/>
      <c r="C425" s="118"/>
      <c r="D425" s="126" t="str">
        <f>+IFERROR(INDEX('DESEMPATE Y DISCAPACIDAD'!$D$3:$D$450,MATCH(C425,'DESEMPATE Y DISCAPACIDAD'!$C$3:$C$450,0)),"")</f>
        <v/>
      </c>
      <c r="E425" s="127" t="str">
        <f>IFERROR(IF(D425="","",IF(VLOOKUP(D425,'DESEMPATE Y DISCAPACIDAD'!D$3:$E$450,2,FALSE)=1,"N/A",IF(VLOOKUP(D425,'DESEMPATE Y DISCAPACIDAD'!D$3:$F$450,3,FALSE)="X","SI","NO"))),"")</f>
        <v/>
      </c>
      <c r="F425" s="121"/>
      <c r="G425" s="121"/>
      <c r="H425" s="125"/>
      <c r="I425" s="128"/>
      <c r="J425" s="3"/>
      <c r="K425" s="3"/>
      <c r="L425" s="3"/>
      <c r="M425" s="3"/>
      <c r="N425" s="125" t="str">
        <f t="shared" si="382"/>
        <v/>
      </c>
      <c r="O425" s="125" t="str">
        <f>IFERROR(IF(OR(J425="",L425=""),"",IF(J425="NO","NO",L425)),"")</f>
        <v/>
      </c>
      <c r="P425" s="125" t="str">
        <f t="shared" si="383"/>
        <v/>
      </c>
      <c r="Q425" s="125" t="str">
        <f t="shared" si="356"/>
        <v/>
      </c>
      <c r="R425" s="68"/>
      <c r="S425" s="129"/>
      <c r="T425" s="129"/>
      <c r="U425" s="125" t="str">
        <f t="shared" si="384"/>
        <v/>
      </c>
      <c r="V425" s="117" t="str">
        <f>IF(U425=2023,1160000,IFERROR(INDEX(SMMLV!$B$2:$B$101,MATCH(U425,SMMLV!$A$2:$A$101,0)),""))</f>
        <v/>
      </c>
      <c r="W425" s="117"/>
      <c r="X425" s="125"/>
      <c r="Y425" s="125"/>
      <c r="Z425" s="477"/>
      <c r="AA425" s="478"/>
      <c r="AB425" s="479"/>
      <c r="AC425" s="125" t="str">
        <f t="shared" si="385"/>
        <v/>
      </c>
      <c r="AD425" s="117" t="str">
        <f t="shared" si="357"/>
        <v/>
      </c>
      <c r="AE425" s="117" t="str">
        <f t="shared" si="353"/>
        <v/>
      </c>
      <c r="AF425" s="117" t="str">
        <f t="shared" si="350"/>
        <v/>
      </c>
      <c r="AG425" s="470"/>
      <c r="AH425" s="470"/>
      <c r="AI425" s="125" t="str">
        <f t="shared" si="351"/>
        <v/>
      </c>
      <c r="AJ425" s="470"/>
      <c r="AK425" s="470"/>
      <c r="AL425" s="472"/>
      <c r="AM425" s="496"/>
      <c r="AN425" s="3"/>
      <c r="AO425" s="490"/>
      <c r="AP425" s="3"/>
      <c r="AQ425" s="490"/>
      <c r="AR425" s="522"/>
      <c r="AS425" s="519"/>
      <c r="AT425" s="204"/>
      <c r="AU425" s="699"/>
      <c r="AV425" s="702"/>
      <c r="AW425" s="705"/>
      <c r="AX425" s="708"/>
      <c r="AY425" s="19"/>
      <c r="CB425" s="29" t="str">
        <f>IFERROR(IF(COUNTIF(AF423:AF432,"")=10,"",IF(COUNTIF(E423:E432,"N/A")&gt;0,IF(AF425&gt;=CMEMM1,AF425,0),"N/A")),"")</f>
        <v/>
      </c>
      <c r="CC425" s="4"/>
      <c r="CD425" s="4" t="str">
        <f>IFERROR(IF(COUNTIF(AF423:AF432,"")=10,"",IF(AF425="","",IF(AF425&gt;=CMEMM1,1,0))),"")</f>
        <v/>
      </c>
      <c r="CE425" s="4" t="str">
        <f>B423&amp;"-0"&amp;3</f>
        <v>P43-03</v>
      </c>
      <c r="CF425" s="4">
        <f>IFERROR(INDEX('DESEMPATE Y DISCAPACIDAD'!$D$3:$D$450,MATCH(CE425,'DESEMPATE Y DISCAPACIDAD'!$C$3:$C$450,0)),"")</f>
        <v>0</v>
      </c>
      <c r="CG425" s="4">
        <f>IF(OR(CE425="",CF425=""),"",SUMIF(D423:D432,CF425,CD423:CD432))</f>
        <v>0</v>
      </c>
      <c r="CH425" s="4" t="str">
        <f t="shared" si="381"/>
        <v>NO CUMPLE</v>
      </c>
      <c r="CI425" s="4">
        <f t="shared" si="386"/>
        <v>0</v>
      </c>
      <c r="CJ425" s="4"/>
      <c r="CK425" s="4"/>
      <c r="CL425" s="4" t="str">
        <f t="shared" si="354"/>
        <v/>
      </c>
      <c r="CM425" s="4" t="str">
        <f t="shared" si="355"/>
        <v/>
      </c>
      <c r="CN425" s="4" t="str">
        <f t="shared" si="387"/>
        <v/>
      </c>
      <c r="CO425" s="4"/>
      <c r="CP425" s="4"/>
      <c r="CQ425" s="29" t="str">
        <f t="shared" si="365"/>
        <v/>
      </c>
      <c r="CR425" s="29" t="str">
        <f t="shared" si="366"/>
        <v/>
      </c>
      <c r="CS425" s="4"/>
    </row>
    <row r="426" spans="1:97" ht="34.25" hidden="1" customHeight="1">
      <c r="B426" s="481"/>
      <c r="C426" s="118"/>
      <c r="D426" s="126" t="str">
        <f>+IFERROR(INDEX('DESEMPATE Y DISCAPACIDAD'!$D$3:$D$450,MATCH(C426,'DESEMPATE Y DISCAPACIDAD'!$C$3:$C$450,0)),"")</f>
        <v/>
      </c>
      <c r="E426" s="127" t="str">
        <f>IFERROR(IF(D426="","",IF(VLOOKUP(D426,'DESEMPATE Y DISCAPACIDAD'!D$3:$E$450,2,FALSE)=1,"N/A",IF(VLOOKUP(D426,'DESEMPATE Y DISCAPACIDAD'!D$3:$F$450,3,FALSE)="X","SI","NO"))),"")</f>
        <v/>
      </c>
      <c r="F426" s="141"/>
      <c r="G426" s="125"/>
      <c r="H426" s="125"/>
      <c r="I426" s="128"/>
      <c r="J426" s="125"/>
      <c r="K426" s="125"/>
      <c r="L426" s="3"/>
      <c r="M426" s="125"/>
      <c r="N426" s="125" t="str">
        <f t="shared" si="382"/>
        <v/>
      </c>
      <c r="O426" s="125" t="str">
        <f>IFERROR(IF(OR(J426="",L426=""),"",IF(J426="NO","NO",L426)),"")</f>
        <v/>
      </c>
      <c r="P426" s="125" t="str">
        <f t="shared" si="383"/>
        <v/>
      </c>
      <c r="Q426" s="125" t="str">
        <f t="shared" si="356"/>
        <v/>
      </c>
      <c r="R426" s="68"/>
      <c r="S426" s="129"/>
      <c r="T426" s="129"/>
      <c r="U426" s="125" t="str">
        <f t="shared" si="384"/>
        <v/>
      </c>
      <c r="V426" s="117" t="str">
        <f>IF(U426=2023,1160000,IFERROR(INDEX(SMMLV!$B$2:$B$101,MATCH(U426,SMMLV!$A$2:$A$101,0)),""))</f>
        <v/>
      </c>
      <c r="W426" s="117"/>
      <c r="X426" s="125"/>
      <c r="Y426" s="125"/>
      <c r="Z426" s="474"/>
      <c r="AA426" s="475"/>
      <c r="AB426" s="476"/>
      <c r="AC426" s="125" t="str">
        <f t="shared" si="385"/>
        <v/>
      </c>
      <c r="AD426" s="117" t="str">
        <f t="shared" si="357"/>
        <v/>
      </c>
      <c r="AE426" s="117" t="str">
        <f t="shared" si="353"/>
        <v/>
      </c>
      <c r="AF426" s="117" t="str">
        <f t="shared" si="350"/>
        <v/>
      </c>
      <c r="AG426" s="470"/>
      <c r="AH426" s="470"/>
      <c r="AI426" s="125" t="str">
        <f t="shared" si="351"/>
        <v/>
      </c>
      <c r="AJ426" s="470"/>
      <c r="AK426" s="470"/>
      <c r="AL426" s="472"/>
      <c r="AM426" s="496"/>
      <c r="AN426" s="125"/>
      <c r="AO426" s="490"/>
      <c r="AP426" s="125"/>
      <c r="AQ426" s="490"/>
      <c r="AR426" s="522"/>
      <c r="AS426" s="519"/>
      <c r="AT426" s="204"/>
      <c r="AU426" s="699"/>
      <c r="AV426" s="702"/>
      <c r="AW426" s="705"/>
      <c r="AX426" s="708"/>
      <c r="AY426" s="19"/>
      <c r="CB426" s="29" t="str">
        <f>IFERROR(IF(COUNTIF(AF423:AF432,"")=10,"",IF(COUNTIF(E423:E432,"N/A")&gt;0,IF(AF426&gt;=CMEMM1,AF426,0),"N/A")),"")</f>
        <v/>
      </c>
      <c r="CC426" s="4"/>
      <c r="CD426" s="4" t="str">
        <f>IFERROR(IF(COUNTIF(AF423:AF432,"")=10,"",IF(AF426="","",IF(AF426&gt;=CMEMM1,1,0))),"")</f>
        <v/>
      </c>
      <c r="CE426" s="4" t="str">
        <f>B423&amp;"-0"&amp;4</f>
        <v>P43-04</v>
      </c>
      <c r="CF426" s="4">
        <f>IFERROR(INDEX('DESEMPATE Y DISCAPACIDAD'!$D$3:$D$450,MATCH(CE426,'DESEMPATE Y DISCAPACIDAD'!$C$3:$C$450,0)),"")</f>
        <v>0</v>
      </c>
      <c r="CG426" s="4">
        <f>IF(OR(CE426="",CF426=""),"",SUMIF(D423:D432,CF426,CD423:CD432))</f>
        <v>0</v>
      </c>
      <c r="CH426" s="4" t="str">
        <f t="shared" si="381"/>
        <v>NO CUMPLE</v>
      </c>
      <c r="CI426" s="4">
        <f t="shared" si="386"/>
        <v>0</v>
      </c>
      <c r="CJ426" s="4"/>
      <c r="CK426" s="4"/>
      <c r="CL426" s="4" t="str">
        <f t="shared" si="354"/>
        <v/>
      </c>
      <c r="CM426" s="4" t="str">
        <f t="shared" si="355"/>
        <v/>
      </c>
      <c r="CN426" s="4" t="str">
        <f t="shared" si="387"/>
        <v/>
      </c>
      <c r="CO426" s="4"/>
      <c r="CP426" s="4"/>
      <c r="CQ426" s="29" t="str">
        <f t="shared" si="365"/>
        <v/>
      </c>
      <c r="CR426" s="29" t="str">
        <f t="shared" si="366"/>
        <v/>
      </c>
      <c r="CS426" s="4"/>
    </row>
    <row r="427" spans="1:97" ht="34.25" hidden="1" customHeight="1">
      <c r="B427" s="481"/>
      <c r="C427" s="118"/>
      <c r="D427" s="126" t="str">
        <f>+IFERROR(INDEX('DESEMPATE Y DISCAPACIDAD'!$D$3:$D$450,MATCH(C427,'DESEMPATE Y DISCAPACIDAD'!$C$3:$C$450,0)),"")</f>
        <v/>
      </c>
      <c r="E427" s="127" t="str">
        <f>IFERROR(IF(D427="","",IF(VLOOKUP(D427,'DESEMPATE Y DISCAPACIDAD'!D$3:$E$450,2,FALSE)=1,"N/A",IF(VLOOKUP(D427,'DESEMPATE Y DISCAPACIDAD'!D$3:$F$450,3,FALSE)="X","SI","NO"))),"")</f>
        <v/>
      </c>
      <c r="F427" s="125"/>
      <c r="G427" s="125"/>
      <c r="H427" s="125"/>
      <c r="I427" s="128"/>
      <c r="J427" s="125"/>
      <c r="K427" s="125"/>
      <c r="L427" s="3"/>
      <c r="M427" s="125"/>
      <c r="N427" s="125" t="str">
        <f t="shared" si="382"/>
        <v/>
      </c>
      <c r="O427" s="125" t="str">
        <f t="shared" ref="O427:O432" si="388">IFERROR(IF(OR(J427="",L427=""),"",IF(J427="NO","NO",L427)),"")</f>
        <v/>
      </c>
      <c r="P427" s="125" t="str">
        <f t="shared" si="383"/>
        <v/>
      </c>
      <c r="Q427" s="125" t="str">
        <f t="shared" si="356"/>
        <v/>
      </c>
      <c r="R427" s="68"/>
      <c r="S427" s="129"/>
      <c r="T427" s="129"/>
      <c r="U427" s="125" t="str">
        <f t="shared" si="384"/>
        <v/>
      </c>
      <c r="V427" s="117" t="str">
        <f>IF(U427=2023,1160000,IFERROR(INDEX(SMMLV!$B$2:$B$101,MATCH(U427,SMMLV!$A$2:$A$101,0)),""))</f>
        <v/>
      </c>
      <c r="W427" s="117"/>
      <c r="X427" s="125"/>
      <c r="Y427" s="125"/>
      <c r="Z427" s="474"/>
      <c r="AA427" s="475"/>
      <c r="AB427" s="476"/>
      <c r="AC427" s="125" t="str">
        <f t="shared" si="385"/>
        <v/>
      </c>
      <c r="AD427" s="117" t="str">
        <f t="shared" si="357"/>
        <v/>
      </c>
      <c r="AE427" s="117" t="str">
        <f t="shared" si="353"/>
        <v/>
      </c>
      <c r="AF427" s="117" t="str">
        <f t="shared" si="350"/>
        <v/>
      </c>
      <c r="AG427" s="470"/>
      <c r="AH427" s="470"/>
      <c r="AI427" s="125" t="str">
        <f t="shared" si="351"/>
        <v/>
      </c>
      <c r="AJ427" s="470"/>
      <c r="AK427" s="470"/>
      <c r="AL427" s="472"/>
      <c r="AM427" s="496"/>
      <c r="AN427" s="125"/>
      <c r="AO427" s="490"/>
      <c r="AP427" s="125"/>
      <c r="AQ427" s="490"/>
      <c r="AR427" s="522"/>
      <c r="AS427" s="519"/>
      <c r="AT427" s="204"/>
      <c r="AU427" s="699"/>
      <c r="AV427" s="702"/>
      <c r="AW427" s="705"/>
      <c r="AX427" s="708"/>
      <c r="AY427" s="19"/>
      <c r="CB427" s="29" t="str">
        <f>IFERROR(IF(COUNTIF(AF423:AF432,"")=10,"",IF(COUNTIF(E423:E432,"N/A")&gt;0,IF(AF427&gt;=CMEMM1,AF427,0),"N/A")),"")</f>
        <v/>
      </c>
      <c r="CC427" s="4"/>
      <c r="CD427" s="4" t="str">
        <f>IFERROR(IF(COUNTIF(AF423:AF432,"")=10,"",IF(AF427="","",IF(AF427&gt;=CMEMM1,1,0))),"")</f>
        <v/>
      </c>
      <c r="CE427" s="4" t="str">
        <f>B423&amp;"-0"&amp;5</f>
        <v>P43-05</v>
      </c>
      <c r="CF427" s="4">
        <f>IFERROR(INDEX('DESEMPATE Y DISCAPACIDAD'!$D$3:$D$450,MATCH(CE427,'DESEMPATE Y DISCAPACIDAD'!$C$3:$C$450,0)),"")</f>
        <v>0</v>
      </c>
      <c r="CG427" s="4">
        <f>IF(OR(CE427="",CF427=""),"",SUMIF(D423:D432,CF427,CD423:CD432))</f>
        <v>0</v>
      </c>
      <c r="CH427" s="4" t="str">
        <f t="shared" si="381"/>
        <v>NO CUMPLE</v>
      </c>
      <c r="CI427" s="4">
        <f t="shared" si="386"/>
        <v>0</v>
      </c>
      <c r="CJ427" s="4"/>
      <c r="CK427" s="4"/>
      <c r="CL427" s="4" t="str">
        <f t="shared" si="354"/>
        <v/>
      </c>
      <c r="CM427" s="4" t="str">
        <f t="shared" si="355"/>
        <v/>
      </c>
      <c r="CN427" s="4" t="str">
        <f t="shared" si="387"/>
        <v/>
      </c>
      <c r="CO427" s="4"/>
      <c r="CP427" s="4"/>
      <c r="CQ427" s="29" t="str">
        <f t="shared" si="365"/>
        <v/>
      </c>
      <c r="CR427" s="29" t="str">
        <f t="shared" si="366"/>
        <v/>
      </c>
      <c r="CS427" s="4"/>
    </row>
    <row r="428" spans="1:97" ht="34.25" hidden="1" customHeight="1">
      <c r="B428" s="481"/>
      <c r="C428" s="118"/>
      <c r="D428" s="126" t="str">
        <f>+IFERROR(INDEX('DESEMPATE Y DISCAPACIDAD'!$D$3:$D$450,MATCH(C428,'DESEMPATE Y DISCAPACIDAD'!$C$3:$C$450,0)),"")</f>
        <v/>
      </c>
      <c r="E428" s="127" t="str">
        <f>IFERROR(IF(D428="","",IF(VLOOKUP(D428,'DESEMPATE Y DISCAPACIDAD'!D$3:$E$450,2,FALSE)=1,"N/A",IF(VLOOKUP(D428,'DESEMPATE Y DISCAPACIDAD'!D$3:$F$450,3,FALSE)="X","SI","NO"))),"")</f>
        <v/>
      </c>
      <c r="F428" s="125"/>
      <c r="G428" s="125"/>
      <c r="H428" s="125"/>
      <c r="I428" s="128"/>
      <c r="J428" s="125"/>
      <c r="K428" s="125"/>
      <c r="L428" s="125"/>
      <c r="M428" s="125"/>
      <c r="N428" s="125" t="str">
        <f t="shared" si="382"/>
        <v/>
      </c>
      <c r="O428" s="125" t="str">
        <f t="shared" si="388"/>
        <v/>
      </c>
      <c r="P428" s="125" t="str">
        <f t="shared" si="383"/>
        <v/>
      </c>
      <c r="Q428" s="125" t="str">
        <f t="shared" si="356"/>
        <v/>
      </c>
      <c r="R428" s="68"/>
      <c r="S428" s="129"/>
      <c r="T428" s="129"/>
      <c r="U428" s="125" t="str">
        <f t="shared" si="384"/>
        <v/>
      </c>
      <c r="V428" s="117" t="str">
        <f>IF(U428=2023,1160000,IFERROR(INDEX(SMMLV!$B$2:$B$101,MATCH(U428,SMMLV!$A$2:$A$101,0)),""))</f>
        <v/>
      </c>
      <c r="W428" s="117"/>
      <c r="X428" s="125"/>
      <c r="Y428" s="125"/>
      <c r="Z428" s="474"/>
      <c r="AA428" s="475"/>
      <c r="AB428" s="476"/>
      <c r="AC428" s="125" t="str">
        <f t="shared" si="385"/>
        <v/>
      </c>
      <c r="AD428" s="117" t="str">
        <f t="shared" si="357"/>
        <v/>
      </c>
      <c r="AE428" s="117" t="str">
        <f t="shared" si="353"/>
        <v/>
      </c>
      <c r="AF428" s="117" t="str">
        <f t="shared" si="350"/>
        <v/>
      </c>
      <c r="AG428" s="470"/>
      <c r="AH428" s="470"/>
      <c r="AI428" s="125" t="str">
        <f t="shared" si="351"/>
        <v/>
      </c>
      <c r="AJ428" s="470"/>
      <c r="AK428" s="470"/>
      <c r="AL428" s="472"/>
      <c r="AM428" s="496"/>
      <c r="AN428" s="3"/>
      <c r="AO428" s="490"/>
      <c r="AP428" s="125"/>
      <c r="AQ428" s="490"/>
      <c r="AR428" s="522"/>
      <c r="AS428" s="519"/>
      <c r="AT428" s="204"/>
      <c r="AU428" s="699"/>
      <c r="AV428" s="702"/>
      <c r="AW428" s="705"/>
      <c r="AX428" s="708"/>
      <c r="AY428" s="19"/>
      <c r="CB428" s="29" t="str">
        <f>IFERROR(IF(COUNTIF(AF423:AF432,"")=10,"",IF(COUNTIF(E423:E432,"N/A")&gt;0,IF(AF428&gt;=CMEMM1,AF428,0),"N/A")),"")</f>
        <v/>
      </c>
      <c r="CC428" s="4"/>
      <c r="CD428" s="4" t="str">
        <f>IFERROR(IF(COUNTIF(AF423:AF432,"")=10,"",IF(AF428="","",IF(AF428&gt;=CMEMM1,1,0))),"")</f>
        <v/>
      </c>
      <c r="CE428" s="4" t="str">
        <f>B423&amp;"-0"&amp;6</f>
        <v>P43-06</v>
      </c>
      <c r="CF428" s="4">
        <f>IFERROR(INDEX('DESEMPATE Y DISCAPACIDAD'!$D$3:$D$450,MATCH(CE428,'DESEMPATE Y DISCAPACIDAD'!$C$3:$C$450,0)),"")</f>
        <v>0</v>
      </c>
      <c r="CG428" s="4">
        <f>IF(OR(CE428="",CF428=""),"",SUMIF(D423:D432,CF428,CD423:CD432))</f>
        <v>0</v>
      </c>
      <c r="CH428" s="4" t="str">
        <f t="shared" si="381"/>
        <v>NO CUMPLE</v>
      </c>
      <c r="CI428" s="4">
        <f t="shared" si="386"/>
        <v>0</v>
      </c>
      <c r="CJ428" s="4"/>
      <c r="CK428" s="4"/>
      <c r="CL428" s="4" t="str">
        <f t="shared" si="354"/>
        <v/>
      </c>
      <c r="CM428" s="4" t="str">
        <f t="shared" si="355"/>
        <v/>
      </c>
      <c r="CN428" s="4" t="str">
        <f t="shared" si="387"/>
        <v/>
      </c>
      <c r="CO428" s="4"/>
      <c r="CP428" s="4"/>
      <c r="CQ428" s="29" t="str">
        <f t="shared" si="365"/>
        <v/>
      </c>
      <c r="CR428" s="29" t="str">
        <f t="shared" si="366"/>
        <v/>
      </c>
      <c r="CS428" s="4"/>
    </row>
    <row r="429" spans="1:97" ht="34.25" hidden="1" customHeight="1">
      <c r="B429" s="481"/>
      <c r="C429" s="118"/>
      <c r="D429" s="126" t="str">
        <f>+IFERROR(INDEX('DESEMPATE Y DISCAPACIDAD'!$D$3:$D$450,MATCH(C429,'DESEMPATE Y DISCAPACIDAD'!$C$3:$C$450,0)),"")</f>
        <v/>
      </c>
      <c r="E429" s="127" t="str">
        <f>IFERROR(IF(D429="","",IF(VLOOKUP(D429,'DESEMPATE Y DISCAPACIDAD'!D$3:$E$450,2,FALSE)=1,"N/A",IF(VLOOKUP(D429,'DESEMPATE Y DISCAPACIDAD'!D$3:$F$450,3,FALSE)="X","SI","NO"))),"")</f>
        <v/>
      </c>
      <c r="F429" s="125"/>
      <c r="G429" s="125"/>
      <c r="H429" s="125"/>
      <c r="I429" s="128"/>
      <c r="J429" s="125"/>
      <c r="K429" s="125"/>
      <c r="L429" s="125"/>
      <c r="M429" s="125"/>
      <c r="N429" s="125" t="str">
        <f t="shared" si="382"/>
        <v/>
      </c>
      <c r="O429" s="125" t="str">
        <f t="shared" si="388"/>
        <v/>
      </c>
      <c r="P429" s="125" t="str">
        <f t="shared" si="383"/>
        <v/>
      </c>
      <c r="Q429" s="125" t="str">
        <f t="shared" si="356"/>
        <v/>
      </c>
      <c r="R429" s="68"/>
      <c r="S429" s="129"/>
      <c r="T429" s="129"/>
      <c r="U429" s="125" t="str">
        <f t="shared" si="384"/>
        <v/>
      </c>
      <c r="V429" s="117" t="str">
        <f>IF(U429=2023,1160000,IFERROR(INDEX(SMMLV!$B$2:$B$101,MATCH(U429,SMMLV!$A$2:$A$101,0)),""))</f>
        <v/>
      </c>
      <c r="W429" s="117"/>
      <c r="X429" s="125"/>
      <c r="Y429" s="125"/>
      <c r="Z429" s="474"/>
      <c r="AA429" s="475"/>
      <c r="AB429" s="476"/>
      <c r="AC429" s="125" t="str">
        <f t="shared" si="385"/>
        <v/>
      </c>
      <c r="AD429" s="117" t="str">
        <f t="shared" si="357"/>
        <v/>
      </c>
      <c r="AE429" s="117" t="str">
        <f t="shared" si="353"/>
        <v/>
      </c>
      <c r="AF429" s="117" t="str">
        <f t="shared" si="350"/>
        <v/>
      </c>
      <c r="AG429" s="470"/>
      <c r="AH429" s="470"/>
      <c r="AI429" s="125" t="str">
        <f t="shared" si="351"/>
        <v/>
      </c>
      <c r="AJ429" s="470"/>
      <c r="AK429" s="470"/>
      <c r="AL429" s="472"/>
      <c r="AM429" s="496"/>
      <c r="AN429" s="125"/>
      <c r="AO429" s="490"/>
      <c r="AP429" s="125"/>
      <c r="AQ429" s="490"/>
      <c r="AR429" s="522"/>
      <c r="AS429" s="519"/>
      <c r="AT429" s="204"/>
      <c r="AU429" s="699"/>
      <c r="AV429" s="702"/>
      <c r="AW429" s="705"/>
      <c r="AX429" s="708"/>
      <c r="AY429" s="19"/>
      <c r="CB429" s="29" t="str">
        <f>IFERROR(IF(COUNTIF(AF423:AF432,"")=10,"",IF(COUNTIF(E423:E432,"N/A")&gt;0,IF(AF429&gt;=CMEMM1,AF429,0),"N/A")),"")</f>
        <v/>
      </c>
      <c r="CC429" s="4"/>
      <c r="CD429" s="4" t="str">
        <f>IFERROR(IF(COUNTIF(AF423:AF432,"")=10,"",IF(AF429="","",IF(AF429&gt;=CMEMM1,1,0))),"")</f>
        <v/>
      </c>
      <c r="CE429" s="4" t="str">
        <f>B423&amp;"-0"&amp;7</f>
        <v>P43-07</v>
      </c>
      <c r="CF429" s="4" t="str">
        <f>IFERROR(INDEX('DESEMPATE Y DISCAPACIDAD'!$D$3:$D$450,MATCH(CE429,'DESEMPATE Y DISCAPACIDAD'!$C$3:$C$450,0)),"")</f>
        <v/>
      </c>
      <c r="CG429" s="4" t="str">
        <f>IF(OR(CE429="",CF429=""),"",SUMIF(D423:D432,CF429,CD423:CD432))</f>
        <v/>
      </c>
      <c r="CH429" s="4" t="str">
        <f t="shared" si="381"/>
        <v/>
      </c>
      <c r="CI429" s="4" t="str">
        <f t="shared" si="386"/>
        <v/>
      </c>
      <c r="CJ429" s="4"/>
      <c r="CK429" s="4"/>
      <c r="CL429" s="4" t="str">
        <f t="shared" si="354"/>
        <v/>
      </c>
      <c r="CM429" s="4" t="str">
        <f t="shared" si="355"/>
        <v/>
      </c>
      <c r="CN429" s="4" t="str">
        <f t="shared" si="387"/>
        <v/>
      </c>
      <c r="CO429" s="4"/>
      <c r="CP429" s="4"/>
      <c r="CQ429" s="29" t="str">
        <f t="shared" si="365"/>
        <v/>
      </c>
      <c r="CR429" s="29" t="str">
        <f t="shared" si="366"/>
        <v/>
      </c>
      <c r="CS429" s="4"/>
    </row>
    <row r="430" spans="1:97" ht="34.25" hidden="1" customHeight="1">
      <c r="B430" s="481"/>
      <c r="C430" s="118"/>
      <c r="D430" s="126" t="str">
        <f>+IFERROR(INDEX('DESEMPATE Y DISCAPACIDAD'!$D$3:$D$450,MATCH(C430,'DESEMPATE Y DISCAPACIDAD'!$C$3:$C$450,0)),"")</f>
        <v/>
      </c>
      <c r="E430" s="127" t="str">
        <f>IFERROR(IF(D430="","",IF(VLOOKUP(D430,'DESEMPATE Y DISCAPACIDAD'!D$3:$E$450,2,FALSE)=1,"N/A",IF(VLOOKUP(D430,'DESEMPATE Y DISCAPACIDAD'!D$3:$F$450,3,FALSE)="X","SI","NO"))),"")</f>
        <v/>
      </c>
      <c r="F430" s="125"/>
      <c r="G430" s="125"/>
      <c r="H430" s="125"/>
      <c r="I430" s="128"/>
      <c r="J430" s="125"/>
      <c r="K430" s="125"/>
      <c r="L430" s="125"/>
      <c r="M430" s="125"/>
      <c r="N430" s="125" t="str">
        <f t="shared" si="382"/>
        <v/>
      </c>
      <c r="O430" s="125" t="str">
        <f t="shared" si="388"/>
        <v/>
      </c>
      <c r="P430" s="125" t="str">
        <f t="shared" si="383"/>
        <v/>
      </c>
      <c r="Q430" s="125" t="str">
        <f t="shared" si="356"/>
        <v/>
      </c>
      <c r="R430" s="68"/>
      <c r="S430" s="129"/>
      <c r="T430" s="129"/>
      <c r="U430" s="125" t="str">
        <f t="shared" si="384"/>
        <v/>
      </c>
      <c r="V430" s="117" t="str">
        <f>IF(U430=2023,1160000,IFERROR(INDEX(SMMLV!$B$2:$B$101,MATCH(U430,SMMLV!$A$2:$A$101,0)),""))</f>
        <v/>
      </c>
      <c r="W430" s="117"/>
      <c r="X430" s="125"/>
      <c r="Y430" s="125"/>
      <c r="Z430" s="474"/>
      <c r="AA430" s="475"/>
      <c r="AB430" s="476"/>
      <c r="AC430" s="125" t="str">
        <f t="shared" si="385"/>
        <v/>
      </c>
      <c r="AD430" s="117" t="str">
        <f t="shared" si="357"/>
        <v/>
      </c>
      <c r="AE430" s="117" t="str">
        <f t="shared" si="353"/>
        <v/>
      </c>
      <c r="AF430" s="117" t="str">
        <f t="shared" si="350"/>
        <v/>
      </c>
      <c r="AG430" s="470"/>
      <c r="AH430" s="470"/>
      <c r="AI430" s="125" t="str">
        <f t="shared" si="351"/>
        <v/>
      </c>
      <c r="AJ430" s="470"/>
      <c r="AK430" s="470"/>
      <c r="AL430" s="472"/>
      <c r="AM430" s="496"/>
      <c r="AN430" s="125"/>
      <c r="AO430" s="490"/>
      <c r="AP430" s="125"/>
      <c r="AQ430" s="490"/>
      <c r="AR430" s="522"/>
      <c r="AS430" s="519"/>
      <c r="AT430" s="204"/>
      <c r="AU430" s="699"/>
      <c r="AV430" s="702"/>
      <c r="AW430" s="705"/>
      <c r="AX430" s="708"/>
      <c r="AY430" s="19"/>
      <c r="CB430" s="29" t="str">
        <f>IFERROR(IF(COUNTIF(AF423:AF432,"")=10,"",IF(COUNTIF(E423:E432,"N/A")&gt;0,IF(AF430&gt;=CMEMM1,AF430,0),"N/A")),"")</f>
        <v/>
      </c>
      <c r="CC430" s="4"/>
      <c r="CD430" s="4" t="str">
        <f>IFERROR(IF(COUNTIF(AF423:AF432,"")=10,"",IF(AF430="","",IF(AF430&gt;=CMEMM1,1,0))),"")</f>
        <v/>
      </c>
      <c r="CE430" s="4" t="str">
        <f>B423&amp;"-0"&amp;8</f>
        <v>P43-08</v>
      </c>
      <c r="CF430" s="4" t="str">
        <f>IFERROR(INDEX('DESEMPATE Y DISCAPACIDAD'!$D$3:$D$450,MATCH(CE430,'DESEMPATE Y DISCAPACIDAD'!$C$3:$C$450,0)),"")</f>
        <v/>
      </c>
      <c r="CG430" s="4" t="str">
        <f>IF(OR(CE430="",CF430=""),"",SUMIF(D423:D432,CF430,CD423:CD432))</f>
        <v/>
      </c>
      <c r="CH430" s="4" t="str">
        <f t="shared" si="381"/>
        <v/>
      </c>
      <c r="CI430" s="4" t="str">
        <f t="shared" si="386"/>
        <v/>
      </c>
      <c r="CJ430" s="4"/>
      <c r="CK430" s="4"/>
      <c r="CL430" s="4" t="str">
        <f t="shared" si="354"/>
        <v/>
      </c>
      <c r="CM430" s="4" t="str">
        <f t="shared" si="355"/>
        <v/>
      </c>
      <c r="CN430" s="4" t="str">
        <f t="shared" si="387"/>
        <v/>
      </c>
      <c r="CO430" s="4"/>
      <c r="CP430" s="4"/>
      <c r="CQ430" s="29" t="str">
        <f t="shared" si="365"/>
        <v/>
      </c>
      <c r="CR430" s="29" t="str">
        <f t="shared" si="366"/>
        <v/>
      </c>
      <c r="CS430" s="4"/>
    </row>
    <row r="431" spans="1:97" ht="34.25" hidden="1" customHeight="1">
      <c r="B431" s="481"/>
      <c r="C431" s="118"/>
      <c r="D431" s="126" t="str">
        <f>+IFERROR(INDEX('DESEMPATE Y DISCAPACIDAD'!$D$3:$D$450,MATCH(C431,'DESEMPATE Y DISCAPACIDAD'!$C$3:$C$450,0)),"")</f>
        <v/>
      </c>
      <c r="E431" s="127" t="str">
        <f>IFERROR(IF(D431="","",IF(VLOOKUP(D431,'DESEMPATE Y DISCAPACIDAD'!D$3:$E$450,2,FALSE)=1,"N/A",IF(VLOOKUP(D431,'DESEMPATE Y DISCAPACIDAD'!D$3:$F$450,3,FALSE)="X","SI","NO"))),"")</f>
        <v/>
      </c>
      <c r="F431" s="125"/>
      <c r="G431" s="125"/>
      <c r="H431" s="125"/>
      <c r="I431" s="128"/>
      <c r="J431" s="125"/>
      <c r="K431" s="125"/>
      <c r="L431" s="125"/>
      <c r="M431" s="125"/>
      <c r="N431" s="125" t="str">
        <f t="shared" si="382"/>
        <v/>
      </c>
      <c r="O431" s="125" t="str">
        <f t="shared" si="388"/>
        <v/>
      </c>
      <c r="P431" s="125" t="str">
        <f t="shared" si="383"/>
        <v/>
      </c>
      <c r="Q431" s="125" t="str">
        <f t="shared" si="356"/>
        <v/>
      </c>
      <c r="R431" s="68"/>
      <c r="S431" s="129"/>
      <c r="T431" s="129"/>
      <c r="U431" s="125" t="str">
        <f t="shared" si="384"/>
        <v/>
      </c>
      <c r="V431" s="117" t="str">
        <f>IF(U431=2023,1160000,IFERROR(INDEX(SMMLV!$B$2:$B$101,MATCH(U431,SMMLV!$A$2:$A$101,0)),""))</f>
        <v/>
      </c>
      <c r="W431" s="117"/>
      <c r="X431" s="125"/>
      <c r="Y431" s="125"/>
      <c r="Z431" s="474"/>
      <c r="AA431" s="475"/>
      <c r="AB431" s="476"/>
      <c r="AC431" s="125" t="str">
        <f t="shared" si="385"/>
        <v/>
      </c>
      <c r="AD431" s="117" t="str">
        <f t="shared" si="357"/>
        <v/>
      </c>
      <c r="AE431" s="117" t="str">
        <f t="shared" si="353"/>
        <v/>
      </c>
      <c r="AF431" s="117" t="str">
        <f t="shared" si="350"/>
        <v/>
      </c>
      <c r="AG431" s="470"/>
      <c r="AH431" s="470"/>
      <c r="AI431" s="125" t="str">
        <f t="shared" si="351"/>
        <v/>
      </c>
      <c r="AJ431" s="470"/>
      <c r="AK431" s="470"/>
      <c r="AL431" s="472"/>
      <c r="AM431" s="496"/>
      <c r="AN431" s="125"/>
      <c r="AO431" s="490"/>
      <c r="AP431" s="125"/>
      <c r="AQ431" s="490"/>
      <c r="AR431" s="522"/>
      <c r="AS431" s="519"/>
      <c r="AT431" s="204"/>
      <c r="AU431" s="699"/>
      <c r="AV431" s="702"/>
      <c r="AW431" s="705"/>
      <c r="AX431" s="708"/>
      <c r="AY431" s="19"/>
      <c r="CB431" s="29" t="str">
        <f>IFERROR(IF(COUNTIF(AF423:AF432,"")=10,"",IF(COUNTIF(E423:E432,"N/A")&gt;0,IF(AF431&gt;=CMEMM1,AF431,0),"N/A")),"")</f>
        <v/>
      </c>
      <c r="CC431" s="4"/>
      <c r="CD431" s="4" t="str">
        <f>IFERROR(IF(COUNTIF(AF423:AF432,"")=10,"",IF(AF431="","",IF(AF431&gt;=CMEMM1,1,0))),"")</f>
        <v/>
      </c>
      <c r="CE431" s="4" t="str">
        <f>B423&amp;"-0"&amp;9</f>
        <v>P43-09</v>
      </c>
      <c r="CF431" s="4" t="str">
        <f>IFERROR(INDEX('DESEMPATE Y DISCAPACIDAD'!$D$3:$D$450,MATCH(CE431,'DESEMPATE Y DISCAPACIDAD'!$C$3:$C$450,0)),"")</f>
        <v/>
      </c>
      <c r="CG431" s="4" t="str">
        <f>IF(OR(CE431="",CF431=""),"",SUMIF(D423:D432,CF431,CD423:CD432))</f>
        <v/>
      </c>
      <c r="CH431" s="4" t="str">
        <f t="shared" si="381"/>
        <v/>
      </c>
      <c r="CI431" s="4" t="str">
        <f t="shared" si="386"/>
        <v/>
      </c>
      <c r="CJ431" s="4"/>
      <c r="CK431" s="4"/>
      <c r="CL431" s="4" t="str">
        <f t="shared" si="354"/>
        <v/>
      </c>
      <c r="CM431" s="4" t="str">
        <f t="shared" si="355"/>
        <v/>
      </c>
      <c r="CN431" s="4" t="str">
        <f t="shared" si="387"/>
        <v/>
      </c>
      <c r="CO431" s="4"/>
      <c r="CP431" s="4"/>
      <c r="CQ431" s="29" t="str">
        <f t="shared" si="365"/>
        <v/>
      </c>
      <c r="CR431" s="29" t="str">
        <f t="shared" si="366"/>
        <v/>
      </c>
      <c r="CS431" s="4"/>
    </row>
    <row r="432" spans="1:97" ht="31.5" hidden="1" customHeight="1" thickBot="1">
      <c r="B432" s="482"/>
      <c r="C432" s="130"/>
      <c r="D432" s="131" t="str">
        <f>+IFERROR(INDEX('DESEMPATE Y DISCAPACIDAD'!$D$3:$D$450,MATCH(C432,'DESEMPATE Y DISCAPACIDAD'!$C$3:$C$450,0)),"")</f>
        <v/>
      </c>
      <c r="E432" s="132" t="str">
        <f>IFERROR(IF(D432="","",IF(VLOOKUP(D432,'DESEMPATE Y DISCAPACIDAD'!D$3:$E$450,2,FALSE)=1,"N/A",IF(VLOOKUP(D432,'DESEMPATE Y DISCAPACIDAD'!D$3:$F$450,3,FALSE)="X","SI","NO"))),"")</f>
        <v/>
      </c>
      <c r="F432" s="133"/>
      <c r="G432" s="133"/>
      <c r="H432" s="133"/>
      <c r="I432" s="134"/>
      <c r="J432" s="133"/>
      <c r="K432" s="133"/>
      <c r="L432" s="133"/>
      <c r="M432" s="133"/>
      <c r="N432" s="133" t="str">
        <f t="shared" si="382"/>
        <v/>
      </c>
      <c r="O432" s="133" t="str">
        <f t="shared" si="388"/>
        <v/>
      </c>
      <c r="P432" s="133" t="str">
        <f t="shared" si="383"/>
        <v/>
      </c>
      <c r="Q432" s="133" t="str">
        <f t="shared" si="356"/>
        <v/>
      </c>
      <c r="R432" s="104"/>
      <c r="S432" s="135"/>
      <c r="T432" s="135"/>
      <c r="U432" s="133" t="str">
        <f t="shared" si="384"/>
        <v/>
      </c>
      <c r="V432" s="136" t="str">
        <f>IF(U432=2023,1160000,IFERROR(INDEX(SMMLV!$B$2:$B$101,MATCH(U432,SMMLV!$A$2:$A$101,0)),""))</f>
        <v/>
      </c>
      <c r="W432" s="136"/>
      <c r="X432" s="133"/>
      <c r="Y432" s="133"/>
      <c r="Z432" s="487"/>
      <c r="AA432" s="488"/>
      <c r="AB432" s="489"/>
      <c r="AC432" s="133" t="str">
        <f t="shared" si="385"/>
        <v/>
      </c>
      <c r="AD432" s="136" t="str">
        <f t="shared" si="357"/>
        <v/>
      </c>
      <c r="AE432" s="117" t="str">
        <f t="shared" si="353"/>
        <v/>
      </c>
      <c r="AF432" s="136" t="str">
        <f t="shared" si="350"/>
        <v/>
      </c>
      <c r="AG432" s="471"/>
      <c r="AH432" s="471"/>
      <c r="AI432" s="133" t="str">
        <f t="shared" si="351"/>
        <v/>
      </c>
      <c r="AJ432" s="471"/>
      <c r="AK432" s="471"/>
      <c r="AL432" s="473"/>
      <c r="AM432" s="497"/>
      <c r="AN432" s="133"/>
      <c r="AO432" s="491"/>
      <c r="AP432" s="133"/>
      <c r="AQ432" s="491"/>
      <c r="AR432" s="523"/>
      <c r="AS432" s="520"/>
      <c r="AT432" s="206"/>
      <c r="AU432" s="700"/>
      <c r="AV432" s="703"/>
      <c r="AW432" s="706"/>
      <c r="AX432" s="709"/>
      <c r="AY432" s="19"/>
      <c r="CB432" s="29" t="str">
        <f>IFERROR(IF(COUNTIF(AF423:AF432,"")=10,"",IF(COUNTIF(E423:E432,"N/A")&gt;0,IF(AF432&gt;=CMEMM1,AF432,0),"N/A")),"")</f>
        <v/>
      </c>
      <c r="CC432" s="4"/>
      <c r="CD432" s="4" t="str">
        <f>IFERROR(IF(COUNTIF(AF423:AF432,"")=10,"",IF(AF432="","",IF(AF432&gt;=CMEMM1,1,0))),"")</f>
        <v/>
      </c>
      <c r="CE432" s="4" t="str">
        <f>B423&amp;"-"&amp;10</f>
        <v>P43-10</v>
      </c>
      <c r="CF432" s="4" t="str">
        <f>IFERROR(INDEX('DESEMPATE Y DISCAPACIDAD'!$D$3:$D$450,MATCH(CE432,'DESEMPATE Y DISCAPACIDAD'!$C$3:$C$450,0)),"")</f>
        <v/>
      </c>
      <c r="CG432" s="4" t="str">
        <f>IF(OR(CE432="",CF432=""),"",SUMIF(D423:D432,CF432,CD423:CD432))</f>
        <v/>
      </c>
      <c r="CH432" s="4" t="str">
        <f t="shared" si="381"/>
        <v/>
      </c>
      <c r="CI432" s="4" t="str">
        <f t="shared" si="386"/>
        <v/>
      </c>
      <c r="CJ432" s="4"/>
      <c r="CK432" s="4"/>
      <c r="CL432" s="4" t="str">
        <f t="shared" si="354"/>
        <v/>
      </c>
      <c r="CM432" s="4" t="str">
        <f t="shared" si="355"/>
        <v/>
      </c>
      <c r="CN432" s="4" t="str">
        <f t="shared" si="387"/>
        <v/>
      </c>
      <c r="CO432" s="4"/>
      <c r="CP432" s="4"/>
      <c r="CQ432" s="29" t="str">
        <f t="shared" si="365"/>
        <v/>
      </c>
      <c r="CR432" s="29" t="str">
        <f t="shared" si="366"/>
        <v/>
      </c>
      <c r="CS432" s="4"/>
    </row>
    <row r="433" spans="1:97" ht="34.25" hidden="1" customHeight="1">
      <c r="A433" s="4" t="str">
        <f>"A"&amp;B433</f>
        <v>AP44</v>
      </c>
      <c r="B433" s="648" t="s">
        <v>305</v>
      </c>
      <c r="C433" s="108"/>
      <c r="D433" s="119" t="str">
        <f>+IFERROR(INDEX('DESEMPATE Y DISCAPACIDAD'!$D$3:$D$450,MATCH(C433,'DESEMPATE Y DISCAPACIDAD'!$C$3:$C$450,0)),"")</f>
        <v/>
      </c>
      <c r="E433" s="120" t="str">
        <f>IFERROR(IF(D433="","",IF(VLOOKUP(D433,'DESEMPATE Y DISCAPACIDAD'!D$3:$E$450,2,FALSE)=1,"N/A",IF(VLOOKUP(D433,'DESEMPATE Y DISCAPACIDAD'!D$3:$F$450,3,FALSE)="X","SI","NO"))),"")</f>
        <v/>
      </c>
      <c r="F433" s="148"/>
      <c r="G433" s="214"/>
      <c r="H433" s="215"/>
      <c r="I433" s="148"/>
      <c r="J433" s="121"/>
      <c r="K433" s="121"/>
      <c r="L433" s="121"/>
      <c r="M433" s="121"/>
      <c r="N433" s="121" t="str">
        <f>IFERROR(IF(OR(J433="",K433=""),"",IF(J433="NO","NO",K433)),"")</f>
        <v/>
      </c>
      <c r="O433" s="121" t="str">
        <f>IFERROR(IF(OR(J433="",L433=""),"",IF(J433="NO","NO",L433)),"")</f>
        <v/>
      </c>
      <c r="P433" s="121" t="str">
        <f>IFERROR(IF(OR(J433="",M433=""),"",IF(J433="NO","NO",M433)),"")</f>
        <v/>
      </c>
      <c r="Q433" s="121" t="str">
        <f t="shared" si="356"/>
        <v/>
      </c>
      <c r="R433" s="217"/>
      <c r="S433" s="219"/>
      <c r="T433" s="219"/>
      <c r="U433" s="121"/>
      <c r="V433" s="124"/>
      <c r="W433" s="124"/>
      <c r="X433" s="121"/>
      <c r="Y433" s="121"/>
      <c r="Z433" s="483"/>
      <c r="AA433" s="484"/>
      <c r="AB433" s="485"/>
      <c r="AC433" s="121" t="str">
        <f>IFERROR(IF(Y433="","",IF(ISNUMBER(Y433),IF(COUNTIF(Z433,"SI")&gt;0,"SI","NO"),Y433)),"")</f>
        <v/>
      </c>
      <c r="AD433" s="124" t="str">
        <f t="shared" si="357"/>
        <v/>
      </c>
      <c r="AE433" s="117" t="str">
        <f t="shared" si="353"/>
        <v/>
      </c>
      <c r="AF433" s="124" t="str">
        <f t="shared" si="350"/>
        <v/>
      </c>
      <c r="AG433" s="486" t="str">
        <f>IFERROR(IF(COUNTIF(AF433:AF442,"")=10,"",IF(COUNTIF(E433:E442,"N/A")&gt;0,IF(SUM(CB433:CB442)&gt;=CMEM1,"CUMPLE","NO CUMPLE"),IF(SUM(AF433:AF442)&gt;=CMEM1,"CUMPLE","NO CUMPLE"))),"")</f>
        <v/>
      </c>
      <c r="AH433" s="486" t="str">
        <f>IF(COUNTIF(AF433:AF442,"")=10,"",IF(SUMIF(C433:C442,C433,AF433:AF442)&gt;=CMLM1,"CUMPLE",IF(SUMIF(C433:C442,C434,AF433:AF442)&gt;=CMLM1,"CUMPLE",IF(SUMIF(C433:C442,C435,AF433:AF442)&gt;=CMLM1,"CUMPLE",IF(SUMIF(C433:C442,C436,AF433:AF442)&gt;=CMLM1,"CUMPLE",IF(SUMIF(C433:C442,C437,AF433:AF442)&gt;=CMLM1,"CUMPLE",IF(SUMIF(C433:C442,C438,AF433:AF442)&gt;=CMLM1,"CUMPLE",IF(SUMIF(C433:C442,C439,AF433:AF442)&gt;=CMLM1,"CUMPLE",IF(SUMIF(C433:C442,C440,AF433:AF442)&gt;=CMLM1,"CUMPLE",IF(SUMIF(C433:C442,C441,AF433:AF442)&gt;=CMLM1,"CUMPLE",IF(SUMIF(C433:C442,C442,AF433:AF442)&gt;=CMLM1,"CUMPLE","NO CUMPLE")))))))))))</f>
        <v/>
      </c>
      <c r="AI433" s="121" t="str">
        <f t="shared" si="351"/>
        <v/>
      </c>
      <c r="AJ433" s="469" t="str">
        <f>IFERROR(IF(COUNTIF(AF433:AF442,"")=10,"",IF(COUNTIF(E433:E442,"N/A")&gt;0,"N/A",CJ433)),"")</f>
        <v/>
      </c>
      <c r="AK433" s="469" t="str">
        <f>IFERROR(IF(AND(COUNTIF(N433:N442,"SI")&gt;=1,COUNTIF(O433:O442,"SI")&gt;=1,COUNTIF(P433:P442,"SI")&gt;=1,COUNTIF(J433:J442,"SI")&lt;=10,CO433="CUMPLE"),"CUMPLE","NO CUMPLE"),"")</f>
        <v>NO CUMPLE</v>
      </c>
      <c r="AL433" s="472"/>
      <c r="AM433" s="495">
        <f>IFERROR(IF(B433&lt;&gt;"",IF(VLOOKUP(B433,'DESEMPATE Y DISCAPACIDAD'!$A$3:$Q$450,10,FALSE)="","",VLOOKUP(B433,'DESEMPATE Y DISCAPACIDAD'!$A$3:$Q$450,10,FALSE)+6),""),"")</f>
        <v>6</v>
      </c>
      <c r="AN433" s="121"/>
      <c r="AO433" s="490"/>
      <c r="AP433" s="121"/>
      <c r="AQ433" s="490" t="str">
        <f>IFERROR(IF(COUNTIF(AP433:AP442,"")=10,"",IF(AO433="NO",0,COUNTIF(AP433:AP442,"SI"))),"")</f>
        <v/>
      </c>
      <c r="AR433" s="521" t="str">
        <f>IFERROR(IF(COUNTIF(AF433:AF442,"")=10,"",IF(AO433="NO",0,IF(COUNTIF(E433:E442,"N/A")&gt;0,SUM(CQ433:CQ442),SUM(CR433:CR442)))),"")</f>
        <v/>
      </c>
      <c r="AS433" s="518" t="str">
        <f>IFERROR(IF(OR(COUNTIF(AF433:AF442,"")=10,AQ433="",AR433=""),"",IF(AO433="NO",0,AR433/AQ433)),"")</f>
        <v/>
      </c>
      <c r="AT433" s="207"/>
      <c r="AU433" s="710"/>
      <c r="AV433" s="701"/>
      <c r="AW433" s="704"/>
      <c r="AX433" s="704"/>
      <c r="AY433" s="19"/>
      <c r="CB433" s="29" t="str">
        <f>IFERROR(IF(COUNTIF(AF433:AF442,"")=10,"",IF(COUNTIF(E433:E442,"N/A")&gt;0,IF(AF433&gt;=CMEMM1,AF433,0),"N/A")),"")</f>
        <v/>
      </c>
      <c r="CC433" s="4"/>
      <c r="CD433" s="4" t="str">
        <f>IFERROR(IF(COUNTIF(AF433:AF442,"")=10,"",IF(AF433="","",IF(AF433&gt;=CMEMM1,1,0))),"")</f>
        <v/>
      </c>
      <c r="CE433" s="4" t="str">
        <f>B433&amp;"-0"&amp;1</f>
        <v>P44-01</v>
      </c>
      <c r="CF433" s="4">
        <f>IFERROR(INDEX('DESEMPATE Y DISCAPACIDAD'!$D$3:$D$450,MATCH(CE433,'DESEMPATE Y DISCAPACIDAD'!$C$3:$C$450,0)),"")</f>
        <v>0</v>
      </c>
      <c r="CG433" s="4">
        <f>IF(OR(CE433="",CF433=""),"",SUMIF(D433:D442,CF433,CD433:CD442))</f>
        <v>0</v>
      </c>
      <c r="CH433" s="4" t="str">
        <f t="shared" si="381"/>
        <v>NO CUMPLE</v>
      </c>
      <c r="CI433" s="4">
        <f>IF(CF433="","",IF(ISTEXT(CF433),1,0))</f>
        <v>0</v>
      </c>
      <c r="CJ433" s="4" t="str">
        <f>IF(OR(CD433="",CE433="",CF433="",CG433="",CH433="",CI433=""),"",IF(COUNTIF(CH433:CH442,"CUMPLE")=COUNTIF(CI433:CI442,1),"CUMPLE","NO CUMPLE"))</f>
        <v/>
      </c>
      <c r="CK433" s="4"/>
      <c r="CL433" s="4" t="str">
        <f t="shared" si="354"/>
        <v/>
      </c>
      <c r="CM433" s="4" t="str">
        <f t="shared" si="355"/>
        <v/>
      </c>
      <c r="CN433" s="4" t="str">
        <f>IF(OR(CL433="",CM433=""),"",IF(AND(CL433=0,CM433=0),"N/A",IF(AND(CL433=1,CM433=0),"COND. A",IF(AND(CL433=0,CM433=1),"COND. B",IF(AND(CL433=1,CM433=1),"COND. A Y B","")))))</f>
        <v/>
      </c>
      <c r="CO433" s="4" t="str">
        <f>IF(COUNTIF(CN433:CN442,"N/A")=10,"NO CUMPLE",IF(COUNTIF(CN433:CN442,"COND. A Y B")&gt;1,"CUMPLE",IF(AND(COUNTIF(CN433:CN442,"COND. A")&gt;0,COUNTIF(CN433:CN442,"COND. B")&gt;0),"CUMPLE",IF(AND(COUNTIF(CN433:CN442,"COND. A Y B")&gt;0,COUNTIF(CN433:CN442,"COND. A")&gt;0),"CUMPLE",IF(AND(COUNTIF(CN433:CN442,"COND. A Y B")&gt;0,COUNTIF(CN433:CN442,"COND. B")&gt;0),"CUMPLE","NO CUMPLE")))))</f>
        <v>NO CUMPLE</v>
      </c>
      <c r="CP433" s="4"/>
      <c r="CQ433" s="29" t="str">
        <f t="shared" si="365"/>
        <v/>
      </c>
      <c r="CR433" s="29" t="str">
        <f t="shared" si="366"/>
        <v/>
      </c>
      <c r="CS433" s="4"/>
    </row>
    <row r="434" spans="1:97" ht="30" hidden="1" customHeight="1">
      <c r="B434" s="649"/>
      <c r="C434" s="118"/>
      <c r="D434" s="119" t="str">
        <f>+IFERROR(INDEX('DESEMPATE Y DISCAPACIDAD'!$D$3:$D$450,MATCH(C434,'DESEMPATE Y DISCAPACIDAD'!$C$3:$C$450,0)),"")</f>
        <v/>
      </c>
      <c r="E434" s="120" t="str">
        <f>IFERROR(IF(D434="","",IF(VLOOKUP(D434,'DESEMPATE Y DISCAPACIDAD'!D$3:$E$450,2,FALSE)=1,"N/A",IF(VLOOKUP(D434,'DESEMPATE Y DISCAPACIDAD'!D$3:$F$450,3,FALSE)="X","SI","NO"))),"")</f>
        <v/>
      </c>
      <c r="F434" s="148"/>
      <c r="G434" s="214"/>
      <c r="H434" s="215"/>
      <c r="I434" s="148"/>
      <c r="J434" s="121"/>
      <c r="K434" s="121"/>
      <c r="L434" s="121"/>
      <c r="M434" s="121"/>
      <c r="N434" s="121" t="str">
        <f t="shared" ref="N434:N442" si="389">IFERROR(IF(OR(J434="",K434=""),"",IF(J434="NO","NO",K434)),"")</f>
        <v/>
      </c>
      <c r="O434" s="121" t="str">
        <f>IFERROR(IF(OR(J434="",L434=""),"",IF(J434="NO","NO",L434)),"")</f>
        <v/>
      </c>
      <c r="P434" s="121" t="str">
        <f t="shared" ref="P434:P442" si="390">IFERROR(IF(OR(J434="",M434=""),"",IF(J434="NO","NO",M434)),"")</f>
        <v/>
      </c>
      <c r="Q434" s="121" t="str">
        <f t="shared" si="356"/>
        <v/>
      </c>
      <c r="R434" s="217"/>
      <c r="S434" s="218"/>
      <c r="T434" s="218"/>
      <c r="U434" s="121"/>
      <c r="V434" s="124"/>
      <c r="W434" s="124"/>
      <c r="X434" s="125"/>
      <c r="Y434" s="125"/>
      <c r="Z434" s="474"/>
      <c r="AA434" s="475"/>
      <c r="AB434" s="476"/>
      <c r="AC434" s="125" t="str">
        <f t="shared" ref="AC434:AC442" si="391">IFERROR(IF(Y434="","",IF(ISNUMBER(Y434),IF(COUNTIF(Z434,"SI")&gt;0,"SI","NO"),Y434)),"")</f>
        <v/>
      </c>
      <c r="AD434" s="117" t="str">
        <f t="shared" si="357"/>
        <v/>
      </c>
      <c r="AE434" s="117" t="str">
        <f t="shared" si="353"/>
        <v/>
      </c>
      <c r="AF434" s="117" t="str">
        <f t="shared" si="350"/>
        <v/>
      </c>
      <c r="AG434" s="470"/>
      <c r="AH434" s="470"/>
      <c r="AI434" s="125" t="str">
        <f t="shared" si="351"/>
        <v/>
      </c>
      <c r="AJ434" s="470"/>
      <c r="AK434" s="470"/>
      <c r="AL434" s="472"/>
      <c r="AM434" s="496"/>
      <c r="AN434" s="140"/>
      <c r="AO434" s="490"/>
      <c r="AP434" s="140"/>
      <c r="AQ434" s="490"/>
      <c r="AR434" s="522"/>
      <c r="AS434" s="519"/>
      <c r="AT434" s="204"/>
      <c r="AU434" s="711"/>
      <c r="AV434" s="702"/>
      <c r="AW434" s="705"/>
      <c r="AX434" s="705"/>
      <c r="AY434" s="19"/>
      <c r="CB434" s="29" t="str">
        <f>IFERROR(IF(COUNTIF(AF433:AF442,"")=10,"",IF(COUNTIF(E433:E442,"N/A")&gt;0,IF(AF434&gt;=CMEMM1,AF434,0),"N/A")),"")</f>
        <v/>
      </c>
      <c r="CC434" s="4"/>
      <c r="CD434" s="4" t="str">
        <f>IFERROR(IF(COUNTIF(AF433:AF442,"")=10,"",IF(AF434="","",IF(AF434&gt;=CMEMM1,1,0))),"")</f>
        <v/>
      </c>
      <c r="CE434" s="4" t="str">
        <f>B433&amp;"-0"&amp;2</f>
        <v>P44-02</v>
      </c>
      <c r="CF434" s="4">
        <f>IFERROR(INDEX('DESEMPATE Y DISCAPACIDAD'!$D$3:$D$450,MATCH(CE434,'DESEMPATE Y DISCAPACIDAD'!$C$3:$C$450,0)),"")</f>
        <v>0</v>
      </c>
      <c r="CG434" s="4">
        <f>IF(OR(CE434="",CF434=""),"",SUMIF(D433:D442,CF434,CD433:CD442))</f>
        <v>0</v>
      </c>
      <c r="CH434" s="4" t="str">
        <f t="shared" si="381"/>
        <v>NO CUMPLE</v>
      </c>
      <c r="CI434" s="4">
        <f t="shared" ref="CI434:CI442" si="392">IF(CF434="","",IF(ISTEXT(CF434),1,0))</f>
        <v>0</v>
      </c>
      <c r="CJ434" s="4"/>
      <c r="CK434" s="4"/>
      <c r="CL434" s="4" t="str">
        <f t="shared" si="354"/>
        <v/>
      </c>
      <c r="CM434" s="4" t="str">
        <f t="shared" si="355"/>
        <v/>
      </c>
      <c r="CN434" s="4" t="str">
        <f t="shared" ref="CN434:CN442" si="393">IF(OR(CL434="",CM434=""),"",IF(AND(CL434=0,CM434=0),"N/A",IF(AND(CL434=1,CM434=0),"COND. A",IF(AND(CL434=0,CM434=1),"COND. B",IF(AND(CL434=1,CM434=1),"COND. A Y B","")))))</f>
        <v/>
      </c>
      <c r="CO434" s="4"/>
      <c r="CP434" s="4"/>
      <c r="CQ434" s="29" t="str">
        <f t="shared" si="365"/>
        <v/>
      </c>
      <c r="CR434" s="29" t="str">
        <f t="shared" si="366"/>
        <v/>
      </c>
      <c r="CS434" s="4"/>
    </row>
    <row r="435" spans="1:97" ht="30" hidden="1" customHeight="1">
      <c r="B435" s="649"/>
      <c r="C435" s="118"/>
      <c r="D435" s="126" t="str">
        <f>+IFERROR(INDEX('DESEMPATE Y DISCAPACIDAD'!$D$3:$D$450,MATCH(C435,'DESEMPATE Y DISCAPACIDAD'!$C$3:$C$450,0)),"")</f>
        <v/>
      </c>
      <c r="E435" s="127" t="str">
        <f>IFERROR(IF(D435="","",IF(VLOOKUP(D435,'DESEMPATE Y DISCAPACIDAD'!D$3:$E$450,2,FALSE)=1,"N/A",IF(VLOOKUP(D435,'DESEMPATE Y DISCAPACIDAD'!D$3:$F$450,3,FALSE)="X","SI","NO"))),"")</f>
        <v/>
      </c>
      <c r="F435" s="148"/>
      <c r="G435" s="214"/>
      <c r="H435" s="215"/>
      <c r="I435" s="148"/>
      <c r="J435" s="125"/>
      <c r="K435" s="121"/>
      <c r="L435" s="121"/>
      <c r="M435" s="121"/>
      <c r="N435" s="125" t="str">
        <f t="shared" si="389"/>
        <v/>
      </c>
      <c r="O435" s="125" t="str">
        <f>IFERROR(IF(OR(J435="",L435=""),"",IF(J435="NO","NO",L435)),"")</f>
        <v/>
      </c>
      <c r="P435" s="125" t="str">
        <f t="shared" si="390"/>
        <v/>
      </c>
      <c r="Q435" s="125" t="str">
        <f t="shared" si="356"/>
        <v/>
      </c>
      <c r="R435" s="217"/>
      <c r="S435" s="216"/>
      <c r="T435" s="216"/>
      <c r="U435" s="125"/>
      <c r="V435" s="117"/>
      <c r="W435" s="117"/>
      <c r="X435" s="125"/>
      <c r="Y435" s="125"/>
      <c r="Z435" s="474"/>
      <c r="AA435" s="475"/>
      <c r="AB435" s="476"/>
      <c r="AC435" s="125" t="str">
        <f t="shared" si="391"/>
        <v/>
      </c>
      <c r="AD435" s="117" t="str">
        <f t="shared" si="357"/>
        <v/>
      </c>
      <c r="AE435" s="117" t="str">
        <f t="shared" si="353"/>
        <v/>
      </c>
      <c r="AF435" s="117" t="str">
        <f t="shared" si="350"/>
        <v/>
      </c>
      <c r="AG435" s="470"/>
      <c r="AH435" s="470"/>
      <c r="AI435" s="125" t="str">
        <f t="shared" si="351"/>
        <v/>
      </c>
      <c r="AJ435" s="470"/>
      <c r="AK435" s="470"/>
      <c r="AL435" s="472"/>
      <c r="AM435" s="496"/>
      <c r="AN435" s="140"/>
      <c r="AO435" s="490"/>
      <c r="AP435" s="140"/>
      <c r="AQ435" s="490"/>
      <c r="AR435" s="522"/>
      <c r="AS435" s="519"/>
      <c r="AT435" s="204"/>
      <c r="AU435" s="711"/>
      <c r="AV435" s="702"/>
      <c r="AW435" s="705"/>
      <c r="AX435" s="705"/>
      <c r="AY435" s="19"/>
      <c r="CB435" s="29" t="str">
        <f>IFERROR(IF(COUNTIF(AF433:AF442,"")=10,"",IF(COUNTIF(E433:E442,"N/A")&gt;0,IF(AF435&gt;=CMEMM1,AF435,0),"N/A")),"")</f>
        <v/>
      </c>
      <c r="CC435" s="4"/>
      <c r="CD435" s="4" t="str">
        <f>IFERROR(IF(COUNTIF(AF433:AF442,"")=10,"",IF(AF435="","",IF(AF435&gt;=CMEMM1,1,0))),"")</f>
        <v/>
      </c>
      <c r="CE435" s="4" t="str">
        <f>B433&amp;"-0"&amp;3</f>
        <v>P44-03</v>
      </c>
      <c r="CF435" s="4">
        <f>IFERROR(INDEX('DESEMPATE Y DISCAPACIDAD'!$D$3:$D$450,MATCH(CE435,'DESEMPATE Y DISCAPACIDAD'!$C$3:$C$450,0)),"")</f>
        <v>0</v>
      </c>
      <c r="CG435" s="4">
        <f>IF(OR(CE435="",CF435=""),"",SUMIF(D433:D442,CF435,CD433:CD442))</f>
        <v>0</v>
      </c>
      <c r="CH435" s="4" t="str">
        <f t="shared" si="381"/>
        <v>NO CUMPLE</v>
      </c>
      <c r="CI435" s="4">
        <f t="shared" si="392"/>
        <v>0</v>
      </c>
      <c r="CJ435" s="4"/>
      <c r="CK435" s="4"/>
      <c r="CL435" s="4" t="str">
        <f t="shared" si="354"/>
        <v/>
      </c>
      <c r="CM435" s="4" t="str">
        <f t="shared" si="355"/>
        <v/>
      </c>
      <c r="CN435" s="4" t="str">
        <f t="shared" si="393"/>
        <v/>
      </c>
      <c r="CO435" s="4"/>
      <c r="CP435" s="4"/>
      <c r="CQ435" s="29" t="str">
        <f>IF(OR(AN434="",CB435=""),"",IF(AN434="NO",CB435,0))</f>
        <v/>
      </c>
      <c r="CR435" s="29" t="str">
        <f>IF(OR(AN434="",AF435=""),"",IF(AN434="NO",AF435,0))</f>
        <v/>
      </c>
      <c r="CS435" s="4"/>
    </row>
    <row r="436" spans="1:97" ht="30" hidden="1" customHeight="1">
      <c r="B436" s="649"/>
      <c r="C436" s="118"/>
      <c r="D436" s="126" t="str">
        <f>+IFERROR(INDEX('DESEMPATE Y DISCAPACIDAD'!$D$3:$D$450,MATCH(C436,'DESEMPATE Y DISCAPACIDAD'!$C$3:$C$450,0)),"")</f>
        <v/>
      </c>
      <c r="E436" s="127" t="str">
        <f>IFERROR(IF(D436="","",IF(VLOOKUP(D436,'DESEMPATE Y DISCAPACIDAD'!D$3:$E$450,2,FALSE)=1,"N/A",IF(VLOOKUP(D436,'DESEMPATE Y DISCAPACIDAD'!D$3:$F$450,3,FALSE)="X","SI","NO"))),"")</f>
        <v/>
      </c>
      <c r="F436" s="141"/>
      <c r="G436" s="125"/>
      <c r="H436" s="125"/>
      <c r="I436" s="128"/>
      <c r="J436" s="125"/>
      <c r="K436" s="125"/>
      <c r="L436" s="121"/>
      <c r="M436" s="121"/>
      <c r="N436" s="125" t="str">
        <f t="shared" si="389"/>
        <v/>
      </c>
      <c r="O436" s="125" t="str">
        <f>IFERROR(IF(OR(J436="",L436=""),"",IF(J436="NO","NO",L436)),"")</f>
        <v/>
      </c>
      <c r="P436" s="125" t="str">
        <f t="shared" si="390"/>
        <v/>
      </c>
      <c r="Q436" s="125" t="str">
        <f t="shared" si="356"/>
        <v/>
      </c>
      <c r="R436" s="68"/>
      <c r="S436" s="129"/>
      <c r="T436" s="129"/>
      <c r="U436" s="125" t="str">
        <f t="shared" ref="U436:U442" si="394">IFERROR(IF(T436="","",YEAR(T436)),"")</f>
        <v/>
      </c>
      <c r="V436" s="117" t="str">
        <f>IF(U436=2023,1160000,IFERROR(INDEX(SMMLV!$B$2:$B$101,MATCH(U436,SMMLV!$A$2:$A$101,0)),""))</f>
        <v/>
      </c>
      <c r="W436" s="117"/>
      <c r="X436" s="125"/>
      <c r="Y436" s="125"/>
      <c r="Z436" s="474"/>
      <c r="AA436" s="475"/>
      <c r="AB436" s="476"/>
      <c r="AC436" s="125" t="str">
        <f t="shared" si="391"/>
        <v/>
      </c>
      <c r="AD436" s="117" t="str">
        <f t="shared" si="357"/>
        <v/>
      </c>
      <c r="AE436" s="117" t="str">
        <f t="shared" si="353"/>
        <v/>
      </c>
      <c r="AF436" s="117" t="str">
        <f t="shared" si="350"/>
        <v/>
      </c>
      <c r="AG436" s="470"/>
      <c r="AH436" s="470"/>
      <c r="AI436" s="125" t="str">
        <f t="shared" si="351"/>
        <v/>
      </c>
      <c r="AJ436" s="470"/>
      <c r="AK436" s="470"/>
      <c r="AL436" s="472"/>
      <c r="AM436" s="496"/>
      <c r="AN436" s="125"/>
      <c r="AO436" s="490"/>
      <c r="AP436" s="125"/>
      <c r="AQ436" s="490"/>
      <c r="AR436" s="522"/>
      <c r="AS436" s="519"/>
      <c r="AT436" s="204"/>
      <c r="AU436" s="711"/>
      <c r="AV436" s="702"/>
      <c r="AW436" s="705"/>
      <c r="AX436" s="705"/>
      <c r="AY436" s="19"/>
      <c r="CB436" s="29" t="str">
        <f>IFERROR(IF(COUNTIF(AF433:AF442,"")=10,"",IF(COUNTIF(E433:E442,"N/A")&gt;0,IF(AF436&gt;=CMEMM1,AF436,0),"N/A")),"")</f>
        <v/>
      </c>
      <c r="CC436" s="4"/>
      <c r="CD436" s="4" t="str">
        <f>IFERROR(IF(COUNTIF(AF433:AF442,"")=10,"",IF(AF436="","",IF(AF436&gt;=CMEMM1,1,0))),"")</f>
        <v/>
      </c>
      <c r="CE436" s="4" t="str">
        <f>B433&amp;"-0"&amp;4</f>
        <v>P44-04</v>
      </c>
      <c r="CF436" s="4">
        <f>IFERROR(INDEX('DESEMPATE Y DISCAPACIDAD'!$D$3:$D$450,MATCH(CE436,'DESEMPATE Y DISCAPACIDAD'!$C$3:$C$450,0)),"")</f>
        <v>0</v>
      </c>
      <c r="CG436" s="4">
        <f>IF(OR(CE436="",CF436=""),"",SUMIF(D433:D442,CF436,CD433:CD442))</f>
        <v>0</v>
      </c>
      <c r="CH436" s="4" t="str">
        <f t="shared" si="381"/>
        <v>NO CUMPLE</v>
      </c>
      <c r="CI436" s="4">
        <f t="shared" si="392"/>
        <v>0</v>
      </c>
      <c r="CJ436" s="4"/>
      <c r="CK436" s="4"/>
      <c r="CL436" s="4" t="str">
        <f t="shared" si="354"/>
        <v/>
      </c>
      <c r="CM436" s="4" t="str">
        <f t="shared" si="355"/>
        <v/>
      </c>
      <c r="CN436" s="4" t="str">
        <f t="shared" si="393"/>
        <v/>
      </c>
      <c r="CO436" s="4"/>
      <c r="CP436" s="4"/>
      <c r="CQ436" s="29" t="str">
        <f t="shared" ref="CQ436:CQ462" si="395">IF(OR(AN436="",CB436=""),"",IF(AN436="NO",CB436,0))</f>
        <v/>
      </c>
      <c r="CR436" s="29" t="str">
        <f t="shared" ref="CR436:CR463" si="396">IF(OR(AN436="",AF436=""),"",IF(AN436="NO",AF436,0))</f>
        <v/>
      </c>
      <c r="CS436" s="4"/>
    </row>
    <row r="437" spans="1:97" ht="30" hidden="1" customHeight="1">
      <c r="B437" s="649"/>
      <c r="C437" s="118"/>
      <c r="D437" s="126" t="str">
        <f>+IFERROR(INDEX('DESEMPATE Y DISCAPACIDAD'!$D$3:$D$450,MATCH(C437,'DESEMPATE Y DISCAPACIDAD'!$C$3:$C$450,0)),"")</f>
        <v/>
      </c>
      <c r="E437" s="127" t="str">
        <f>IFERROR(IF(D437="","",IF(VLOOKUP(D437,'DESEMPATE Y DISCAPACIDAD'!D$3:$E$450,2,FALSE)=1,"N/A",IF(VLOOKUP(D437,'DESEMPATE Y DISCAPACIDAD'!D$3:$F$450,3,FALSE)="X","SI","NO"))),"")</f>
        <v/>
      </c>
      <c r="F437" s="125"/>
      <c r="G437" s="125"/>
      <c r="H437" s="125"/>
      <c r="I437" s="128"/>
      <c r="J437" s="125"/>
      <c r="K437" s="125"/>
      <c r="L437" s="125"/>
      <c r="M437" s="125"/>
      <c r="N437" s="125" t="str">
        <f t="shared" si="389"/>
        <v/>
      </c>
      <c r="O437" s="125" t="str">
        <f t="shared" ref="O437:O442" si="397">IFERROR(IF(OR(J437="",L437=""),"",IF(J437="NO","NO",L437)),"")</f>
        <v/>
      </c>
      <c r="P437" s="125" t="str">
        <f t="shared" si="390"/>
        <v/>
      </c>
      <c r="Q437" s="125" t="str">
        <f t="shared" si="356"/>
        <v/>
      </c>
      <c r="R437" s="68"/>
      <c r="S437" s="129"/>
      <c r="T437" s="129"/>
      <c r="U437" s="125" t="str">
        <f t="shared" si="394"/>
        <v/>
      </c>
      <c r="V437" s="117" t="str">
        <f>IF(U437=2023,1160000,IFERROR(INDEX(SMMLV!$B$2:$B$101,MATCH(U437,SMMLV!$A$2:$A$101,0)),""))</f>
        <v/>
      </c>
      <c r="W437" s="117"/>
      <c r="X437" s="125"/>
      <c r="Y437" s="125"/>
      <c r="Z437" s="477"/>
      <c r="AA437" s="478"/>
      <c r="AB437" s="479"/>
      <c r="AC437" s="125" t="str">
        <f t="shared" si="391"/>
        <v/>
      </c>
      <c r="AD437" s="117" t="str">
        <f t="shared" si="357"/>
        <v/>
      </c>
      <c r="AE437" s="117" t="str">
        <f t="shared" si="353"/>
        <v/>
      </c>
      <c r="AF437" s="117" t="str">
        <f t="shared" si="350"/>
        <v/>
      </c>
      <c r="AG437" s="470"/>
      <c r="AH437" s="470"/>
      <c r="AI437" s="125" t="str">
        <f t="shared" si="351"/>
        <v/>
      </c>
      <c r="AJ437" s="470"/>
      <c r="AK437" s="470"/>
      <c r="AL437" s="472"/>
      <c r="AM437" s="496"/>
      <c r="AN437" s="3"/>
      <c r="AO437" s="490"/>
      <c r="AP437" s="3"/>
      <c r="AQ437" s="490"/>
      <c r="AR437" s="522"/>
      <c r="AS437" s="519"/>
      <c r="AT437" s="204"/>
      <c r="AU437" s="711"/>
      <c r="AV437" s="702"/>
      <c r="AW437" s="705"/>
      <c r="AX437" s="705"/>
      <c r="AY437" s="19"/>
      <c r="CB437" s="29" t="str">
        <f>IFERROR(IF(COUNTIF(AF433:AF442,"")=10,"",IF(COUNTIF(E433:E442,"N/A")&gt;0,IF(AF437&gt;=CMEMM1,AF437,0),"N/A")),"")</f>
        <v/>
      </c>
      <c r="CC437" s="4"/>
      <c r="CD437" s="4" t="str">
        <f>IFERROR(IF(COUNTIF(AF433:AF442,"")=10,"",IF(AF437="","",IF(AF437&gt;=CMEMM1,1,0))),"")</f>
        <v/>
      </c>
      <c r="CE437" s="4" t="str">
        <f>B433&amp;"-0"&amp;5</f>
        <v>P44-05</v>
      </c>
      <c r="CF437" s="4">
        <f>IFERROR(INDEX('DESEMPATE Y DISCAPACIDAD'!$D$3:$D$450,MATCH(CE437,'DESEMPATE Y DISCAPACIDAD'!$C$3:$C$450,0)),"")</f>
        <v>0</v>
      </c>
      <c r="CG437" s="4">
        <f>IF(OR(CE437="",CF437=""),"",SUMIF(D433:D442,CF437,CD433:CD442))</f>
        <v>0</v>
      </c>
      <c r="CH437" s="4" t="str">
        <f t="shared" si="381"/>
        <v>NO CUMPLE</v>
      </c>
      <c r="CI437" s="4">
        <f t="shared" si="392"/>
        <v>0</v>
      </c>
      <c r="CJ437" s="4"/>
      <c r="CK437" s="4"/>
      <c r="CL437" s="4" t="str">
        <f t="shared" si="354"/>
        <v/>
      </c>
      <c r="CM437" s="4" t="str">
        <f t="shared" si="355"/>
        <v/>
      </c>
      <c r="CN437" s="4" t="str">
        <f t="shared" si="393"/>
        <v/>
      </c>
      <c r="CO437" s="4"/>
      <c r="CP437" s="4"/>
      <c r="CQ437" s="29" t="str">
        <f t="shared" si="395"/>
        <v/>
      </c>
      <c r="CR437" s="29" t="str">
        <f t="shared" si="396"/>
        <v/>
      </c>
      <c r="CS437" s="4"/>
    </row>
    <row r="438" spans="1:97" ht="30" hidden="1" customHeight="1">
      <c r="B438" s="649"/>
      <c r="C438" s="118"/>
      <c r="D438" s="126" t="str">
        <f>+IFERROR(INDEX('DESEMPATE Y DISCAPACIDAD'!$D$3:$D$450,MATCH(C438,'DESEMPATE Y DISCAPACIDAD'!$C$3:$C$450,0)),"")</f>
        <v/>
      </c>
      <c r="E438" s="127" t="str">
        <f>IFERROR(IF(D438="","",IF(VLOOKUP(D438,'DESEMPATE Y DISCAPACIDAD'!D$3:$E$450,2,FALSE)=1,"N/A",IF(VLOOKUP(D438,'DESEMPATE Y DISCAPACIDAD'!D$3:$F$450,3,FALSE)="X","SI","NO"))),"")</f>
        <v/>
      </c>
      <c r="F438" s="125"/>
      <c r="G438" s="125"/>
      <c r="H438" s="125"/>
      <c r="I438" s="128"/>
      <c r="J438" s="125"/>
      <c r="K438" s="125"/>
      <c r="L438" s="125"/>
      <c r="M438" s="125"/>
      <c r="N438" s="125" t="str">
        <f t="shared" si="389"/>
        <v/>
      </c>
      <c r="O438" s="125" t="str">
        <f t="shared" si="397"/>
        <v/>
      </c>
      <c r="P438" s="125" t="str">
        <f t="shared" si="390"/>
        <v/>
      </c>
      <c r="Q438" s="125" t="str">
        <f t="shared" si="356"/>
        <v/>
      </c>
      <c r="R438" s="68"/>
      <c r="S438" s="129"/>
      <c r="T438" s="129"/>
      <c r="U438" s="125" t="str">
        <f t="shared" si="394"/>
        <v/>
      </c>
      <c r="V438" s="117" t="str">
        <f>IF(U438=2023,1160000,IFERROR(INDEX(SMMLV!$B$2:$B$101,MATCH(U438,SMMLV!$A$2:$A$101,0)),""))</f>
        <v/>
      </c>
      <c r="W438" s="117"/>
      <c r="X438" s="125"/>
      <c r="Y438" s="125"/>
      <c r="Z438" s="474"/>
      <c r="AA438" s="475"/>
      <c r="AB438" s="476"/>
      <c r="AC438" s="125" t="str">
        <f t="shared" si="391"/>
        <v/>
      </c>
      <c r="AD438" s="117" t="str">
        <f t="shared" si="357"/>
        <v/>
      </c>
      <c r="AE438" s="117" t="str">
        <f t="shared" si="353"/>
        <v/>
      </c>
      <c r="AF438" s="117" t="str">
        <f t="shared" si="350"/>
        <v/>
      </c>
      <c r="AG438" s="470"/>
      <c r="AH438" s="470"/>
      <c r="AI438" s="125" t="str">
        <f t="shared" si="351"/>
        <v/>
      </c>
      <c r="AJ438" s="470"/>
      <c r="AK438" s="470"/>
      <c r="AL438" s="472"/>
      <c r="AM438" s="496"/>
      <c r="AN438" s="125"/>
      <c r="AO438" s="490"/>
      <c r="AP438" s="125"/>
      <c r="AQ438" s="490"/>
      <c r="AR438" s="522"/>
      <c r="AS438" s="519"/>
      <c r="AT438" s="204"/>
      <c r="AU438" s="711"/>
      <c r="AV438" s="702"/>
      <c r="AW438" s="705"/>
      <c r="AX438" s="705"/>
      <c r="AY438" s="19"/>
      <c r="CB438" s="29" t="str">
        <f>IFERROR(IF(COUNTIF(AF433:AF442,"")=10,"",IF(COUNTIF(E433:E442,"N/A")&gt;0,IF(AF438&gt;=CMEMM1,AF438,0),"N/A")),"")</f>
        <v/>
      </c>
      <c r="CC438" s="4"/>
      <c r="CD438" s="4" t="str">
        <f>IFERROR(IF(COUNTIF(AF433:AF442,"")=10,"",IF(AF438="","",IF(AF438&gt;=CMEMM1,1,0))),"")</f>
        <v/>
      </c>
      <c r="CE438" s="4" t="str">
        <f>B433&amp;"-0"&amp;6</f>
        <v>P44-06</v>
      </c>
      <c r="CF438" s="4">
        <f>IFERROR(INDEX('DESEMPATE Y DISCAPACIDAD'!$D$3:$D$450,MATCH(CE438,'DESEMPATE Y DISCAPACIDAD'!$C$3:$C$450,0)),"")</f>
        <v>0</v>
      </c>
      <c r="CG438" s="4">
        <f>IF(OR(CE438="",CF438=""),"",SUMIF(D433:D442,CF438,CD433:CD442))</f>
        <v>0</v>
      </c>
      <c r="CH438" s="4" t="str">
        <f t="shared" si="381"/>
        <v>NO CUMPLE</v>
      </c>
      <c r="CI438" s="4">
        <f t="shared" si="392"/>
        <v>0</v>
      </c>
      <c r="CJ438" s="4"/>
      <c r="CK438" s="4"/>
      <c r="CL438" s="4" t="str">
        <f t="shared" si="354"/>
        <v/>
      </c>
      <c r="CM438" s="4" t="str">
        <f t="shared" si="355"/>
        <v/>
      </c>
      <c r="CN438" s="4" t="str">
        <f t="shared" si="393"/>
        <v/>
      </c>
      <c r="CO438" s="4"/>
      <c r="CP438" s="4"/>
      <c r="CQ438" s="29" t="str">
        <f t="shared" si="395"/>
        <v/>
      </c>
      <c r="CR438" s="29" t="str">
        <f t="shared" si="396"/>
        <v/>
      </c>
      <c r="CS438" s="4"/>
    </row>
    <row r="439" spans="1:97" ht="30" hidden="1" customHeight="1">
      <c r="B439" s="649"/>
      <c r="C439" s="118"/>
      <c r="D439" s="126" t="str">
        <f>+IFERROR(INDEX('DESEMPATE Y DISCAPACIDAD'!$D$3:$D$450,MATCH(C439,'DESEMPATE Y DISCAPACIDAD'!$C$3:$C$450,0)),"")</f>
        <v/>
      </c>
      <c r="E439" s="127" t="str">
        <f>IFERROR(IF(D439="","",IF(VLOOKUP(D439,'DESEMPATE Y DISCAPACIDAD'!D$3:$E$450,2,FALSE)=1,"N/A",IF(VLOOKUP(D439,'DESEMPATE Y DISCAPACIDAD'!D$3:$F$450,3,FALSE)="X","SI","NO"))),"")</f>
        <v/>
      </c>
      <c r="F439" s="125"/>
      <c r="G439" s="125"/>
      <c r="H439" s="125"/>
      <c r="I439" s="128"/>
      <c r="J439" s="125"/>
      <c r="K439" s="125"/>
      <c r="L439" s="125"/>
      <c r="M439" s="125"/>
      <c r="N439" s="125" t="str">
        <f t="shared" si="389"/>
        <v/>
      </c>
      <c r="O439" s="125" t="str">
        <f t="shared" si="397"/>
        <v/>
      </c>
      <c r="P439" s="125" t="str">
        <f t="shared" si="390"/>
        <v/>
      </c>
      <c r="Q439" s="125" t="str">
        <f t="shared" si="356"/>
        <v/>
      </c>
      <c r="R439" s="68"/>
      <c r="S439" s="129"/>
      <c r="T439" s="129"/>
      <c r="U439" s="125" t="str">
        <f t="shared" si="394"/>
        <v/>
      </c>
      <c r="V439" s="117" t="str">
        <f>IF(U439=2023,1160000,IFERROR(INDEX(SMMLV!$B$2:$B$101,MATCH(U439,SMMLV!$A$2:$A$101,0)),""))</f>
        <v/>
      </c>
      <c r="W439" s="117"/>
      <c r="X439" s="125"/>
      <c r="Y439" s="125"/>
      <c r="Z439" s="474"/>
      <c r="AA439" s="475"/>
      <c r="AB439" s="476"/>
      <c r="AC439" s="125" t="str">
        <f t="shared" si="391"/>
        <v/>
      </c>
      <c r="AD439" s="117" t="str">
        <f t="shared" si="357"/>
        <v/>
      </c>
      <c r="AE439" s="117" t="str">
        <f t="shared" si="353"/>
        <v/>
      </c>
      <c r="AF439" s="117" t="str">
        <f t="shared" si="350"/>
        <v/>
      </c>
      <c r="AG439" s="470"/>
      <c r="AH439" s="470"/>
      <c r="AI439" s="125" t="str">
        <f t="shared" si="351"/>
        <v/>
      </c>
      <c r="AJ439" s="470"/>
      <c r="AK439" s="470"/>
      <c r="AL439" s="472"/>
      <c r="AM439" s="496"/>
      <c r="AN439" s="125"/>
      <c r="AO439" s="490"/>
      <c r="AP439" s="125"/>
      <c r="AQ439" s="490"/>
      <c r="AR439" s="522"/>
      <c r="AS439" s="519"/>
      <c r="AT439" s="204"/>
      <c r="AU439" s="711"/>
      <c r="AV439" s="702"/>
      <c r="AW439" s="705"/>
      <c r="AX439" s="705"/>
      <c r="AY439" s="19"/>
      <c r="CB439" s="29" t="str">
        <f>IFERROR(IF(COUNTIF(AF433:AF442,"")=10,"",IF(COUNTIF(E433:E442,"N/A")&gt;0,IF(AF439&gt;=CMEMM1,AF439,0),"N/A")),"")</f>
        <v/>
      </c>
      <c r="CC439" s="4"/>
      <c r="CD439" s="4" t="str">
        <f>IFERROR(IF(COUNTIF(AF433:AF442,"")=10,"",IF(AF439="","",IF(AF439&gt;=CMEMM1,1,0))),"")</f>
        <v/>
      </c>
      <c r="CE439" s="4" t="str">
        <f>B433&amp;"-0"&amp;7</f>
        <v>P44-07</v>
      </c>
      <c r="CF439" s="4" t="str">
        <f>IFERROR(INDEX('DESEMPATE Y DISCAPACIDAD'!$D$3:$D$450,MATCH(CE439,'DESEMPATE Y DISCAPACIDAD'!$C$3:$C$450,0)),"")</f>
        <v/>
      </c>
      <c r="CG439" s="4" t="str">
        <f>IF(OR(CE439="",CF439=""),"",SUMIF(D433:D442,CF439,CD433:CD442))</f>
        <v/>
      </c>
      <c r="CH439" s="4" t="str">
        <f t="shared" si="381"/>
        <v/>
      </c>
      <c r="CI439" s="4" t="str">
        <f t="shared" si="392"/>
        <v/>
      </c>
      <c r="CJ439" s="4"/>
      <c r="CK439" s="4"/>
      <c r="CL439" s="4" t="str">
        <f t="shared" si="354"/>
        <v/>
      </c>
      <c r="CM439" s="4" t="str">
        <f t="shared" si="355"/>
        <v/>
      </c>
      <c r="CN439" s="4" t="str">
        <f t="shared" si="393"/>
        <v/>
      </c>
      <c r="CO439" s="4"/>
      <c r="CP439" s="4"/>
      <c r="CQ439" s="29" t="str">
        <f t="shared" si="395"/>
        <v/>
      </c>
      <c r="CR439" s="29" t="str">
        <f t="shared" si="396"/>
        <v/>
      </c>
      <c r="CS439" s="4"/>
    </row>
    <row r="440" spans="1:97" ht="30" hidden="1" customHeight="1">
      <c r="B440" s="649"/>
      <c r="C440" s="118"/>
      <c r="D440" s="126" t="str">
        <f>+IFERROR(INDEX('DESEMPATE Y DISCAPACIDAD'!$D$3:$D$450,MATCH(C440,'DESEMPATE Y DISCAPACIDAD'!$C$3:$C$450,0)),"")</f>
        <v/>
      </c>
      <c r="E440" s="127" t="str">
        <f>IFERROR(IF(D440="","",IF(VLOOKUP(D440,'DESEMPATE Y DISCAPACIDAD'!D$3:$E$450,2,FALSE)=1,"N/A",IF(VLOOKUP(D440,'DESEMPATE Y DISCAPACIDAD'!D$3:$F$450,3,FALSE)="X","SI","NO"))),"")</f>
        <v/>
      </c>
      <c r="F440" s="125"/>
      <c r="G440" s="125"/>
      <c r="H440" s="125"/>
      <c r="I440" s="128"/>
      <c r="J440" s="125"/>
      <c r="K440" s="125"/>
      <c r="L440" s="125"/>
      <c r="M440" s="125"/>
      <c r="N440" s="125" t="str">
        <f t="shared" si="389"/>
        <v/>
      </c>
      <c r="O440" s="125" t="str">
        <f t="shared" si="397"/>
        <v/>
      </c>
      <c r="P440" s="125" t="str">
        <f t="shared" si="390"/>
        <v/>
      </c>
      <c r="Q440" s="125" t="str">
        <f t="shared" si="356"/>
        <v/>
      </c>
      <c r="R440" s="68"/>
      <c r="S440" s="129"/>
      <c r="T440" s="129"/>
      <c r="U440" s="125" t="str">
        <f t="shared" si="394"/>
        <v/>
      </c>
      <c r="V440" s="117" t="str">
        <f>IF(U440=2023,1160000,IFERROR(INDEX(SMMLV!$B$2:$B$101,MATCH(U440,SMMLV!$A$2:$A$101,0)),""))</f>
        <v/>
      </c>
      <c r="W440" s="117"/>
      <c r="X440" s="125"/>
      <c r="Y440" s="125"/>
      <c r="Z440" s="474"/>
      <c r="AA440" s="475"/>
      <c r="AB440" s="476"/>
      <c r="AC440" s="125" t="str">
        <f t="shared" si="391"/>
        <v/>
      </c>
      <c r="AD440" s="117" t="str">
        <f t="shared" si="357"/>
        <v/>
      </c>
      <c r="AE440" s="117" t="str">
        <f t="shared" si="353"/>
        <v/>
      </c>
      <c r="AF440" s="117" t="str">
        <f t="shared" si="350"/>
        <v/>
      </c>
      <c r="AG440" s="470"/>
      <c r="AH440" s="470"/>
      <c r="AI440" s="125" t="str">
        <f t="shared" si="351"/>
        <v/>
      </c>
      <c r="AJ440" s="470"/>
      <c r="AK440" s="470"/>
      <c r="AL440" s="472"/>
      <c r="AM440" s="496"/>
      <c r="AN440" s="125"/>
      <c r="AO440" s="490"/>
      <c r="AP440" s="125"/>
      <c r="AQ440" s="490"/>
      <c r="AR440" s="522"/>
      <c r="AS440" s="519"/>
      <c r="AT440" s="204"/>
      <c r="AU440" s="711"/>
      <c r="AV440" s="702"/>
      <c r="AW440" s="705"/>
      <c r="AX440" s="705"/>
      <c r="AY440" s="19"/>
      <c r="CB440" s="29" t="str">
        <f>IFERROR(IF(COUNTIF(AF433:AF442,"")=10,"",IF(COUNTIF(E433:E442,"N/A")&gt;0,IF(AF440&gt;=CMEMM1,AF440,0),"N/A")),"")</f>
        <v/>
      </c>
      <c r="CC440" s="4"/>
      <c r="CD440" s="4" t="str">
        <f>IFERROR(IF(COUNTIF(AF433:AF442,"")=10,"",IF(AF440="","",IF(AF440&gt;=CMEMM1,1,0))),"")</f>
        <v/>
      </c>
      <c r="CE440" s="4" t="str">
        <f>B433&amp;"-0"&amp;8</f>
        <v>P44-08</v>
      </c>
      <c r="CF440" s="4" t="str">
        <f>IFERROR(INDEX('DESEMPATE Y DISCAPACIDAD'!$D$3:$D$450,MATCH(CE440,'DESEMPATE Y DISCAPACIDAD'!$C$3:$C$450,0)),"")</f>
        <v/>
      </c>
      <c r="CG440" s="4" t="str">
        <f>IF(OR(CE440="",CF440=""),"",SUMIF(D433:D442,CF440,CD433:CD442))</f>
        <v/>
      </c>
      <c r="CH440" s="4" t="str">
        <f t="shared" si="381"/>
        <v/>
      </c>
      <c r="CI440" s="4" t="str">
        <f t="shared" si="392"/>
        <v/>
      </c>
      <c r="CJ440" s="4"/>
      <c r="CK440" s="4"/>
      <c r="CL440" s="4" t="str">
        <f t="shared" si="354"/>
        <v/>
      </c>
      <c r="CM440" s="4" t="str">
        <f t="shared" si="355"/>
        <v/>
      </c>
      <c r="CN440" s="4" t="str">
        <f t="shared" si="393"/>
        <v/>
      </c>
      <c r="CO440" s="4"/>
      <c r="CP440" s="4"/>
      <c r="CQ440" s="29" t="str">
        <f t="shared" si="395"/>
        <v/>
      </c>
      <c r="CR440" s="29" t="str">
        <f t="shared" si="396"/>
        <v/>
      </c>
      <c r="CS440" s="4"/>
    </row>
    <row r="441" spans="1:97" ht="30" hidden="1" customHeight="1">
      <c r="B441" s="649"/>
      <c r="C441" s="118"/>
      <c r="D441" s="126" t="str">
        <f>+IFERROR(INDEX('DESEMPATE Y DISCAPACIDAD'!$D$3:$D$450,MATCH(C441,'DESEMPATE Y DISCAPACIDAD'!$C$3:$C$450,0)),"")</f>
        <v/>
      </c>
      <c r="E441" s="127" t="str">
        <f>IFERROR(IF(D441="","",IF(VLOOKUP(D441,'DESEMPATE Y DISCAPACIDAD'!D$3:$E$450,2,FALSE)=1,"N/A",IF(VLOOKUP(D441,'DESEMPATE Y DISCAPACIDAD'!D$3:$F$450,3,FALSE)="X","SI","NO"))),"")</f>
        <v/>
      </c>
      <c r="F441" s="125"/>
      <c r="G441" s="125"/>
      <c r="H441" s="125"/>
      <c r="I441" s="128"/>
      <c r="J441" s="125"/>
      <c r="K441" s="125"/>
      <c r="L441" s="125"/>
      <c r="M441" s="125"/>
      <c r="N441" s="125" t="str">
        <f t="shared" si="389"/>
        <v/>
      </c>
      <c r="O441" s="125" t="str">
        <f t="shared" si="397"/>
        <v/>
      </c>
      <c r="P441" s="125" t="str">
        <f t="shared" si="390"/>
        <v/>
      </c>
      <c r="Q441" s="125" t="str">
        <f t="shared" si="356"/>
        <v/>
      </c>
      <c r="R441" s="68"/>
      <c r="S441" s="129"/>
      <c r="T441" s="129"/>
      <c r="U441" s="125" t="str">
        <f t="shared" si="394"/>
        <v/>
      </c>
      <c r="V441" s="117" t="str">
        <f>IF(U441=2023,1160000,IFERROR(INDEX(SMMLV!$B$2:$B$101,MATCH(U441,SMMLV!$A$2:$A$101,0)),""))</f>
        <v/>
      </c>
      <c r="W441" s="117"/>
      <c r="X441" s="125"/>
      <c r="Y441" s="125"/>
      <c r="Z441" s="474"/>
      <c r="AA441" s="475"/>
      <c r="AB441" s="476"/>
      <c r="AC441" s="125" t="str">
        <f t="shared" si="391"/>
        <v/>
      </c>
      <c r="AD441" s="117" t="str">
        <f t="shared" si="357"/>
        <v/>
      </c>
      <c r="AE441" s="117" t="str">
        <f t="shared" si="353"/>
        <v/>
      </c>
      <c r="AF441" s="117" t="str">
        <f t="shared" si="350"/>
        <v/>
      </c>
      <c r="AG441" s="470"/>
      <c r="AH441" s="470"/>
      <c r="AI441" s="125" t="str">
        <f t="shared" si="351"/>
        <v/>
      </c>
      <c r="AJ441" s="470"/>
      <c r="AK441" s="470"/>
      <c r="AL441" s="472"/>
      <c r="AM441" s="496"/>
      <c r="AN441" s="125"/>
      <c r="AO441" s="490"/>
      <c r="AP441" s="125"/>
      <c r="AQ441" s="490"/>
      <c r="AR441" s="522"/>
      <c r="AS441" s="519"/>
      <c r="AT441" s="204"/>
      <c r="AU441" s="711"/>
      <c r="AV441" s="702"/>
      <c r="AW441" s="705"/>
      <c r="AX441" s="705"/>
      <c r="AY441" s="19"/>
      <c r="CB441" s="29" t="str">
        <f>IFERROR(IF(COUNTIF(AF433:AF442,"")=10,"",IF(COUNTIF(E433:E442,"N/A")&gt;0,IF(AF441&gt;=CMEMM1,AF441,0),"N/A")),"")</f>
        <v/>
      </c>
      <c r="CC441" s="4"/>
      <c r="CD441" s="4" t="str">
        <f>IFERROR(IF(COUNTIF(AF433:AF442,"")=10,"",IF(AF441="","",IF(AF441&gt;=CMEMM1,1,0))),"")</f>
        <v/>
      </c>
      <c r="CE441" s="4" t="str">
        <f>B433&amp;"-0"&amp;9</f>
        <v>P44-09</v>
      </c>
      <c r="CF441" s="4" t="str">
        <f>IFERROR(INDEX('DESEMPATE Y DISCAPACIDAD'!$D$3:$D$450,MATCH(CE441,'DESEMPATE Y DISCAPACIDAD'!$C$3:$C$450,0)),"")</f>
        <v/>
      </c>
      <c r="CG441" s="4" t="str">
        <f>IF(OR(CE441="",CF441=""),"",SUMIF(D433:D442,CF441,CD433:CD442))</f>
        <v/>
      </c>
      <c r="CH441" s="4" t="str">
        <f t="shared" si="381"/>
        <v/>
      </c>
      <c r="CI441" s="4" t="str">
        <f t="shared" si="392"/>
        <v/>
      </c>
      <c r="CJ441" s="4"/>
      <c r="CK441" s="4"/>
      <c r="CL441" s="4" t="str">
        <f t="shared" si="354"/>
        <v/>
      </c>
      <c r="CM441" s="4" t="str">
        <f t="shared" si="355"/>
        <v/>
      </c>
      <c r="CN441" s="4" t="str">
        <f t="shared" si="393"/>
        <v/>
      </c>
      <c r="CO441" s="4"/>
      <c r="CP441" s="4"/>
      <c r="CQ441" s="29" t="str">
        <f t="shared" si="395"/>
        <v/>
      </c>
      <c r="CR441" s="29" t="str">
        <f t="shared" si="396"/>
        <v/>
      </c>
      <c r="CS441" s="4"/>
    </row>
    <row r="442" spans="1:97" ht="30" hidden="1" customHeight="1" thickBot="1">
      <c r="B442" s="650"/>
      <c r="C442" s="130"/>
      <c r="D442" s="131" t="str">
        <f>+IFERROR(INDEX('DESEMPATE Y DISCAPACIDAD'!$D$3:$D$450,MATCH(C442,'DESEMPATE Y DISCAPACIDAD'!$C$3:$C$450,0)),"")</f>
        <v/>
      </c>
      <c r="E442" s="132" t="str">
        <f>IFERROR(IF(D442="","",IF(VLOOKUP(D442,'DESEMPATE Y DISCAPACIDAD'!D$3:$E$450,2,FALSE)=1,"N/A",IF(VLOOKUP(D442,'DESEMPATE Y DISCAPACIDAD'!D$3:$F$450,3,FALSE)="X","SI","NO"))),"")</f>
        <v/>
      </c>
      <c r="F442" s="133"/>
      <c r="G442" s="133"/>
      <c r="H442" s="133"/>
      <c r="I442" s="134"/>
      <c r="J442" s="133"/>
      <c r="K442" s="133"/>
      <c r="L442" s="133"/>
      <c r="M442" s="133"/>
      <c r="N442" s="133" t="str">
        <f t="shared" si="389"/>
        <v/>
      </c>
      <c r="O442" s="133" t="str">
        <f t="shared" si="397"/>
        <v/>
      </c>
      <c r="P442" s="133" t="str">
        <f t="shared" si="390"/>
        <v/>
      </c>
      <c r="Q442" s="133" t="str">
        <f t="shared" si="356"/>
        <v/>
      </c>
      <c r="R442" s="104"/>
      <c r="S442" s="135"/>
      <c r="T442" s="135"/>
      <c r="U442" s="133" t="str">
        <f t="shared" si="394"/>
        <v/>
      </c>
      <c r="V442" s="136" t="str">
        <f>IF(U442=2023,1160000,IFERROR(INDEX(SMMLV!$B$2:$B$101,MATCH(U442,SMMLV!$A$2:$A$101,0)),""))</f>
        <v/>
      </c>
      <c r="W442" s="136"/>
      <c r="X442" s="133"/>
      <c r="Y442" s="133"/>
      <c r="Z442" s="487"/>
      <c r="AA442" s="488"/>
      <c r="AB442" s="489"/>
      <c r="AC442" s="133" t="str">
        <f t="shared" si="391"/>
        <v/>
      </c>
      <c r="AD442" s="136" t="str">
        <f t="shared" si="357"/>
        <v/>
      </c>
      <c r="AE442" s="117" t="str">
        <f t="shared" si="353"/>
        <v/>
      </c>
      <c r="AF442" s="136" t="str">
        <f t="shared" si="350"/>
        <v/>
      </c>
      <c r="AG442" s="471"/>
      <c r="AH442" s="471"/>
      <c r="AI442" s="133" t="str">
        <f t="shared" si="351"/>
        <v/>
      </c>
      <c r="AJ442" s="471"/>
      <c r="AK442" s="471"/>
      <c r="AL442" s="473"/>
      <c r="AM442" s="497"/>
      <c r="AN442" s="133"/>
      <c r="AO442" s="491"/>
      <c r="AP442" s="133"/>
      <c r="AQ442" s="491"/>
      <c r="AR442" s="523"/>
      <c r="AS442" s="520"/>
      <c r="AT442" s="206"/>
      <c r="AU442" s="712"/>
      <c r="AV442" s="703"/>
      <c r="AW442" s="706"/>
      <c r="AX442" s="706"/>
      <c r="AY442" s="19"/>
      <c r="CB442" s="29" t="str">
        <f>IFERROR(IF(COUNTIF(AF433:AF442,"")=10,"",IF(COUNTIF(E433:E442,"N/A")&gt;0,IF(AF442&gt;=CMEMM1,AF442,0),"N/A")),"")</f>
        <v/>
      </c>
      <c r="CC442" s="4"/>
      <c r="CD442" s="4" t="str">
        <f>IFERROR(IF(COUNTIF(AF433:AF442,"")=10,"",IF(AF442="","",IF(AF442&gt;=CMEMM1,1,0))),"")</f>
        <v/>
      </c>
      <c r="CE442" s="4" t="str">
        <f>B433&amp;"-"&amp;10</f>
        <v>P44-10</v>
      </c>
      <c r="CF442" s="4" t="str">
        <f>IFERROR(INDEX('DESEMPATE Y DISCAPACIDAD'!$D$3:$D$450,MATCH(CE442,'DESEMPATE Y DISCAPACIDAD'!$C$3:$C$450,0)),"")</f>
        <v/>
      </c>
      <c r="CG442" s="4" t="str">
        <f>IF(OR(CE442="",CF442=""),"",SUMIF(D433:D442,CF442,CD433:CD442))</f>
        <v/>
      </c>
      <c r="CH442" s="4" t="str">
        <f t="shared" si="381"/>
        <v/>
      </c>
      <c r="CI442" s="4" t="str">
        <f t="shared" si="392"/>
        <v/>
      </c>
      <c r="CJ442" s="4"/>
      <c r="CK442" s="4"/>
      <c r="CL442" s="4" t="str">
        <f t="shared" si="354"/>
        <v/>
      </c>
      <c r="CM442" s="4" t="str">
        <f t="shared" si="355"/>
        <v/>
      </c>
      <c r="CN442" s="4" t="str">
        <f t="shared" si="393"/>
        <v/>
      </c>
      <c r="CO442" s="4"/>
      <c r="CP442" s="4"/>
      <c r="CQ442" s="29" t="str">
        <f t="shared" si="395"/>
        <v/>
      </c>
      <c r="CR442" s="29" t="str">
        <f t="shared" si="396"/>
        <v/>
      </c>
      <c r="CS442" s="4"/>
    </row>
    <row r="443" spans="1:97" ht="30" hidden="1" customHeight="1">
      <c r="A443" s="4" t="str">
        <f>"A"&amp;B443</f>
        <v>AP45</v>
      </c>
      <c r="B443" s="480" t="s">
        <v>306</v>
      </c>
      <c r="C443" s="108"/>
      <c r="D443" s="119" t="str">
        <f>+IFERROR(INDEX('DESEMPATE Y DISCAPACIDAD'!$D$3:$D$450,MATCH(C443,'DESEMPATE Y DISCAPACIDAD'!$C$3:$C$450,0)),"")</f>
        <v/>
      </c>
      <c r="E443" s="120" t="str">
        <f>IFERROR(IF(D443="","",IF(VLOOKUP(D443,'DESEMPATE Y DISCAPACIDAD'!D$3:$E$450,2,FALSE)=1,"N/A",IF(VLOOKUP(D443,'DESEMPATE Y DISCAPACIDAD'!D$3:$F$450,3,FALSE)="X","SI","NO"))),"")</f>
        <v/>
      </c>
      <c r="F443" s="125"/>
      <c r="G443" s="125"/>
      <c r="H443" s="121"/>
      <c r="I443" s="122"/>
      <c r="J443" s="121"/>
      <c r="K443" s="121"/>
      <c r="L443" s="121"/>
      <c r="M443" s="121"/>
      <c r="N443" s="121" t="str">
        <f>IFERROR(IF(OR(J443="",K443=""),"",IF(J443="NO","NO",K443)),"")</f>
        <v/>
      </c>
      <c r="O443" s="121" t="str">
        <f>IFERROR(IF(OR(J443="",L443=""),"",IF(J443="NO","NO",L443)),"")</f>
        <v/>
      </c>
      <c r="P443" s="121" t="str">
        <f>IFERROR(IF(OR(J443="",M443=""),"",IF(J443="NO","NO",M443)),"")</f>
        <v/>
      </c>
      <c r="Q443" s="121" t="str">
        <f t="shared" si="356"/>
        <v/>
      </c>
      <c r="R443" s="103"/>
      <c r="S443" s="123"/>
      <c r="T443" s="123"/>
      <c r="U443" s="121" t="str">
        <f>IFERROR(IF(T443="","",YEAR(T443)),"")</f>
        <v/>
      </c>
      <c r="V443" s="124" t="str">
        <f>IF(U443=2023,1160000,IFERROR(INDEX(SMMLV!$B$2:$B$101,MATCH(U443,SMMLV!$A$2:$A$101,0)),""))</f>
        <v/>
      </c>
      <c r="W443" s="124"/>
      <c r="X443" s="121"/>
      <c r="Y443" s="121"/>
      <c r="Z443" s="483"/>
      <c r="AA443" s="484"/>
      <c r="AB443" s="485"/>
      <c r="AC443" s="121" t="str">
        <f>IFERROR(IF(Y443="","",IF(ISNUMBER(Y443),IF(COUNTIF(Z443,"SI")&gt;0,"SI","NO"),Y443)),"")</f>
        <v/>
      </c>
      <c r="AD443" s="124" t="str">
        <f t="shared" si="357"/>
        <v/>
      </c>
      <c r="AE443" s="117" t="str">
        <f t="shared" si="353"/>
        <v/>
      </c>
      <c r="AF443" s="124" t="str">
        <f t="shared" si="350"/>
        <v/>
      </c>
      <c r="AG443" s="486" t="str">
        <f>IFERROR(IF(COUNTIF(AF443:AF452,"")=10,"",IF(COUNTIF(E443:E452,"N/A")&gt;0,IF(SUM(CB443:CB452)&gt;=CMEM1,"CUMPLE","NO CUMPLE"),IF(SUM(AF443:AF452)&gt;=CMEM1,"CUMPLE","NO CUMPLE"))),"")</f>
        <v/>
      </c>
      <c r="AH443" s="486" t="str">
        <f>IF(COUNTIF(AF443:AF452,"")=10,"",IF(SUMIF(C443:C452,C443,AF443:AF452)&gt;=CMLM1,"CUMPLE",IF(SUMIF(C443:C452,C444,AF443:AF452)&gt;=CMLM1,"CUMPLE",IF(SUMIF(C443:C452,C445,AF443:AF452)&gt;=CMLM1,"CUMPLE",IF(SUMIF(C443:C452,C446,AF443:AF452)&gt;=CMLM1,"CUMPLE",IF(SUMIF(C443:C452,C447,AF443:AF452)&gt;=CMLM1,"CUMPLE",IF(SUMIF(C443:C452,C448,AF443:AF452)&gt;=CMLM1,"CUMPLE",IF(SUMIF(C443:C452,C449,AF443:AF452)&gt;=CMLM1,"CUMPLE",IF(SUMIF(C443:C452,C450,AF443:AF452)&gt;=CMLM1,"CUMPLE",IF(SUMIF(C443:C452,C451,AF443:AF452)&gt;=CMLM1,"CUMPLE",IF(SUMIF(C443:C452,C452,AF443:AF452)&gt;=CMLM1,"CUMPLE","NO CUMPLE")))))))))))</f>
        <v/>
      </c>
      <c r="AI443" s="121" t="str">
        <f t="shared" si="351"/>
        <v/>
      </c>
      <c r="AJ443" s="469" t="str">
        <f>IFERROR(IF(COUNTIF(AF443:AF452,"")=10,"",IF(COUNTIF(E443:E452,"N/A")&gt;0,"N/A",CJ443)),"")</f>
        <v/>
      </c>
      <c r="AK443" s="469" t="str">
        <f>IFERROR(IF(AND(COUNTIF(N443:N452,"SI")&gt;=1,COUNTIF(O443:O452,"SI")&gt;=1,COUNTIF(P443:P452,"SI")&gt;=1,COUNTIF(J443:J452,"SI")&lt;=10,CO443="CUMPLE"),"CUMPLE","NO CUMPLE"),"")</f>
        <v>NO CUMPLE</v>
      </c>
      <c r="AL443" s="472"/>
      <c r="AM443" s="495">
        <f>IFERROR(IF(B443&lt;&gt;"",IF(VLOOKUP(B443,'DESEMPATE Y DISCAPACIDAD'!$A$3:$Q$450,10,FALSE)="","",VLOOKUP(B443,'DESEMPATE Y DISCAPACIDAD'!$A$3:$Q$450,10,FALSE)+6),""),"")</f>
        <v>6</v>
      </c>
      <c r="AN443" s="121"/>
      <c r="AO443" s="490"/>
      <c r="AP443" s="121"/>
      <c r="AQ443" s="490" t="str">
        <f>IFERROR(IF(COUNTIF(AP443:AP452,"")=10,"",IF(AO443="NO",0,COUNTIF(AP443:AP452,"SI"))),"")</f>
        <v/>
      </c>
      <c r="AR443" s="521" t="str">
        <f>IFERROR(IF(COUNTIF(AF443:AF452,"")=10,"",IF(AO443="NO",0,IF(COUNTIF(E443:E452,"N/A")&gt;0,SUM(CQ443:CQ452),SUM(CR443:CR452)))),"")</f>
        <v/>
      </c>
      <c r="AS443" s="518" t="str">
        <f>IFERROR(IF(OR(COUNTIF(AF443:AF452,"")=10,AQ443="",AR443=""),"",IF(AO443="NO",0,AR443/AQ443)),"")</f>
        <v/>
      </c>
      <c r="AT443" s="207"/>
      <c r="AU443" s="698"/>
      <c r="AV443" s="701"/>
      <c r="AW443" s="707"/>
      <c r="AX443" s="707"/>
      <c r="AY443" s="19"/>
      <c r="CB443" s="29" t="str">
        <f>IFERROR(IF(COUNTIF(AF443:AF452,"")=10,"",IF(COUNTIF(E443:E452,"N/A")&gt;0,IF(AF443&gt;=CMEMM1,AF443,0),"N/A")),"")</f>
        <v/>
      </c>
      <c r="CC443" s="4"/>
      <c r="CD443" s="4" t="str">
        <f>IFERROR(IF(COUNTIF(AF443:AF452,"")=10,"",IF(AF443="","",IF(AF443&gt;=CMEMM1,1,0))),"")</f>
        <v/>
      </c>
      <c r="CE443" s="4" t="str">
        <f>B443&amp;"-0"&amp;1</f>
        <v>P45-01</v>
      </c>
      <c r="CF443" s="4">
        <f>IFERROR(INDEX('DESEMPATE Y DISCAPACIDAD'!$D$3:$D$450,MATCH(CE443,'DESEMPATE Y DISCAPACIDAD'!$C$3:$C$450,0)),"")</f>
        <v>0</v>
      </c>
      <c r="CG443" s="4">
        <f>IF(OR(CE443="",CF443=""),"",SUMIF(D443:D452,CF443,CD443:CD452))</f>
        <v>0</v>
      </c>
      <c r="CH443" s="4" t="str">
        <f t="shared" si="381"/>
        <v>NO CUMPLE</v>
      </c>
      <c r="CI443" s="4">
        <f>IF(CF443="","",IF(ISTEXT(CF443),1,0))</f>
        <v>0</v>
      </c>
      <c r="CJ443" s="4" t="str">
        <f>IF(OR(CE443="",CF443="",CG443="",CH443="",CI443=""),"",IF(COUNTIF(CH443:CH452,"CUMPLE")=COUNTIF(CI443:CI452,1),"CUMPLE","NO CUMPLE"))</f>
        <v>CUMPLE</v>
      </c>
      <c r="CK443" s="4"/>
      <c r="CL443" s="4" t="str">
        <f t="shared" si="354"/>
        <v/>
      </c>
      <c r="CM443" s="4" t="str">
        <f t="shared" si="355"/>
        <v/>
      </c>
      <c r="CN443" s="4" t="str">
        <f>IF(OR(CL443="",CM443=""),"",IF(AND(CL443=0,CM443=0),"N/A",IF(AND(CL443=1,CM443=0),"COND. A",IF(AND(CL443=0,CM443=1),"COND. B",IF(AND(CL443=1,CM443=1),"COND. A Y B","")))))</f>
        <v/>
      </c>
      <c r="CO443" s="4" t="str">
        <f>IF(COUNTIF(CN443:CN452,"N/A")=10,"NO CUMPLE",IF(COUNTIF(CN443:CN452,"COND. A Y B")&gt;1,"CUMPLE",IF(AND(COUNTIF(CN443:CN452,"COND. A")&gt;0,COUNTIF(CN443:CN452,"COND. B")&gt;0),"CUMPLE",IF(AND(COUNTIF(CN443:CN452,"COND. A Y B")&gt;0,COUNTIF(CN443:CN452,"COND. A")&gt;0),"CUMPLE",IF(AND(COUNTIF(CN443:CN452,"COND. A Y B")&gt;0,COUNTIF(CN443:CN452,"COND. B")&gt;0),"CUMPLE","NO CUMPLE")))))</f>
        <v>NO CUMPLE</v>
      </c>
      <c r="CP443" s="4"/>
      <c r="CQ443" s="29" t="str">
        <f t="shared" si="395"/>
        <v/>
      </c>
      <c r="CR443" s="29" t="str">
        <f t="shared" si="396"/>
        <v/>
      </c>
      <c r="CS443" s="4"/>
    </row>
    <row r="444" spans="1:97" ht="34.25" hidden="1" customHeight="1">
      <c r="B444" s="481"/>
      <c r="C444" s="118"/>
      <c r="D444" s="119" t="str">
        <f>+IFERROR(INDEX('DESEMPATE Y DISCAPACIDAD'!$D$3:$D$450,MATCH(C444,'DESEMPATE Y DISCAPACIDAD'!$C$3:$C$450,0)),"")</f>
        <v/>
      </c>
      <c r="E444" s="120" t="str">
        <f>IFERROR(IF(D444="","",IF(VLOOKUP(D444,'DESEMPATE Y DISCAPACIDAD'!D$3:$E$450,2,FALSE)=1,"N/A",IF(VLOOKUP(D444,'DESEMPATE Y DISCAPACIDAD'!D$3:$F$450,3,FALSE)="X","SI","NO"))),"")</f>
        <v/>
      </c>
      <c r="F444" s="125"/>
      <c r="G444" s="125"/>
      <c r="H444" s="121"/>
      <c r="I444" s="122"/>
      <c r="J444" s="121"/>
      <c r="K444" s="121"/>
      <c r="L444" s="121"/>
      <c r="M444" s="121"/>
      <c r="N444" s="121" t="str">
        <f t="shared" ref="N444:N452" si="398">IFERROR(IF(OR(J444="",K444=""),"",IF(J444="NO","NO",K444)),"")</f>
        <v/>
      </c>
      <c r="O444" s="121" t="str">
        <f>IFERROR(IF(OR(J444="",L444=""),"",IF(J444="NO","NO",L444)),"")</f>
        <v/>
      </c>
      <c r="P444" s="121" t="str">
        <f t="shared" ref="P444:P452" si="399">IFERROR(IF(OR(J444="",M444=""),"",IF(J444="NO","NO",M444)),"")</f>
        <v/>
      </c>
      <c r="Q444" s="121" t="str">
        <f t="shared" si="356"/>
        <v/>
      </c>
      <c r="R444" s="103"/>
      <c r="S444" s="123"/>
      <c r="T444" s="123"/>
      <c r="U444" s="121" t="str">
        <f t="shared" ref="U444:U452" si="400">IFERROR(IF(T444="","",YEAR(T444)),"")</f>
        <v/>
      </c>
      <c r="V444" s="124" t="str">
        <f>IF(U444=2023,1160000,IFERROR(INDEX(SMMLV!$B$2:$B$101,MATCH(U444,SMMLV!$A$2:$A$101,0)),""))</f>
        <v/>
      </c>
      <c r="W444" s="124"/>
      <c r="X444" s="125"/>
      <c r="Y444" s="125"/>
      <c r="Z444" s="474"/>
      <c r="AA444" s="475"/>
      <c r="AB444" s="476"/>
      <c r="AC444" s="125" t="str">
        <f t="shared" ref="AC444:AC452" si="401">IFERROR(IF(Y444="","",IF(ISNUMBER(Y444),IF(COUNTIF(Z444,"SI")&gt;0,"SI","NO"),Y444)),"")</f>
        <v/>
      </c>
      <c r="AD444" s="117" t="str">
        <f t="shared" si="357"/>
        <v/>
      </c>
      <c r="AE444" s="117" t="str">
        <f t="shared" si="353"/>
        <v/>
      </c>
      <c r="AF444" s="117" t="str">
        <f t="shared" si="350"/>
        <v/>
      </c>
      <c r="AG444" s="470"/>
      <c r="AH444" s="470"/>
      <c r="AI444" s="125" t="str">
        <f t="shared" si="351"/>
        <v/>
      </c>
      <c r="AJ444" s="470"/>
      <c r="AK444" s="470"/>
      <c r="AL444" s="472"/>
      <c r="AM444" s="496"/>
      <c r="AN444" s="125"/>
      <c r="AO444" s="490"/>
      <c r="AP444" s="125"/>
      <c r="AQ444" s="490"/>
      <c r="AR444" s="522"/>
      <c r="AS444" s="519"/>
      <c r="AT444" s="204"/>
      <c r="AU444" s="699"/>
      <c r="AV444" s="702"/>
      <c r="AW444" s="708"/>
      <c r="AX444" s="708"/>
      <c r="AY444" s="19"/>
      <c r="CB444" s="29" t="str">
        <f>IFERROR(IF(COUNTIF(AF443:AF452,"")=10,"",IF(COUNTIF(E443:E452,"N/A")&gt;0,IF(AF444&gt;=CMEMM1,AF444,0),"N/A")),"")</f>
        <v/>
      </c>
      <c r="CC444" s="4"/>
      <c r="CD444" s="4" t="str">
        <f>IFERROR(IF(COUNTIF(AF443:AF452,"")=10,"",IF(AF444="","",IF(AF444&gt;=CMEMM1,1,0))),"")</f>
        <v/>
      </c>
      <c r="CE444" s="4" t="str">
        <f>B443&amp;"-0"&amp;2</f>
        <v>P45-02</v>
      </c>
      <c r="CF444" s="4">
        <f>IFERROR(INDEX('DESEMPATE Y DISCAPACIDAD'!$D$3:$D$450,MATCH(CE444,'DESEMPATE Y DISCAPACIDAD'!$C$3:$C$450,0)),"")</f>
        <v>0</v>
      </c>
      <c r="CG444" s="4">
        <f>IF(OR(CE444="",CF444=""),"",SUMIF(D443:D452,CF444,CD443:CD452))</f>
        <v>0</v>
      </c>
      <c r="CH444" s="4" t="str">
        <f t="shared" si="381"/>
        <v>NO CUMPLE</v>
      </c>
      <c r="CI444" s="4">
        <f t="shared" ref="CI444:CI452" si="402">IF(CF444="","",IF(ISTEXT(CF444),1,0))</f>
        <v>0</v>
      </c>
      <c r="CJ444" s="4"/>
      <c r="CK444" s="4"/>
      <c r="CL444" s="4" t="str">
        <f t="shared" si="354"/>
        <v/>
      </c>
      <c r="CM444" s="4" t="str">
        <f t="shared" si="355"/>
        <v/>
      </c>
      <c r="CN444" s="4" t="str">
        <f t="shared" ref="CN444:CN452" si="403">IF(OR(CL444="",CM444=""),"",IF(AND(CL444=0,CM444=0),"N/A",IF(AND(CL444=1,CM444=0),"COND. A",IF(AND(CL444=0,CM444=1),"COND. B",IF(AND(CL444=1,CM444=1),"COND. A Y B","")))))</f>
        <v/>
      </c>
      <c r="CO444" s="4"/>
      <c r="CP444" s="4"/>
      <c r="CQ444" s="29" t="str">
        <f t="shared" si="395"/>
        <v/>
      </c>
      <c r="CR444" s="29" t="str">
        <f t="shared" si="396"/>
        <v/>
      </c>
      <c r="CS444" s="4"/>
    </row>
    <row r="445" spans="1:97" ht="34.25" hidden="1" customHeight="1">
      <c r="B445" s="481"/>
      <c r="C445" s="118"/>
      <c r="D445" s="126" t="str">
        <f>+IFERROR(INDEX('DESEMPATE Y DISCAPACIDAD'!$D$3:$D$450,MATCH(C445,'DESEMPATE Y DISCAPACIDAD'!$C$3:$C$450,0)),"")</f>
        <v/>
      </c>
      <c r="E445" s="127" t="str">
        <f>IFERROR(IF(D445="","",IF(VLOOKUP(D445,'DESEMPATE Y DISCAPACIDAD'!D$3:$E$450,2,FALSE)=1,"N/A",IF(VLOOKUP(D445,'DESEMPATE Y DISCAPACIDAD'!D$3:$F$450,3,FALSE)="X","SI","NO"))),"")</f>
        <v/>
      </c>
      <c r="F445" s="121"/>
      <c r="G445" s="121"/>
      <c r="H445" s="125"/>
      <c r="I445" s="128"/>
      <c r="J445" s="125"/>
      <c r="K445" s="125"/>
      <c r="L445" s="125"/>
      <c r="M445" s="125"/>
      <c r="N445" s="125" t="str">
        <f t="shared" si="398"/>
        <v/>
      </c>
      <c r="O445" s="125" t="str">
        <f>IFERROR(IF(OR(J445="",L445=""),"",IF(J445="NO","NO",L445)),"")</f>
        <v/>
      </c>
      <c r="P445" s="125" t="str">
        <f t="shared" si="399"/>
        <v/>
      </c>
      <c r="Q445" s="125" t="str">
        <f t="shared" si="356"/>
        <v/>
      </c>
      <c r="R445" s="68"/>
      <c r="S445" s="129"/>
      <c r="T445" s="129"/>
      <c r="U445" s="125" t="str">
        <f t="shared" si="400"/>
        <v/>
      </c>
      <c r="V445" s="117" t="str">
        <f>IF(U445=2023,1160000,IFERROR(INDEX(SMMLV!$B$2:$B$101,MATCH(U445,SMMLV!$A$2:$A$101,0)),""))</f>
        <v/>
      </c>
      <c r="W445" s="117"/>
      <c r="X445" s="125"/>
      <c r="Y445" s="125"/>
      <c r="Z445" s="474"/>
      <c r="AA445" s="475"/>
      <c r="AB445" s="476"/>
      <c r="AC445" s="125" t="str">
        <f t="shared" si="401"/>
        <v/>
      </c>
      <c r="AD445" s="117" t="str">
        <f t="shared" si="357"/>
        <v/>
      </c>
      <c r="AE445" s="117" t="str">
        <f t="shared" si="353"/>
        <v/>
      </c>
      <c r="AF445" s="117" t="str">
        <f t="shared" si="350"/>
        <v/>
      </c>
      <c r="AG445" s="470"/>
      <c r="AH445" s="470"/>
      <c r="AI445" s="125" t="str">
        <f t="shared" si="351"/>
        <v/>
      </c>
      <c r="AJ445" s="470"/>
      <c r="AK445" s="470"/>
      <c r="AL445" s="472"/>
      <c r="AM445" s="496"/>
      <c r="AN445" s="125"/>
      <c r="AO445" s="490"/>
      <c r="AP445" s="125"/>
      <c r="AQ445" s="490"/>
      <c r="AR445" s="522"/>
      <c r="AS445" s="519"/>
      <c r="AT445" s="204"/>
      <c r="AU445" s="699"/>
      <c r="AV445" s="702"/>
      <c r="AW445" s="708"/>
      <c r="AX445" s="708"/>
      <c r="AY445" s="19"/>
      <c r="CB445" s="29" t="str">
        <f>IFERROR(IF(COUNTIF(AF443:AF452,"")=10,"",IF(COUNTIF(E443:E452,"N/A")&gt;0,IF(AF445&gt;=CMEMM1,AF445,0),"N/A")),"")</f>
        <v/>
      </c>
      <c r="CC445" s="4"/>
      <c r="CD445" s="4" t="str">
        <f>IFERROR(IF(COUNTIF(AF443:AF452,"")=10,"",IF(AF445="","",IF(AF445&gt;=CMEMM1,1,0))),"")</f>
        <v/>
      </c>
      <c r="CE445" s="4" t="str">
        <f>B443&amp;"-0"&amp;3</f>
        <v>P45-03</v>
      </c>
      <c r="CF445" s="4">
        <f>IFERROR(INDEX('DESEMPATE Y DISCAPACIDAD'!$D$3:$D$450,MATCH(CE445,'DESEMPATE Y DISCAPACIDAD'!$C$3:$C$450,0)),"")</f>
        <v>0</v>
      </c>
      <c r="CG445" s="4">
        <f>IF(OR(CE445="",CF445=""),"",SUMIF(D443:D452,CF445,CD443:CD452))</f>
        <v>0</v>
      </c>
      <c r="CH445" s="4" t="str">
        <f t="shared" si="381"/>
        <v>NO CUMPLE</v>
      </c>
      <c r="CI445" s="4">
        <f t="shared" si="402"/>
        <v>0</v>
      </c>
      <c r="CJ445" s="4"/>
      <c r="CK445" s="4"/>
      <c r="CL445" s="4" t="str">
        <f t="shared" si="354"/>
        <v/>
      </c>
      <c r="CM445" s="4" t="str">
        <f t="shared" si="355"/>
        <v/>
      </c>
      <c r="CN445" s="4" t="str">
        <f t="shared" si="403"/>
        <v/>
      </c>
      <c r="CO445" s="4"/>
      <c r="CP445" s="4"/>
      <c r="CQ445" s="29" t="str">
        <f t="shared" si="395"/>
        <v/>
      </c>
      <c r="CR445" s="29" t="str">
        <f t="shared" si="396"/>
        <v/>
      </c>
      <c r="CS445" s="4"/>
    </row>
    <row r="446" spans="1:97" ht="34.25" hidden="1" customHeight="1">
      <c r="B446" s="481"/>
      <c r="C446" s="118"/>
      <c r="D446" s="126" t="str">
        <f>+IFERROR(INDEX('DESEMPATE Y DISCAPACIDAD'!$D$3:$D$450,MATCH(C446,'DESEMPATE Y DISCAPACIDAD'!$C$3:$C$450,0)),"")</f>
        <v/>
      </c>
      <c r="E446" s="127" t="str">
        <f>IFERROR(IF(D446="","",IF(VLOOKUP(D446,'DESEMPATE Y DISCAPACIDAD'!D$3:$E$450,2,FALSE)=1,"N/A",IF(VLOOKUP(D446,'DESEMPATE Y DISCAPACIDAD'!D$3:$F$450,3,FALSE)="X","SI","NO"))),"")</f>
        <v/>
      </c>
      <c r="F446" s="141"/>
      <c r="G446" s="125"/>
      <c r="H446" s="125"/>
      <c r="I446" s="128"/>
      <c r="J446" s="125"/>
      <c r="K446" s="125"/>
      <c r="L446" s="125"/>
      <c r="M446" s="125"/>
      <c r="N446" s="125" t="str">
        <f t="shared" si="398"/>
        <v/>
      </c>
      <c r="O446" s="125" t="str">
        <f>IFERROR(IF(OR(J446="",L446=""),"",IF(J446="NO","NO",L446)),"")</f>
        <v/>
      </c>
      <c r="P446" s="125" t="str">
        <f t="shared" si="399"/>
        <v/>
      </c>
      <c r="Q446" s="125" t="str">
        <f t="shared" si="356"/>
        <v/>
      </c>
      <c r="R446" s="68"/>
      <c r="S446" s="129"/>
      <c r="T446" s="129"/>
      <c r="U446" s="125" t="str">
        <f t="shared" si="400"/>
        <v/>
      </c>
      <c r="V446" s="117" t="str">
        <f>IF(U446=2023,1160000,IFERROR(INDEX(SMMLV!$B$2:$B$101,MATCH(U446,SMMLV!$A$2:$A$101,0)),""))</f>
        <v/>
      </c>
      <c r="W446" s="117"/>
      <c r="X446" s="125"/>
      <c r="Y446" s="125"/>
      <c r="Z446" s="474"/>
      <c r="AA446" s="475"/>
      <c r="AB446" s="476"/>
      <c r="AC446" s="125" t="str">
        <f t="shared" si="401"/>
        <v/>
      </c>
      <c r="AD446" s="117" t="str">
        <f t="shared" si="357"/>
        <v/>
      </c>
      <c r="AE446" s="117" t="str">
        <f t="shared" si="353"/>
        <v/>
      </c>
      <c r="AF446" s="117" t="str">
        <f t="shared" si="350"/>
        <v/>
      </c>
      <c r="AG446" s="470"/>
      <c r="AH446" s="470"/>
      <c r="AI446" s="125" t="str">
        <f t="shared" si="351"/>
        <v/>
      </c>
      <c r="AJ446" s="470"/>
      <c r="AK446" s="470"/>
      <c r="AL446" s="472"/>
      <c r="AM446" s="496"/>
      <c r="AN446" s="125"/>
      <c r="AO446" s="490"/>
      <c r="AP446" s="125"/>
      <c r="AQ446" s="490"/>
      <c r="AR446" s="522"/>
      <c r="AS446" s="519"/>
      <c r="AT446" s="204"/>
      <c r="AU446" s="699"/>
      <c r="AV446" s="702"/>
      <c r="AW446" s="708"/>
      <c r="AX446" s="708"/>
      <c r="AY446" s="19"/>
      <c r="CB446" s="29" t="str">
        <f>IFERROR(IF(COUNTIF(AF443:AF452,"")=10,"",IF(COUNTIF(E443:E452,"N/A")&gt;0,IF(AF446&gt;=CMEMM1,AF446,0),"N/A")),"")</f>
        <v/>
      </c>
      <c r="CC446" s="4"/>
      <c r="CD446" s="4" t="str">
        <f>IFERROR(IF(COUNTIF(AF443:AF452,"")=10,"",IF(AF446="","",IF(AF446&gt;=CMEMM1,1,0))),"")</f>
        <v/>
      </c>
      <c r="CE446" s="4" t="str">
        <f>B443&amp;"-0"&amp;4</f>
        <v>P45-04</v>
      </c>
      <c r="CF446" s="4">
        <f>IFERROR(INDEX('DESEMPATE Y DISCAPACIDAD'!$D$3:$D$450,MATCH(CE446,'DESEMPATE Y DISCAPACIDAD'!$C$3:$C$450,0)),"")</f>
        <v>0</v>
      </c>
      <c r="CG446" s="4">
        <f>IF(OR(CE446="",CF446=""),"",SUMIF(D443:D452,CF446,CD443:CD452))</f>
        <v>0</v>
      </c>
      <c r="CH446" s="4" t="str">
        <f t="shared" si="381"/>
        <v>NO CUMPLE</v>
      </c>
      <c r="CI446" s="4">
        <f t="shared" si="402"/>
        <v>0</v>
      </c>
      <c r="CJ446" s="4"/>
      <c r="CK446" s="4"/>
      <c r="CL446" s="4" t="str">
        <f t="shared" si="354"/>
        <v/>
      </c>
      <c r="CM446" s="4" t="str">
        <f t="shared" si="355"/>
        <v/>
      </c>
      <c r="CN446" s="4" t="str">
        <f t="shared" si="403"/>
        <v/>
      </c>
      <c r="CO446" s="4"/>
      <c r="CP446" s="4"/>
      <c r="CQ446" s="29" t="str">
        <f t="shared" si="395"/>
        <v/>
      </c>
      <c r="CR446" s="29" t="str">
        <f t="shared" si="396"/>
        <v/>
      </c>
      <c r="CS446" s="4"/>
    </row>
    <row r="447" spans="1:97" ht="34.25" hidden="1" customHeight="1">
      <c r="B447" s="481"/>
      <c r="C447" s="118"/>
      <c r="D447" s="126" t="str">
        <f>+IFERROR(INDEX('DESEMPATE Y DISCAPACIDAD'!$D$3:$D$450,MATCH(C447,'DESEMPATE Y DISCAPACIDAD'!$C$3:$C$450,0)),"")</f>
        <v/>
      </c>
      <c r="E447" s="127" t="str">
        <f>IFERROR(IF(D447="","",IF(VLOOKUP(D447,'DESEMPATE Y DISCAPACIDAD'!D$3:$E$450,2,FALSE)=1,"N/A",IF(VLOOKUP(D447,'DESEMPATE Y DISCAPACIDAD'!D$3:$F$450,3,FALSE)="X","SI","NO"))),"")</f>
        <v/>
      </c>
      <c r="F447" s="125"/>
      <c r="G447" s="125"/>
      <c r="H447" s="125"/>
      <c r="I447" s="128"/>
      <c r="J447" s="125"/>
      <c r="K447" s="125"/>
      <c r="L447" s="125"/>
      <c r="M447" s="125"/>
      <c r="N447" s="125" t="str">
        <f t="shared" si="398"/>
        <v/>
      </c>
      <c r="O447" s="125" t="str">
        <f t="shared" ref="O447:O452" si="404">IFERROR(IF(OR(J447="",L447=""),"",IF(J447="NO","NO",L447)),"")</f>
        <v/>
      </c>
      <c r="P447" s="125" t="str">
        <f t="shared" si="399"/>
        <v/>
      </c>
      <c r="Q447" s="125" t="str">
        <f t="shared" si="356"/>
        <v/>
      </c>
      <c r="R447" s="68"/>
      <c r="S447" s="129"/>
      <c r="T447" s="129"/>
      <c r="U447" s="125" t="str">
        <f t="shared" si="400"/>
        <v/>
      </c>
      <c r="V447" s="117" t="str">
        <f>IF(U447=2023,1160000,IFERROR(INDEX(SMMLV!$B$2:$B$101,MATCH(U447,SMMLV!$A$2:$A$101,0)),""))</f>
        <v/>
      </c>
      <c r="W447" s="117"/>
      <c r="X447" s="125"/>
      <c r="Y447" s="125"/>
      <c r="Z447" s="474"/>
      <c r="AA447" s="475"/>
      <c r="AB447" s="476"/>
      <c r="AC447" s="125" t="str">
        <f t="shared" si="401"/>
        <v/>
      </c>
      <c r="AD447" s="117" t="str">
        <f t="shared" si="357"/>
        <v/>
      </c>
      <c r="AE447" s="117" t="str">
        <f t="shared" si="353"/>
        <v/>
      </c>
      <c r="AF447" s="117" t="str">
        <f t="shared" si="350"/>
        <v/>
      </c>
      <c r="AG447" s="470"/>
      <c r="AH447" s="470"/>
      <c r="AI447" s="125" t="str">
        <f t="shared" si="351"/>
        <v/>
      </c>
      <c r="AJ447" s="470"/>
      <c r="AK447" s="470"/>
      <c r="AL447" s="472"/>
      <c r="AM447" s="496"/>
      <c r="AN447" s="125"/>
      <c r="AO447" s="490"/>
      <c r="AP447" s="125"/>
      <c r="AQ447" s="490"/>
      <c r="AR447" s="522"/>
      <c r="AS447" s="519"/>
      <c r="AT447" s="204"/>
      <c r="AU447" s="699"/>
      <c r="AV447" s="702"/>
      <c r="AW447" s="708"/>
      <c r="AX447" s="708"/>
      <c r="AY447" s="19"/>
      <c r="CB447" s="29" t="str">
        <f>IFERROR(IF(COUNTIF(AF443:AF452,"")=10,"",IF(COUNTIF(E443:E452,"N/A")&gt;0,IF(AF447&gt;=CMEMM1,AF447,0),"N/A")),"")</f>
        <v/>
      </c>
      <c r="CC447" s="4"/>
      <c r="CD447" s="4" t="str">
        <f>IFERROR(IF(COUNTIF(AF443:AF452,"")=10,"",IF(AF447="","",IF(AF447&gt;=CMEMM1,1,0))),"")</f>
        <v/>
      </c>
      <c r="CE447" s="4" t="str">
        <f>B443&amp;"-0"&amp;5</f>
        <v>P45-05</v>
      </c>
      <c r="CF447" s="4">
        <f>IFERROR(INDEX('DESEMPATE Y DISCAPACIDAD'!$D$3:$D$450,MATCH(CE447,'DESEMPATE Y DISCAPACIDAD'!$C$3:$C$450,0)),"")</f>
        <v>0</v>
      </c>
      <c r="CG447" s="4">
        <f>IF(OR(CE447="",CF447=""),"",SUMIF(D443:D452,CF447,CD443:CD452))</f>
        <v>0</v>
      </c>
      <c r="CH447" s="4" t="str">
        <f t="shared" si="381"/>
        <v>NO CUMPLE</v>
      </c>
      <c r="CI447" s="4">
        <f t="shared" si="402"/>
        <v>0</v>
      </c>
      <c r="CJ447" s="4"/>
      <c r="CK447" s="4"/>
      <c r="CL447" s="4" t="str">
        <f t="shared" si="354"/>
        <v/>
      </c>
      <c r="CM447" s="4" t="str">
        <f t="shared" si="355"/>
        <v/>
      </c>
      <c r="CN447" s="4" t="str">
        <f t="shared" si="403"/>
        <v/>
      </c>
      <c r="CO447" s="4"/>
      <c r="CP447" s="4"/>
      <c r="CQ447" s="29" t="str">
        <f t="shared" si="395"/>
        <v/>
      </c>
      <c r="CR447" s="29" t="str">
        <f t="shared" si="396"/>
        <v/>
      </c>
      <c r="CS447" s="4"/>
    </row>
    <row r="448" spans="1:97" ht="34.25" hidden="1" customHeight="1">
      <c r="B448" s="481"/>
      <c r="C448" s="118"/>
      <c r="D448" s="126" t="str">
        <f>+IFERROR(INDEX('DESEMPATE Y DISCAPACIDAD'!$D$3:$D$450,MATCH(C448,'DESEMPATE Y DISCAPACIDAD'!$C$3:$C$450,0)),"")</f>
        <v/>
      </c>
      <c r="E448" s="127" t="str">
        <f>IFERROR(IF(D448="","",IF(VLOOKUP(D448,'DESEMPATE Y DISCAPACIDAD'!D$3:$E$450,2,FALSE)=1,"N/A",IF(VLOOKUP(D448,'DESEMPATE Y DISCAPACIDAD'!D$3:$F$450,3,FALSE)="X","SI","NO"))),"")</f>
        <v/>
      </c>
      <c r="F448" s="125"/>
      <c r="G448" s="125"/>
      <c r="H448" s="125"/>
      <c r="I448" s="128"/>
      <c r="J448" s="125"/>
      <c r="K448" s="125"/>
      <c r="L448" s="125"/>
      <c r="M448" s="125"/>
      <c r="N448" s="125" t="str">
        <f t="shared" si="398"/>
        <v/>
      </c>
      <c r="O448" s="125" t="str">
        <f t="shared" si="404"/>
        <v/>
      </c>
      <c r="P448" s="125" t="str">
        <f t="shared" si="399"/>
        <v/>
      </c>
      <c r="Q448" s="125" t="str">
        <f t="shared" si="356"/>
        <v/>
      </c>
      <c r="R448" s="68"/>
      <c r="S448" s="129"/>
      <c r="T448" s="129"/>
      <c r="U448" s="125" t="str">
        <f t="shared" si="400"/>
        <v/>
      </c>
      <c r="V448" s="117" t="str">
        <f>IF(U448=2023,1160000,IFERROR(INDEX(SMMLV!$B$2:$B$101,MATCH(U448,SMMLV!$A$2:$A$101,0)),""))</f>
        <v/>
      </c>
      <c r="W448" s="117"/>
      <c r="X448" s="125"/>
      <c r="Y448" s="125"/>
      <c r="Z448" s="474"/>
      <c r="AA448" s="475"/>
      <c r="AB448" s="476"/>
      <c r="AC448" s="125" t="str">
        <f t="shared" si="401"/>
        <v/>
      </c>
      <c r="AD448" s="117" t="str">
        <f t="shared" si="357"/>
        <v/>
      </c>
      <c r="AE448" s="117" t="str">
        <f t="shared" si="353"/>
        <v/>
      </c>
      <c r="AF448" s="117" t="str">
        <f t="shared" si="350"/>
        <v/>
      </c>
      <c r="AG448" s="470"/>
      <c r="AH448" s="470"/>
      <c r="AI448" s="125" t="str">
        <f t="shared" si="351"/>
        <v/>
      </c>
      <c r="AJ448" s="470"/>
      <c r="AK448" s="470"/>
      <c r="AL448" s="472"/>
      <c r="AM448" s="496"/>
      <c r="AN448" s="125"/>
      <c r="AO448" s="490"/>
      <c r="AP448" s="125"/>
      <c r="AQ448" s="490"/>
      <c r="AR448" s="522"/>
      <c r="AS448" s="519"/>
      <c r="AT448" s="204"/>
      <c r="AU448" s="699"/>
      <c r="AV448" s="702"/>
      <c r="AW448" s="708"/>
      <c r="AX448" s="708"/>
      <c r="AY448" s="19"/>
      <c r="CB448" s="29" t="str">
        <f>IFERROR(IF(COUNTIF(AF443:AF452,"")=10,"",IF(COUNTIF(E443:E452,"N/A")&gt;0,IF(AF448&gt;=CMEMM1,AF448,0),"N/A")),"")</f>
        <v/>
      </c>
      <c r="CC448" s="4"/>
      <c r="CD448" s="4" t="str">
        <f>IFERROR(IF(COUNTIF(AF443:AF452,"")=10,"",IF(AF448="","",IF(AF448&gt;=CMEMM1,1,0))),"")</f>
        <v/>
      </c>
      <c r="CE448" s="4" t="str">
        <f>B443&amp;"-0"&amp;6</f>
        <v>P45-06</v>
      </c>
      <c r="CF448" s="4">
        <f>IFERROR(INDEX('DESEMPATE Y DISCAPACIDAD'!$D$3:$D$450,MATCH(CE448,'DESEMPATE Y DISCAPACIDAD'!$C$3:$C$450,0)),"")</f>
        <v>0</v>
      </c>
      <c r="CG448" s="4">
        <f>IF(OR(CE448="",CF448=""),"",SUMIF(D443:D452,CF448,CD443:CD452))</f>
        <v>0</v>
      </c>
      <c r="CH448" s="4" t="str">
        <f t="shared" si="381"/>
        <v>NO CUMPLE</v>
      </c>
      <c r="CI448" s="4">
        <f t="shared" si="402"/>
        <v>0</v>
      </c>
      <c r="CJ448" s="4"/>
      <c r="CK448" s="4"/>
      <c r="CL448" s="4" t="str">
        <f t="shared" si="354"/>
        <v/>
      </c>
      <c r="CM448" s="4" t="str">
        <f t="shared" si="355"/>
        <v/>
      </c>
      <c r="CN448" s="4" t="str">
        <f t="shared" si="403"/>
        <v/>
      </c>
      <c r="CO448" s="4"/>
      <c r="CP448" s="4"/>
      <c r="CQ448" s="29" t="str">
        <f t="shared" si="395"/>
        <v/>
      </c>
      <c r="CR448" s="29" t="str">
        <f t="shared" si="396"/>
        <v/>
      </c>
      <c r="CS448" s="4"/>
    </row>
    <row r="449" spans="1:97" ht="34.25" hidden="1" customHeight="1">
      <c r="B449" s="481"/>
      <c r="C449" s="118"/>
      <c r="D449" s="126" t="str">
        <f>+IFERROR(INDEX('DESEMPATE Y DISCAPACIDAD'!$D$3:$D$450,MATCH(C449,'DESEMPATE Y DISCAPACIDAD'!$C$3:$C$450,0)),"")</f>
        <v/>
      </c>
      <c r="E449" s="127" t="str">
        <f>IFERROR(IF(D449="","",IF(VLOOKUP(D449,'DESEMPATE Y DISCAPACIDAD'!D$3:$E$450,2,FALSE)=1,"N/A",IF(VLOOKUP(D449,'DESEMPATE Y DISCAPACIDAD'!D$3:$F$450,3,FALSE)="X","SI","NO"))),"")</f>
        <v/>
      </c>
      <c r="F449" s="125"/>
      <c r="G449" s="125"/>
      <c r="H449" s="125"/>
      <c r="I449" s="128"/>
      <c r="J449" s="125"/>
      <c r="K449" s="125"/>
      <c r="L449" s="125"/>
      <c r="M449" s="125"/>
      <c r="N449" s="125" t="str">
        <f t="shared" si="398"/>
        <v/>
      </c>
      <c r="O449" s="125" t="str">
        <f t="shared" si="404"/>
        <v/>
      </c>
      <c r="P449" s="125" t="str">
        <f t="shared" si="399"/>
        <v/>
      </c>
      <c r="Q449" s="125" t="str">
        <f t="shared" si="356"/>
        <v/>
      </c>
      <c r="R449" s="68"/>
      <c r="S449" s="129"/>
      <c r="T449" s="129"/>
      <c r="U449" s="125" t="str">
        <f t="shared" si="400"/>
        <v/>
      </c>
      <c r="V449" s="117" t="str">
        <f>IF(U449=2023,1160000,IFERROR(INDEX(SMMLV!$B$2:$B$101,MATCH(U449,SMMLV!$A$2:$A$101,0)),""))</f>
        <v/>
      </c>
      <c r="W449" s="117"/>
      <c r="X449" s="125"/>
      <c r="Y449" s="125"/>
      <c r="Z449" s="474"/>
      <c r="AA449" s="475"/>
      <c r="AB449" s="476"/>
      <c r="AC449" s="125" t="str">
        <f t="shared" si="401"/>
        <v/>
      </c>
      <c r="AD449" s="117" t="str">
        <f t="shared" si="357"/>
        <v/>
      </c>
      <c r="AE449" s="117" t="str">
        <f t="shared" si="353"/>
        <v/>
      </c>
      <c r="AF449" s="117" t="str">
        <f t="shared" ref="AF449:AF512" si="405">IFERROR(IF(OR(J449="",J449="NO"),"",IF(AND(J449="SI",Q449="SI"),IFERROR(AE449*R449,""),"")),"")</f>
        <v/>
      </c>
      <c r="AG449" s="470"/>
      <c r="AH449" s="470"/>
      <c r="AI449" s="125" t="str">
        <f t="shared" ref="AI449:AI512" si="406">IFERROR(IF(AF449="","",IF(AF449&gt;=CMEMM1,"CUMPLE","NO CUMPLE")),"")</f>
        <v/>
      </c>
      <c r="AJ449" s="470"/>
      <c r="AK449" s="470"/>
      <c r="AL449" s="472"/>
      <c r="AM449" s="496"/>
      <c r="AN449" s="125"/>
      <c r="AO449" s="490"/>
      <c r="AP449" s="125"/>
      <c r="AQ449" s="490"/>
      <c r="AR449" s="522"/>
      <c r="AS449" s="519"/>
      <c r="AT449" s="204"/>
      <c r="AU449" s="699"/>
      <c r="AV449" s="702"/>
      <c r="AW449" s="708"/>
      <c r="AX449" s="708"/>
      <c r="AY449" s="19"/>
      <c r="CB449" s="29" t="str">
        <f>IFERROR(IF(COUNTIF(AF443:AF452,"")=10,"",IF(COUNTIF(E443:E452,"N/A")&gt;0,IF(AF449&gt;=CMEMM1,AF449,0),"N/A")),"")</f>
        <v/>
      </c>
      <c r="CC449" s="4"/>
      <c r="CD449" s="4" t="str">
        <f>IFERROR(IF(COUNTIF(AF443:AF452,"")=10,"",IF(AF449="","",IF(AF449&gt;=CMEMM1,1,0))),"")</f>
        <v/>
      </c>
      <c r="CE449" s="4" t="str">
        <f>B443&amp;"-0"&amp;7</f>
        <v>P45-07</v>
      </c>
      <c r="CF449" s="4" t="str">
        <f>IFERROR(INDEX('DESEMPATE Y DISCAPACIDAD'!$D$3:$D$450,MATCH(CE449,'DESEMPATE Y DISCAPACIDAD'!$C$3:$C$450,0)),"")</f>
        <v/>
      </c>
      <c r="CG449" s="4" t="str">
        <f>IF(OR(CE449="",CF449=""),"",SUMIF(D443:D452,CF449,CD443:CD452))</f>
        <v/>
      </c>
      <c r="CH449" s="4" t="str">
        <f t="shared" si="381"/>
        <v/>
      </c>
      <c r="CI449" s="4" t="str">
        <f t="shared" si="402"/>
        <v/>
      </c>
      <c r="CJ449" s="4"/>
      <c r="CK449" s="4"/>
      <c r="CL449" s="4" t="str">
        <f t="shared" si="354"/>
        <v/>
      </c>
      <c r="CM449" s="4" t="str">
        <f t="shared" si="355"/>
        <v/>
      </c>
      <c r="CN449" s="4" t="str">
        <f t="shared" si="403"/>
        <v/>
      </c>
      <c r="CO449" s="4"/>
      <c r="CP449" s="4"/>
      <c r="CQ449" s="29" t="str">
        <f t="shared" si="395"/>
        <v/>
      </c>
      <c r="CR449" s="29" t="str">
        <f t="shared" si="396"/>
        <v/>
      </c>
      <c r="CS449" s="4"/>
    </row>
    <row r="450" spans="1:97" ht="34.25" hidden="1" customHeight="1">
      <c r="B450" s="481"/>
      <c r="C450" s="118"/>
      <c r="D450" s="126" t="str">
        <f>+IFERROR(INDEX('DESEMPATE Y DISCAPACIDAD'!$D$3:$D$450,MATCH(C450,'DESEMPATE Y DISCAPACIDAD'!$C$3:$C$450,0)),"")</f>
        <v/>
      </c>
      <c r="E450" s="127" t="str">
        <f>IFERROR(IF(D450="","",IF(VLOOKUP(D450,'DESEMPATE Y DISCAPACIDAD'!D$3:$E$450,2,FALSE)=1,"N/A",IF(VLOOKUP(D450,'DESEMPATE Y DISCAPACIDAD'!D$3:$F$450,3,FALSE)="X","SI","NO"))),"")</f>
        <v/>
      </c>
      <c r="F450" s="125"/>
      <c r="G450" s="125"/>
      <c r="H450" s="125"/>
      <c r="I450" s="128"/>
      <c r="J450" s="125"/>
      <c r="K450" s="125"/>
      <c r="L450" s="125"/>
      <c r="M450" s="125"/>
      <c r="N450" s="125" t="str">
        <f t="shared" si="398"/>
        <v/>
      </c>
      <c r="O450" s="125" t="str">
        <f t="shared" si="404"/>
        <v/>
      </c>
      <c r="P450" s="125" t="str">
        <f t="shared" si="399"/>
        <v/>
      </c>
      <c r="Q450" s="125" t="str">
        <f t="shared" si="356"/>
        <v/>
      </c>
      <c r="R450" s="68"/>
      <c r="S450" s="129"/>
      <c r="T450" s="129"/>
      <c r="U450" s="125" t="str">
        <f t="shared" si="400"/>
        <v/>
      </c>
      <c r="V450" s="117" t="str">
        <f>IF(U450=2023,1160000,IFERROR(INDEX(SMMLV!$B$2:$B$101,MATCH(U450,SMMLV!$A$2:$A$101,0)),""))</f>
        <v/>
      </c>
      <c r="W450" s="117"/>
      <c r="X450" s="125"/>
      <c r="Y450" s="125"/>
      <c r="Z450" s="474"/>
      <c r="AA450" s="475"/>
      <c r="AB450" s="476"/>
      <c r="AC450" s="125" t="str">
        <f t="shared" si="401"/>
        <v/>
      </c>
      <c r="AD450" s="117" t="str">
        <f t="shared" si="357"/>
        <v/>
      </c>
      <c r="AE450" s="117" t="str">
        <f t="shared" si="353"/>
        <v/>
      </c>
      <c r="AF450" s="117" t="str">
        <f t="shared" si="405"/>
        <v/>
      </c>
      <c r="AG450" s="470"/>
      <c r="AH450" s="470"/>
      <c r="AI450" s="125" t="str">
        <f t="shared" si="406"/>
        <v/>
      </c>
      <c r="AJ450" s="470"/>
      <c r="AK450" s="470"/>
      <c r="AL450" s="472"/>
      <c r="AM450" s="496"/>
      <c r="AN450" s="125"/>
      <c r="AO450" s="490"/>
      <c r="AP450" s="125"/>
      <c r="AQ450" s="490"/>
      <c r="AR450" s="522"/>
      <c r="AS450" s="519"/>
      <c r="AT450" s="204"/>
      <c r="AU450" s="699"/>
      <c r="AV450" s="702"/>
      <c r="AW450" s="708"/>
      <c r="AX450" s="708"/>
      <c r="AY450" s="19"/>
      <c r="CB450" s="29" t="str">
        <f>IFERROR(IF(COUNTIF(AF443:AF452,"")=10,"",IF(COUNTIF(E443:E452,"N/A")&gt;0,IF(AF450&gt;=CMEMM1,AF450,0),"N/A")),"")</f>
        <v/>
      </c>
      <c r="CC450" s="4"/>
      <c r="CD450" s="4" t="str">
        <f>IFERROR(IF(COUNTIF(AF443:AF452,"")=10,"",IF(AF450="","",IF(AF450&gt;=CMEMM1,1,0))),"")</f>
        <v/>
      </c>
      <c r="CE450" s="4" t="str">
        <f>B443&amp;"-0"&amp;8</f>
        <v>P45-08</v>
      </c>
      <c r="CF450" s="4" t="str">
        <f>IFERROR(INDEX('DESEMPATE Y DISCAPACIDAD'!$D$3:$D$450,MATCH(CE450,'DESEMPATE Y DISCAPACIDAD'!$C$3:$C$450,0)),"")</f>
        <v/>
      </c>
      <c r="CG450" s="4" t="str">
        <f>IF(OR(CE450="",CF450=""),"",SUMIF(D443:D452,CF450,CD443:CD452))</f>
        <v/>
      </c>
      <c r="CH450" s="4" t="str">
        <f t="shared" si="381"/>
        <v/>
      </c>
      <c r="CI450" s="4" t="str">
        <f t="shared" si="402"/>
        <v/>
      </c>
      <c r="CJ450" s="4"/>
      <c r="CK450" s="4"/>
      <c r="CL450" s="4" t="str">
        <f t="shared" si="354"/>
        <v/>
      </c>
      <c r="CM450" s="4" t="str">
        <f t="shared" si="355"/>
        <v/>
      </c>
      <c r="CN450" s="4" t="str">
        <f t="shared" si="403"/>
        <v/>
      </c>
      <c r="CO450" s="4"/>
      <c r="CP450" s="4"/>
      <c r="CQ450" s="29" t="str">
        <f t="shared" si="395"/>
        <v/>
      </c>
      <c r="CR450" s="29" t="str">
        <f t="shared" si="396"/>
        <v/>
      </c>
      <c r="CS450" s="4"/>
    </row>
    <row r="451" spans="1:97" ht="34.25" hidden="1" customHeight="1">
      <c r="B451" s="481"/>
      <c r="C451" s="118"/>
      <c r="D451" s="126" t="str">
        <f>+IFERROR(INDEX('DESEMPATE Y DISCAPACIDAD'!$D$3:$D$450,MATCH(C451,'DESEMPATE Y DISCAPACIDAD'!$C$3:$C$450,0)),"")</f>
        <v/>
      </c>
      <c r="E451" s="127" t="str">
        <f>IFERROR(IF(D451="","",IF(VLOOKUP(D451,'DESEMPATE Y DISCAPACIDAD'!D$3:$E$450,2,FALSE)=1,"N/A",IF(VLOOKUP(D451,'DESEMPATE Y DISCAPACIDAD'!D$3:$F$450,3,FALSE)="X","SI","NO"))),"")</f>
        <v/>
      </c>
      <c r="F451" s="125"/>
      <c r="G451" s="125"/>
      <c r="H451" s="125"/>
      <c r="I451" s="128"/>
      <c r="J451" s="125"/>
      <c r="K451" s="125"/>
      <c r="L451" s="125"/>
      <c r="M451" s="125"/>
      <c r="N451" s="125" t="str">
        <f t="shared" si="398"/>
        <v/>
      </c>
      <c r="O451" s="125" t="str">
        <f t="shared" si="404"/>
        <v/>
      </c>
      <c r="P451" s="125" t="str">
        <f t="shared" si="399"/>
        <v/>
      </c>
      <c r="Q451" s="125" t="str">
        <f t="shared" si="356"/>
        <v/>
      </c>
      <c r="R451" s="68"/>
      <c r="S451" s="129"/>
      <c r="T451" s="129"/>
      <c r="U451" s="125" t="str">
        <f t="shared" si="400"/>
        <v/>
      </c>
      <c r="V451" s="117" t="str">
        <f>IF(U451=2023,1160000,IFERROR(INDEX(SMMLV!$B$2:$B$101,MATCH(U451,SMMLV!$A$2:$A$101,0)),""))</f>
        <v/>
      </c>
      <c r="W451" s="117"/>
      <c r="X451" s="125"/>
      <c r="Y451" s="125"/>
      <c r="Z451" s="474"/>
      <c r="AA451" s="475"/>
      <c r="AB451" s="476"/>
      <c r="AC451" s="125" t="str">
        <f t="shared" si="401"/>
        <v/>
      </c>
      <c r="AD451" s="117" t="str">
        <f t="shared" si="357"/>
        <v/>
      </c>
      <c r="AE451" s="117" t="str">
        <f t="shared" ref="AE451:AE514" si="407">IFERROR(IF(OR(V451="",AD451=""),"",ROUND(AD451/V451,2)),"")</f>
        <v/>
      </c>
      <c r="AF451" s="117" t="str">
        <f t="shared" si="405"/>
        <v/>
      </c>
      <c r="AG451" s="470"/>
      <c r="AH451" s="470"/>
      <c r="AI451" s="125" t="str">
        <f t="shared" si="406"/>
        <v/>
      </c>
      <c r="AJ451" s="470"/>
      <c r="AK451" s="470"/>
      <c r="AL451" s="472"/>
      <c r="AM451" s="496"/>
      <c r="AN451" s="125"/>
      <c r="AO451" s="490"/>
      <c r="AP451" s="125"/>
      <c r="AQ451" s="490"/>
      <c r="AR451" s="522"/>
      <c r="AS451" s="519"/>
      <c r="AT451" s="204"/>
      <c r="AU451" s="699"/>
      <c r="AV451" s="702"/>
      <c r="AW451" s="708"/>
      <c r="AX451" s="708"/>
      <c r="AY451" s="19"/>
      <c r="CB451" s="29" t="str">
        <f>IFERROR(IF(COUNTIF(AF443:AF452,"")=10,"",IF(COUNTIF(E443:E452,"N/A")&gt;0,IF(AF451&gt;=CMEMM1,AF451,0),"N/A")),"")</f>
        <v/>
      </c>
      <c r="CC451" s="4"/>
      <c r="CD451" s="4" t="str">
        <f>IFERROR(IF(COUNTIF(AF443:AF452,"")=10,"",IF(AF451="","",IF(AF451&gt;=CMEMM1,1,0))),"")</f>
        <v/>
      </c>
      <c r="CE451" s="4" t="str">
        <f>B443&amp;"-0"&amp;9</f>
        <v>P45-09</v>
      </c>
      <c r="CF451" s="4" t="str">
        <f>IFERROR(INDEX('DESEMPATE Y DISCAPACIDAD'!$D$3:$D$450,MATCH(CE451,'DESEMPATE Y DISCAPACIDAD'!$C$3:$C$450,0)),"")</f>
        <v/>
      </c>
      <c r="CG451" s="4" t="str">
        <f>IF(OR(CE451="",CF451=""),"",SUMIF(D443:D452,CF451,CD443:CD452))</f>
        <v/>
      </c>
      <c r="CH451" s="4" t="str">
        <f t="shared" si="381"/>
        <v/>
      </c>
      <c r="CI451" s="4" t="str">
        <f t="shared" si="402"/>
        <v/>
      </c>
      <c r="CJ451" s="4"/>
      <c r="CK451" s="4"/>
      <c r="CL451" s="4" t="str">
        <f t="shared" ref="CL451:CL514" si="408">IF(N451="","",IF(N451="SI",1,0))</f>
        <v/>
      </c>
      <c r="CM451" s="4" t="str">
        <f t="shared" ref="CM451:CM514" si="409">IF(O451="","",IF(O451="SI",1,0))</f>
        <v/>
      </c>
      <c r="CN451" s="4" t="str">
        <f t="shared" si="403"/>
        <v/>
      </c>
      <c r="CO451" s="4"/>
      <c r="CP451" s="4"/>
      <c r="CQ451" s="29" t="str">
        <f t="shared" si="395"/>
        <v/>
      </c>
      <c r="CR451" s="29" t="str">
        <f t="shared" si="396"/>
        <v/>
      </c>
      <c r="CS451" s="4"/>
    </row>
    <row r="452" spans="1:97" ht="34.25" hidden="1" customHeight="1" thickBot="1">
      <c r="B452" s="482"/>
      <c r="C452" s="130"/>
      <c r="D452" s="131" t="str">
        <f>+IFERROR(INDEX('DESEMPATE Y DISCAPACIDAD'!$D$3:$D$450,MATCH(C452,'DESEMPATE Y DISCAPACIDAD'!$C$3:$C$450,0)),"")</f>
        <v/>
      </c>
      <c r="E452" s="132" t="str">
        <f>IFERROR(IF(D452="","",IF(VLOOKUP(D452,'DESEMPATE Y DISCAPACIDAD'!D$3:$E$450,2,FALSE)=1,"N/A",IF(VLOOKUP(D452,'DESEMPATE Y DISCAPACIDAD'!D$3:$F$450,3,FALSE)="X","SI","NO"))),"")</f>
        <v/>
      </c>
      <c r="F452" s="133"/>
      <c r="G452" s="133"/>
      <c r="H452" s="133"/>
      <c r="I452" s="134"/>
      <c r="J452" s="133"/>
      <c r="K452" s="133"/>
      <c r="L452" s="133"/>
      <c r="M452" s="133"/>
      <c r="N452" s="133" t="str">
        <f t="shared" si="398"/>
        <v/>
      </c>
      <c r="O452" s="133" t="str">
        <f t="shared" si="404"/>
        <v/>
      </c>
      <c r="P452" s="133" t="str">
        <f t="shared" si="399"/>
        <v/>
      </c>
      <c r="Q452" s="133" t="str">
        <f t="shared" ref="Q452:Q515" si="410">IFERROR(IF(S452="","",IF(S452&gt;=DATE(1900,1,1),"SI","NO")),"")</f>
        <v/>
      </c>
      <c r="R452" s="104"/>
      <c r="S452" s="135"/>
      <c r="T452" s="135"/>
      <c r="U452" s="133" t="str">
        <f t="shared" si="400"/>
        <v/>
      </c>
      <c r="V452" s="136" t="str">
        <f>IF(U452=2023,1160000,IFERROR(INDEX(SMMLV!$B$2:$B$101,MATCH(U452,SMMLV!$A$2:$A$101,0)),""))</f>
        <v/>
      </c>
      <c r="W452" s="136"/>
      <c r="X452" s="133"/>
      <c r="Y452" s="133"/>
      <c r="Z452" s="487"/>
      <c r="AA452" s="488"/>
      <c r="AB452" s="489"/>
      <c r="AC452" s="133" t="str">
        <f t="shared" si="401"/>
        <v/>
      </c>
      <c r="AD452" s="136" t="str">
        <f t="shared" ref="AD452:AD515" si="411">IF(W452="","",IF(W452="N/A","N/A",W452))</f>
        <v/>
      </c>
      <c r="AE452" s="117" t="str">
        <f t="shared" si="407"/>
        <v/>
      </c>
      <c r="AF452" s="136" t="str">
        <f t="shared" si="405"/>
        <v/>
      </c>
      <c r="AG452" s="471"/>
      <c r="AH452" s="471"/>
      <c r="AI452" s="133" t="str">
        <f t="shared" si="406"/>
        <v/>
      </c>
      <c r="AJ452" s="471"/>
      <c r="AK452" s="471"/>
      <c r="AL452" s="473"/>
      <c r="AM452" s="497"/>
      <c r="AN452" s="133"/>
      <c r="AO452" s="491"/>
      <c r="AP452" s="133"/>
      <c r="AQ452" s="491"/>
      <c r="AR452" s="523"/>
      <c r="AS452" s="520"/>
      <c r="AT452" s="206"/>
      <c r="AU452" s="700"/>
      <c r="AV452" s="703"/>
      <c r="AW452" s="709"/>
      <c r="AX452" s="709"/>
      <c r="AY452" s="19"/>
      <c r="CB452" s="29" t="str">
        <f>IFERROR(IF(COUNTIF(AF443:AF452,"")=10,"",IF(COUNTIF(E443:E452,"N/A")&gt;0,IF(AF452&gt;=CMEMM1,AF452,0),"N/A")),"")</f>
        <v/>
      </c>
      <c r="CC452" s="4"/>
      <c r="CD452" s="4" t="str">
        <f>IFERROR(IF(COUNTIF(AF443:AF452,"")=10,"",IF(AF452="","",IF(AF452&gt;=CMEMM1,1,0))),"")</f>
        <v/>
      </c>
      <c r="CE452" s="4" t="str">
        <f>B443&amp;"-"&amp;10</f>
        <v>P45-10</v>
      </c>
      <c r="CF452" s="4" t="str">
        <f>IFERROR(INDEX('DESEMPATE Y DISCAPACIDAD'!$D$3:$D$450,MATCH(CE452,'DESEMPATE Y DISCAPACIDAD'!$C$3:$C$450,0)),"")</f>
        <v/>
      </c>
      <c r="CG452" s="4" t="str">
        <f>IF(OR(CE452="",CF452=""),"",SUMIF(D443:D452,CF452,CD443:CD452))</f>
        <v/>
      </c>
      <c r="CH452" s="4" t="str">
        <f t="shared" si="381"/>
        <v/>
      </c>
      <c r="CI452" s="4" t="str">
        <f t="shared" si="402"/>
        <v/>
      </c>
      <c r="CJ452" s="4"/>
      <c r="CK452" s="4"/>
      <c r="CL452" s="4" t="str">
        <f t="shared" si="408"/>
        <v/>
      </c>
      <c r="CM452" s="4" t="str">
        <f t="shared" si="409"/>
        <v/>
      </c>
      <c r="CN452" s="4" t="str">
        <f t="shared" si="403"/>
        <v/>
      </c>
      <c r="CO452" s="4"/>
      <c r="CP452" s="4"/>
      <c r="CQ452" s="29" t="str">
        <f t="shared" si="395"/>
        <v/>
      </c>
      <c r="CR452" s="29" t="str">
        <f t="shared" si="396"/>
        <v/>
      </c>
      <c r="CS452" s="4"/>
    </row>
    <row r="453" spans="1:97" ht="30" hidden="1" customHeight="1">
      <c r="A453" s="4" t="str">
        <f>"A"&amp;B453</f>
        <v>AP46</v>
      </c>
      <c r="B453" s="480" t="s">
        <v>307</v>
      </c>
      <c r="C453" s="108"/>
      <c r="D453" s="119" t="str">
        <f>+IFERROR(INDEX('DESEMPATE Y DISCAPACIDAD'!$D$3:$D$450,MATCH(C453,'DESEMPATE Y DISCAPACIDAD'!$C$3:$C$450,0)),"")</f>
        <v/>
      </c>
      <c r="E453" s="120" t="str">
        <f>IFERROR(IF(D453="","",IF(VLOOKUP(D453,'DESEMPATE Y DISCAPACIDAD'!D$3:$E$450,2,FALSE)=1,"N/A",IF(VLOOKUP(D453,'DESEMPATE Y DISCAPACIDAD'!D$3:$F$450,3,FALSE)="X","SI","NO"))),"")</f>
        <v/>
      </c>
      <c r="F453" s="125"/>
      <c r="G453" s="125"/>
      <c r="H453" s="121"/>
      <c r="I453" s="122"/>
      <c r="J453" s="121"/>
      <c r="K453" s="121"/>
      <c r="L453" s="121"/>
      <c r="M453" s="121"/>
      <c r="N453" s="121" t="str">
        <f>IFERROR(IF(OR(J453="",K453=""),"",IF(J453="NO","NO",K453)),"")</f>
        <v/>
      </c>
      <c r="O453" s="121" t="str">
        <f>IFERROR(IF(OR(J453="",L453=""),"",IF(J453="NO","NO",L453)),"")</f>
        <v/>
      </c>
      <c r="P453" s="121" t="str">
        <f>IFERROR(IF(OR(J453="",M453=""),"",IF(J453="NO","NO",M453)),"")</f>
        <v/>
      </c>
      <c r="Q453" s="121" t="str">
        <f t="shared" si="410"/>
        <v/>
      </c>
      <c r="R453" s="103"/>
      <c r="S453" s="123"/>
      <c r="T453" s="123"/>
      <c r="U453" s="121" t="str">
        <f>IFERROR(IF(T453="","",YEAR(T453)),"")</f>
        <v/>
      </c>
      <c r="V453" s="124" t="str">
        <f>IF(U453=2023,1160000,IFERROR(INDEX(SMMLV!$B$2:$B$101,MATCH(U453,SMMLV!$A$2:$A$101,0)),""))</f>
        <v/>
      </c>
      <c r="W453" s="124"/>
      <c r="X453" s="121"/>
      <c r="Y453" s="121"/>
      <c r="Z453" s="474"/>
      <c r="AA453" s="475"/>
      <c r="AB453" s="476"/>
      <c r="AC453" s="121" t="str">
        <f>IFERROR(IF(Y453="","",IF(ISNUMBER(Y453),IF(COUNTIF(Z453,"SI")&gt;0,"SI","NO"),Y453)),"")</f>
        <v/>
      </c>
      <c r="AD453" s="124" t="str">
        <f t="shared" si="411"/>
        <v/>
      </c>
      <c r="AE453" s="117" t="str">
        <f t="shared" si="407"/>
        <v/>
      </c>
      <c r="AF453" s="124" t="str">
        <f t="shared" si="405"/>
        <v/>
      </c>
      <c r="AG453" s="486" t="str">
        <f>IFERROR(IF(COUNTIF(AF453:AF462,"")=10,"",IF(COUNTIF(E453:E462,"N/A")&gt;0,IF(SUM(CB453:CB462)&gt;=CMEM1,"CUMPLE","NO CUMPLE"),IF(SUM(AF453:AF462)&gt;=CMEM1,"CUMPLE","NO CUMPLE"))),"")</f>
        <v/>
      </c>
      <c r="AH453" s="486" t="str">
        <f>IF(COUNTIF(AF453:AF462,"")=10,"",IF(SUMIF(C453:C462,C453,AF453:AF462)&gt;=CMLM1,"CUMPLE",IF(SUMIF(C453:C462,C454,AF453:AF462)&gt;=CMLM1,"CUMPLE",IF(SUMIF(C453:C462,C455,AF453:AF462)&gt;=CMLM1,"CUMPLE",IF(SUMIF(C453:C462,C456,AF453:AF462)&gt;=CMLM1,"CUMPLE",IF(SUMIF(C453:C462,C457,AF453:AF462)&gt;=CMLM1,"CUMPLE",IF(SUMIF(C453:C462,C458,AF453:AF462)&gt;=CMLM1,"CUMPLE",IF(SUMIF(C453:C462,C459,AF453:AF462)&gt;=CMLM1,"CUMPLE",IF(SUMIF(C453:C462,C460,AF453:AF462)&gt;=CMLM1,"CUMPLE",IF(SUMIF(C453:C462,C461,AF453:AF462)&gt;=CMLM1,"CUMPLE",IF(SUMIF(C453:C462,C462,AF453:AF462)&gt;=CMLM1,"CUMPLE","NO CUMPLE")))))))))))</f>
        <v/>
      </c>
      <c r="AI453" s="121" t="str">
        <f t="shared" si="406"/>
        <v/>
      </c>
      <c r="AJ453" s="469" t="str">
        <f>IFERROR(IF(COUNTIF(AF453:AF462,"")=10,"",IF(COUNTIF(E453:E462,"N/A")&gt;0,"N/A",CJ453)),"")</f>
        <v/>
      </c>
      <c r="AK453" s="469" t="str">
        <f>IFERROR(IF(AND(COUNTIF(N453:N462,"SI")&gt;=1,COUNTIF(O453:O462,"SI")&gt;=1,COUNTIF(P453:P462,"SI")&gt;=1,COUNTIF(J453:J462,"SI")&lt;=10,CO453="CUMPLE"),"CUMPLE","NO CUMPLE"),"")</f>
        <v>NO CUMPLE</v>
      </c>
      <c r="AL453" s="472"/>
      <c r="AM453" s="495">
        <f>IFERROR(IF(B453&lt;&gt;"",IF(VLOOKUP(B453,'DESEMPATE Y DISCAPACIDAD'!$A$3:$Q$450,10,FALSE)="","",VLOOKUP(B453,'DESEMPATE Y DISCAPACIDAD'!$A$3:$Q$450,10,FALSE)+6),""),"")</f>
        <v>6</v>
      </c>
      <c r="AN453" s="125"/>
      <c r="AO453" s="490"/>
      <c r="AP453" s="125"/>
      <c r="AQ453" s="490" t="str">
        <f>IFERROR(IF(COUNTIF(AP453:AP462,"")=10,"",IF(AO453="NO",0,COUNTIF(AP453:AP462,"SI"))),"")</f>
        <v/>
      </c>
      <c r="AR453" s="521" t="str">
        <f>IFERROR(IF(COUNTIF(AF453:AF462,"")=10,"",IF(AO453="NO",0,IF(COUNTIF(E453:E462,"N/A")&gt;0,SUM(CQ453:CQ462),SUM(CR453:CR462)))),"")</f>
        <v/>
      </c>
      <c r="AS453" s="518" t="str">
        <f>IFERROR(IF(OR(COUNTIF(AF453:AF462,"")=10,AQ453="",AR453=""),"",IF(AO453="NO",0,AR453/AQ453)),"")</f>
        <v/>
      </c>
      <c r="AT453" s="204"/>
      <c r="AU453" s="713"/>
      <c r="AV453" s="701"/>
      <c r="AW453" s="707"/>
      <c r="AX453" s="707"/>
      <c r="AY453" s="19"/>
      <c r="CB453" s="29" t="str">
        <f>IFERROR(IF(COUNTIF(AF453:AF462,"")=10,"",IF(COUNTIF(E453:E462,"N/A")&gt;0,IF(AF453&gt;=CMEMM1,AF453,0),"N/A")),"")</f>
        <v/>
      </c>
      <c r="CC453" s="4"/>
      <c r="CD453" s="4" t="str">
        <f>IFERROR(IF(COUNTIF(AF453:AF462,"")=10,"",IF(AF453="","",IF(AF453&gt;=CMEMM1,1,0))),"")</f>
        <v/>
      </c>
      <c r="CE453" s="4" t="str">
        <f>B453&amp;"-0"&amp;1</f>
        <v>P46-01</v>
      </c>
      <c r="CF453" s="4">
        <f>IFERROR(INDEX('DESEMPATE Y DISCAPACIDAD'!$D$3:$D$450,MATCH(CE453,'DESEMPATE Y DISCAPACIDAD'!$C$3:$C$450,0)),"")</f>
        <v>0</v>
      </c>
      <c r="CG453" s="4">
        <f>IF(OR(CE453="",CF453=""),"",SUMIF(D453:D462,CF453,CD453:CD462))</f>
        <v>0</v>
      </c>
      <c r="CH453" s="4" t="str">
        <f t="shared" si="381"/>
        <v>NO CUMPLE</v>
      </c>
      <c r="CI453" s="4">
        <f>IF(CF453="","",IF(ISTEXT(CF453),1,0))</f>
        <v>0</v>
      </c>
      <c r="CJ453" s="4" t="str">
        <f>IF(OR(CD453="",CE453="",CF453="",CG453="",CH453="",CI453=""),"",IF(COUNTIF(CH453:CH462,"CUMPLE")=COUNTIF(CI453:CI462,1),"CUMPLE","NO CUMPLE"))</f>
        <v/>
      </c>
      <c r="CK453" s="4"/>
      <c r="CL453" s="4" t="str">
        <f t="shared" si="408"/>
        <v/>
      </c>
      <c r="CM453" s="4" t="str">
        <f t="shared" si="409"/>
        <v/>
      </c>
      <c r="CN453" s="4" t="str">
        <f>IF(OR(CL453="",CM453=""),"",IF(AND(CL453=0,CM453=0),"N/A",IF(AND(CL453=1,CM453=0),"COND. A",IF(AND(CL453=0,CM453=1),"COND. B",IF(AND(CL453=1,CM453=1),"COND. A Y B","")))))</f>
        <v/>
      </c>
      <c r="CO453" s="4" t="str">
        <f>IF(COUNTIF(CN453:CN462,"N/A")=10,"NO CUMPLE",IF(COUNTIF(CN453:CN462,"COND. A Y B")&gt;1,"CUMPLE",IF(AND(COUNTIF(CN453:CN462,"COND. A")&gt;0,COUNTIF(CN453:CN462,"COND. B")&gt;0),"CUMPLE",IF(AND(COUNTIF(CN453:CN462,"COND. A Y B")&gt;0,COUNTIF(CN453:CN462,"COND. A")&gt;0),"CUMPLE",IF(AND(COUNTIF(CN453:CN462,"COND. A Y B")&gt;0,COUNTIF(CN453:CN462,"COND. B")&gt;0),"CUMPLE","NO CUMPLE")))))</f>
        <v>NO CUMPLE</v>
      </c>
      <c r="CP453" s="4"/>
      <c r="CQ453" s="29" t="str">
        <f t="shared" si="395"/>
        <v/>
      </c>
      <c r="CR453" s="29" t="str">
        <f t="shared" si="396"/>
        <v/>
      </c>
      <c r="CS453" s="4"/>
    </row>
    <row r="454" spans="1:97" ht="30" hidden="1" customHeight="1">
      <c r="B454" s="481"/>
      <c r="C454" s="118"/>
      <c r="D454" s="119" t="str">
        <f>+IFERROR(INDEX('DESEMPATE Y DISCAPACIDAD'!$D$3:$D$450,MATCH(C454,'DESEMPATE Y DISCAPACIDAD'!$C$3:$C$450,0)),"")</f>
        <v/>
      </c>
      <c r="E454" s="120" t="str">
        <f>IFERROR(IF(D454="","",IF(VLOOKUP(D454,'DESEMPATE Y DISCAPACIDAD'!D$3:$E$450,2,FALSE)=1,"N/A",IF(VLOOKUP(D454,'DESEMPATE Y DISCAPACIDAD'!D$3:$F$450,3,FALSE)="X","SI","NO"))),"")</f>
        <v/>
      </c>
      <c r="F454" s="125"/>
      <c r="G454" s="125"/>
      <c r="H454" s="121"/>
      <c r="I454" s="122"/>
      <c r="J454" s="121"/>
      <c r="K454" s="121"/>
      <c r="L454" s="121"/>
      <c r="M454" s="121"/>
      <c r="N454" s="121" t="str">
        <f t="shared" ref="N454:N462" si="412">IFERROR(IF(OR(J454="",K454=""),"",IF(J454="NO","NO",K454)),"")</f>
        <v/>
      </c>
      <c r="O454" s="121" t="str">
        <f>IFERROR(IF(OR(J454="",L454=""),"",IF(J454="NO","NO",L454)),"")</f>
        <v/>
      </c>
      <c r="P454" s="121" t="str">
        <f t="shared" ref="P454:P462" si="413">IFERROR(IF(OR(J454="",M454=""),"",IF(J454="NO","NO",M454)),"")</f>
        <v/>
      </c>
      <c r="Q454" s="121" t="str">
        <f t="shared" si="410"/>
        <v/>
      </c>
      <c r="R454" s="103"/>
      <c r="S454" s="123"/>
      <c r="T454" s="123"/>
      <c r="U454" s="121" t="str">
        <f t="shared" ref="U454:U462" si="414">IFERROR(IF(T454="","",YEAR(T454)),"")</f>
        <v/>
      </c>
      <c r="V454" s="124" t="str">
        <f>IF(U454=2023,1160000,IFERROR(INDEX(SMMLV!$B$2:$B$101,MATCH(U454,SMMLV!$A$2:$A$101,0)),""))</f>
        <v/>
      </c>
      <c r="W454" s="124"/>
      <c r="X454" s="125"/>
      <c r="Y454" s="125"/>
      <c r="Z454" s="474"/>
      <c r="AA454" s="475"/>
      <c r="AB454" s="476"/>
      <c r="AC454" s="125" t="str">
        <f t="shared" ref="AC454:AC462" si="415">IFERROR(IF(Y454="","",IF(ISNUMBER(Y454),IF(COUNTIF(Z454,"SI")&gt;0,"SI","NO"),Y454)),"")</f>
        <v/>
      </c>
      <c r="AD454" s="117" t="str">
        <f t="shared" si="411"/>
        <v/>
      </c>
      <c r="AE454" s="117" t="str">
        <f t="shared" si="407"/>
        <v/>
      </c>
      <c r="AF454" s="117" t="str">
        <f t="shared" si="405"/>
        <v/>
      </c>
      <c r="AG454" s="470"/>
      <c r="AH454" s="470"/>
      <c r="AI454" s="125" t="str">
        <f t="shared" si="406"/>
        <v/>
      </c>
      <c r="AJ454" s="470"/>
      <c r="AK454" s="470"/>
      <c r="AL454" s="472"/>
      <c r="AM454" s="496"/>
      <c r="AN454" s="125"/>
      <c r="AO454" s="490"/>
      <c r="AP454" s="125"/>
      <c r="AQ454" s="490"/>
      <c r="AR454" s="522"/>
      <c r="AS454" s="519"/>
      <c r="AT454" s="204"/>
      <c r="AU454" s="714"/>
      <c r="AV454" s="702"/>
      <c r="AW454" s="708"/>
      <c r="AX454" s="708"/>
      <c r="AY454" s="19"/>
      <c r="CB454" s="29" t="str">
        <f>IFERROR(IF(COUNTIF(AF453:AF462,"")=10,"",IF(COUNTIF(E453:E462,"N/A")&gt;0,IF(AF454&gt;=CMEMM1,AF454,0),"N/A")),"")</f>
        <v/>
      </c>
      <c r="CC454" s="4"/>
      <c r="CD454" s="4" t="str">
        <f>IFERROR(IF(COUNTIF(AF453:AF462,"")=10,"",IF(AF454="","",IF(AF454&gt;=CMEMM1,1,0))),"")</f>
        <v/>
      </c>
      <c r="CE454" s="4" t="str">
        <f>B453&amp;"-0"&amp;2</f>
        <v>P46-02</v>
      </c>
      <c r="CF454" s="4">
        <f>IFERROR(INDEX('DESEMPATE Y DISCAPACIDAD'!$D$3:$D$450,MATCH(CE454,'DESEMPATE Y DISCAPACIDAD'!$C$3:$C$450,0)),"")</f>
        <v>0</v>
      </c>
      <c r="CG454" s="4">
        <f>IF(OR(CE454="",CF454=""),"",SUMIF(D453:D462,CF454,CD453:CD462))</f>
        <v>0</v>
      </c>
      <c r="CH454" s="4" t="str">
        <f t="shared" si="381"/>
        <v>NO CUMPLE</v>
      </c>
      <c r="CI454" s="4">
        <f t="shared" ref="CI454:CI462" si="416">IF(CF454="","",IF(ISTEXT(CF454),1,0))</f>
        <v>0</v>
      </c>
      <c r="CJ454" s="4"/>
      <c r="CK454" s="4"/>
      <c r="CL454" s="4" t="str">
        <f t="shared" si="408"/>
        <v/>
      </c>
      <c r="CM454" s="4" t="str">
        <f t="shared" si="409"/>
        <v/>
      </c>
      <c r="CN454" s="4" t="str">
        <f t="shared" ref="CN454:CN462" si="417">IF(OR(CL454="",CM454=""),"",IF(AND(CL454=0,CM454=0),"N/A",IF(AND(CL454=1,CM454=0),"COND. A",IF(AND(CL454=0,CM454=1),"COND. B",IF(AND(CL454=1,CM454=1),"COND. A Y B","")))))</f>
        <v/>
      </c>
      <c r="CO454" s="4"/>
      <c r="CP454" s="4"/>
      <c r="CQ454" s="29" t="str">
        <f t="shared" si="395"/>
        <v/>
      </c>
      <c r="CR454" s="29" t="str">
        <f t="shared" si="396"/>
        <v/>
      </c>
      <c r="CS454" s="4"/>
    </row>
    <row r="455" spans="1:97" ht="30" hidden="1" customHeight="1">
      <c r="B455" s="481"/>
      <c r="C455" s="118"/>
      <c r="D455" s="126" t="str">
        <f>+IFERROR(INDEX('DESEMPATE Y DISCAPACIDAD'!$D$3:$D$450,MATCH(C455,'DESEMPATE Y DISCAPACIDAD'!$C$3:$C$450,0)),"")</f>
        <v/>
      </c>
      <c r="E455" s="127" t="str">
        <f>IFERROR(IF(D455="","",IF(VLOOKUP(D455,'DESEMPATE Y DISCAPACIDAD'!D$3:$E$450,2,FALSE)=1,"N/A",IF(VLOOKUP(D455,'DESEMPATE Y DISCAPACIDAD'!D$3:$F$450,3,FALSE)="X","SI","NO"))),"")</f>
        <v/>
      </c>
      <c r="F455" s="121"/>
      <c r="G455" s="121"/>
      <c r="H455" s="125"/>
      <c r="I455" s="128"/>
      <c r="J455" s="121"/>
      <c r="K455" s="121"/>
      <c r="L455" s="121"/>
      <c r="M455" s="121"/>
      <c r="N455" s="125" t="str">
        <f t="shared" si="412"/>
        <v/>
      </c>
      <c r="O455" s="125" t="str">
        <f>IFERROR(IF(OR(J455="",L455=""),"",IF(J455="NO","NO",L455)),"")</f>
        <v/>
      </c>
      <c r="P455" s="125" t="str">
        <f t="shared" si="413"/>
        <v/>
      </c>
      <c r="Q455" s="125" t="str">
        <f t="shared" si="410"/>
        <v/>
      </c>
      <c r="R455" s="68"/>
      <c r="S455" s="129"/>
      <c r="T455" s="129"/>
      <c r="U455" s="125" t="str">
        <f t="shared" si="414"/>
        <v/>
      </c>
      <c r="V455" s="117" t="str">
        <f>IF(U455=2023,1160000,IFERROR(INDEX(SMMLV!$B$2:$B$101,MATCH(U455,SMMLV!$A$2:$A$101,0)),""))</f>
        <v/>
      </c>
      <c r="W455" s="117"/>
      <c r="X455" s="125"/>
      <c r="Y455" s="125"/>
      <c r="Z455" s="474"/>
      <c r="AA455" s="475"/>
      <c r="AB455" s="476"/>
      <c r="AC455" s="125" t="str">
        <f t="shared" si="415"/>
        <v/>
      </c>
      <c r="AD455" s="117" t="str">
        <f t="shared" si="411"/>
        <v/>
      </c>
      <c r="AE455" s="117" t="str">
        <f t="shared" si="407"/>
        <v/>
      </c>
      <c r="AF455" s="117" t="str">
        <f t="shared" si="405"/>
        <v/>
      </c>
      <c r="AG455" s="470"/>
      <c r="AH455" s="470"/>
      <c r="AI455" s="125" t="str">
        <f t="shared" si="406"/>
        <v/>
      </c>
      <c r="AJ455" s="470"/>
      <c r="AK455" s="470"/>
      <c r="AL455" s="472"/>
      <c r="AM455" s="496"/>
      <c r="AN455" s="125"/>
      <c r="AO455" s="490"/>
      <c r="AP455" s="125"/>
      <c r="AQ455" s="490"/>
      <c r="AR455" s="522"/>
      <c r="AS455" s="519"/>
      <c r="AT455" s="204"/>
      <c r="AU455" s="714"/>
      <c r="AV455" s="702"/>
      <c r="AW455" s="708"/>
      <c r="AX455" s="708"/>
      <c r="AY455" s="19"/>
      <c r="CB455" s="29" t="str">
        <f>IFERROR(IF(COUNTIF(AF453:AF462,"")=10,"",IF(COUNTIF(E453:E462,"N/A")&gt;0,IF(AF455&gt;=CMEMM1,AF455,0),"N/A")),"")</f>
        <v/>
      </c>
      <c r="CC455" s="4"/>
      <c r="CD455" s="4" t="str">
        <f>IFERROR(IF(COUNTIF(AF453:AF462,"")=10,"",IF(AF455="","",IF(AF455&gt;=CMEMM1,1,0))),"")</f>
        <v/>
      </c>
      <c r="CE455" s="4" t="str">
        <f>B453&amp;"-0"&amp;3</f>
        <v>P46-03</v>
      </c>
      <c r="CF455" s="4">
        <f>IFERROR(INDEX('DESEMPATE Y DISCAPACIDAD'!$D$3:$D$450,MATCH(CE455,'DESEMPATE Y DISCAPACIDAD'!$C$3:$C$450,0)),"")</f>
        <v>0</v>
      </c>
      <c r="CG455" s="4">
        <f>IF(OR(CE455="",CF455=""),"",SUMIF(D453:D462,CF455,CD453:CD462))</f>
        <v>0</v>
      </c>
      <c r="CH455" s="4" t="str">
        <f t="shared" si="381"/>
        <v>NO CUMPLE</v>
      </c>
      <c r="CI455" s="4">
        <f t="shared" si="416"/>
        <v>0</v>
      </c>
      <c r="CJ455" s="4"/>
      <c r="CK455" s="4"/>
      <c r="CL455" s="4" t="str">
        <f t="shared" si="408"/>
        <v/>
      </c>
      <c r="CM455" s="4" t="str">
        <f t="shared" si="409"/>
        <v/>
      </c>
      <c r="CN455" s="4" t="str">
        <f t="shared" si="417"/>
        <v/>
      </c>
      <c r="CO455" s="4"/>
      <c r="CP455" s="4"/>
      <c r="CQ455" s="29" t="str">
        <f t="shared" si="395"/>
        <v/>
      </c>
      <c r="CR455" s="29" t="str">
        <f t="shared" si="396"/>
        <v/>
      </c>
      <c r="CS455" s="4"/>
    </row>
    <row r="456" spans="1:97" ht="30" hidden="1" customHeight="1">
      <c r="B456" s="481"/>
      <c r="C456" s="118"/>
      <c r="D456" s="126" t="str">
        <f>+IFERROR(INDEX('DESEMPATE Y DISCAPACIDAD'!$D$3:$D$450,MATCH(C456,'DESEMPATE Y DISCAPACIDAD'!$C$3:$C$450,0)),"")</f>
        <v/>
      </c>
      <c r="E456" s="127" t="str">
        <f>IFERROR(IF(D456="","",IF(VLOOKUP(D456,'DESEMPATE Y DISCAPACIDAD'!D$3:$E$450,2,FALSE)=1,"N/A",IF(VLOOKUP(D456,'DESEMPATE Y DISCAPACIDAD'!D$3:$F$450,3,FALSE)="X","SI","NO"))),"")</f>
        <v/>
      </c>
      <c r="F456" s="141"/>
      <c r="G456" s="125"/>
      <c r="H456" s="125"/>
      <c r="I456" s="128"/>
      <c r="J456" s="125"/>
      <c r="K456" s="121"/>
      <c r="L456" s="121"/>
      <c r="M456" s="121"/>
      <c r="N456" s="125" t="str">
        <f t="shared" si="412"/>
        <v/>
      </c>
      <c r="O456" s="125" t="str">
        <f>IFERROR(IF(OR(J456="",L456=""),"",IF(J456="NO","NO",L456)),"")</f>
        <v/>
      </c>
      <c r="P456" s="125" t="str">
        <f t="shared" si="413"/>
        <v/>
      </c>
      <c r="Q456" s="125" t="str">
        <f t="shared" si="410"/>
        <v/>
      </c>
      <c r="R456" s="68"/>
      <c r="S456" s="129"/>
      <c r="T456" s="129"/>
      <c r="U456" s="125" t="str">
        <f t="shared" si="414"/>
        <v/>
      </c>
      <c r="V456" s="117" t="str">
        <f>IF(U456=2023,1160000,IFERROR(INDEX(SMMLV!$B$2:$B$101,MATCH(U456,SMMLV!$A$2:$A$101,0)),""))</f>
        <v/>
      </c>
      <c r="W456" s="117"/>
      <c r="X456" s="125"/>
      <c r="Y456" s="125"/>
      <c r="Z456" s="474"/>
      <c r="AA456" s="475"/>
      <c r="AB456" s="476"/>
      <c r="AC456" s="125" t="str">
        <f t="shared" si="415"/>
        <v/>
      </c>
      <c r="AD456" s="117" t="str">
        <f t="shared" si="411"/>
        <v/>
      </c>
      <c r="AE456" s="117" t="str">
        <f t="shared" si="407"/>
        <v/>
      </c>
      <c r="AF456" s="117" t="str">
        <f t="shared" si="405"/>
        <v/>
      </c>
      <c r="AG456" s="470"/>
      <c r="AH456" s="470"/>
      <c r="AI456" s="125" t="str">
        <f t="shared" si="406"/>
        <v/>
      </c>
      <c r="AJ456" s="470"/>
      <c r="AK456" s="470"/>
      <c r="AL456" s="472"/>
      <c r="AM456" s="496"/>
      <c r="AN456" s="121"/>
      <c r="AO456" s="490"/>
      <c r="AP456" s="121"/>
      <c r="AQ456" s="490"/>
      <c r="AR456" s="522"/>
      <c r="AS456" s="519"/>
      <c r="AT456" s="204"/>
      <c r="AU456" s="714"/>
      <c r="AV456" s="702"/>
      <c r="AW456" s="708"/>
      <c r="AX456" s="708"/>
      <c r="AY456" s="19"/>
      <c r="CB456" s="29" t="str">
        <f>IFERROR(IF(COUNTIF(AF453:AF462,"")=10,"",IF(COUNTIF(E453:E462,"N/A")&gt;0,IF(AF456&gt;=CMEMM1,AF456,0),"N/A")),"")</f>
        <v/>
      </c>
      <c r="CC456" s="4"/>
      <c r="CD456" s="4" t="str">
        <f>IFERROR(IF(COUNTIF(AF453:AF462,"")=10,"",IF(AF456="","",IF(AF456&gt;=CMEMM1,1,0))),"")</f>
        <v/>
      </c>
      <c r="CE456" s="4" t="str">
        <f>B453&amp;"-0"&amp;4</f>
        <v>P46-04</v>
      </c>
      <c r="CF456" s="4">
        <f>IFERROR(INDEX('DESEMPATE Y DISCAPACIDAD'!$D$3:$D$450,MATCH(CE456,'DESEMPATE Y DISCAPACIDAD'!$C$3:$C$450,0)),"")</f>
        <v>0</v>
      </c>
      <c r="CG456" s="4">
        <f>IF(OR(CE456="",CF456=""),"",SUMIF(D453:D462,CF456,CD453:CD462))</f>
        <v>0</v>
      </c>
      <c r="CH456" s="4" t="str">
        <f t="shared" si="381"/>
        <v>NO CUMPLE</v>
      </c>
      <c r="CI456" s="4">
        <f t="shared" si="416"/>
        <v>0</v>
      </c>
      <c r="CJ456" s="4"/>
      <c r="CK456" s="4"/>
      <c r="CL456" s="4" t="str">
        <f t="shared" si="408"/>
        <v/>
      </c>
      <c r="CM456" s="4" t="str">
        <f t="shared" si="409"/>
        <v/>
      </c>
      <c r="CN456" s="4" t="str">
        <f t="shared" si="417"/>
        <v/>
      </c>
      <c r="CO456" s="4"/>
      <c r="CP456" s="4"/>
      <c r="CQ456" s="29" t="str">
        <f t="shared" si="395"/>
        <v/>
      </c>
      <c r="CR456" s="29" t="str">
        <f t="shared" si="396"/>
        <v/>
      </c>
      <c r="CS456" s="4"/>
    </row>
    <row r="457" spans="1:97" ht="30" hidden="1" customHeight="1">
      <c r="B457" s="481"/>
      <c r="C457" s="118"/>
      <c r="D457" s="126" t="str">
        <f>+IFERROR(INDEX('DESEMPATE Y DISCAPACIDAD'!$D$3:$D$450,MATCH(C457,'DESEMPATE Y DISCAPACIDAD'!$C$3:$C$450,0)),"")</f>
        <v/>
      </c>
      <c r="E457" s="127" t="str">
        <f>IFERROR(IF(D457="","",IF(VLOOKUP(D457,'DESEMPATE Y DISCAPACIDAD'!D$3:$E$450,2,FALSE)=1,"N/A",IF(VLOOKUP(D457,'DESEMPATE Y DISCAPACIDAD'!D$3:$F$450,3,FALSE)="X","SI","NO"))),"")</f>
        <v/>
      </c>
      <c r="F457" s="125"/>
      <c r="G457" s="125"/>
      <c r="H457" s="125"/>
      <c r="I457" s="128"/>
      <c r="J457" s="125"/>
      <c r="K457" s="125"/>
      <c r="L457" s="125"/>
      <c r="M457" s="125"/>
      <c r="N457" s="125" t="str">
        <f t="shared" si="412"/>
        <v/>
      </c>
      <c r="O457" s="125" t="str">
        <f t="shared" ref="O457:O462" si="418">IFERROR(IF(OR(J457="",L457=""),"",IF(J457="NO","NO",L457)),"")</f>
        <v/>
      </c>
      <c r="P457" s="125" t="str">
        <f t="shared" si="413"/>
        <v/>
      </c>
      <c r="Q457" s="125" t="str">
        <f t="shared" si="410"/>
        <v/>
      </c>
      <c r="R457" s="68"/>
      <c r="S457" s="129"/>
      <c r="T457" s="129"/>
      <c r="U457" s="125" t="str">
        <f t="shared" si="414"/>
        <v/>
      </c>
      <c r="V457" s="117" t="str">
        <f>IF(U457=2023,1160000,IFERROR(INDEX(SMMLV!$B$2:$B$101,MATCH(U457,SMMLV!$A$2:$A$101,0)),""))</f>
        <v/>
      </c>
      <c r="W457" s="117"/>
      <c r="X457" s="125"/>
      <c r="Y457" s="125"/>
      <c r="Z457" s="474"/>
      <c r="AA457" s="475"/>
      <c r="AB457" s="476"/>
      <c r="AC457" s="125" t="str">
        <f t="shared" si="415"/>
        <v/>
      </c>
      <c r="AD457" s="117" t="str">
        <f t="shared" si="411"/>
        <v/>
      </c>
      <c r="AE457" s="117" t="str">
        <f t="shared" si="407"/>
        <v/>
      </c>
      <c r="AF457" s="117" t="str">
        <f t="shared" si="405"/>
        <v/>
      </c>
      <c r="AG457" s="470"/>
      <c r="AH457" s="470"/>
      <c r="AI457" s="125" t="str">
        <f t="shared" si="406"/>
        <v/>
      </c>
      <c r="AJ457" s="470"/>
      <c r="AK457" s="470"/>
      <c r="AL457" s="472"/>
      <c r="AM457" s="496"/>
      <c r="AN457" s="121"/>
      <c r="AO457" s="490"/>
      <c r="AP457" s="121"/>
      <c r="AQ457" s="490"/>
      <c r="AR457" s="522"/>
      <c r="AS457" s="519"/>
      <c r="AT457" s="204"/>
      <c r="AU457" s="714"/>
      <c r="AV457" s="702"/>
      <c r="AW457" s="708"/>
      <c r="AX457" s="708"/>
      <c r="AY457" s="19"/>
      <c r="CB457" s="29" t="str">
        <f>IFERROR(IF(COUNTIF(AF453:AF462,"")=10,"",IF(COUNTIF(E453:E462,"N/A")&gt;0,IF(AF457&gt;=CMEMM1,AF457,0),"N/A")),"")</f>
        <v/>
      </c>
      <c r="CC457" s="4"/>
      <c r="CD457" s="4" t="str">
        <f>IFERROR(IF(COUNTIF(AF453:AF462,"")=10,"",IF(AF457="","",IF(AF457&gt;=CMEMM1,1,0))),"")</f>
        <v/>
      </c>
      <c r="CE457" s="4" t="str">
        <f>B453&amp;"-0"&amp;5</f>
        <v>P46-05</v>
      </c>
      <c r="CF457" s="4">
        <f>IFERROR(INDEX('DESEMPATE Y DISCAPACIDAD'!$D$3:$D$450,MATCH(CE457,'DESEMPATE Y DISCAPACIDAD'!$C$3:$C$450,0)),"")</f>
        <v>0</v>
      </c>
      <c r="CG457" s="4">
        <f>IF(OR(CE457="",CF457=""),"",SUMIF(D453:D462,CF457,CD453:CD462))</f>
        <v>0</v>
      </c>
      <c r="CH457" s="4" t="str">
        <f t="shared" si="381"/>
        <v>NO CUMPLE</v>
      </c>
      <c r="CI457" s="4">
        <f t="shared" si="416"/>
        <v>0</v>
      </c>
      <c r="CJ457" s="4"/>
      <c r="CK457" s="4"/>
      <c r="CL457" s="4" t="str">
        <f t="shared" si="408"/>
        <v/>
      </c>
      <c r="CM457" s="4" t="str">
        <f t="shared" si="409"/>
        <v/>
      </c>
      <c r="CN457" s="4" t="str">
        <f t="shared" si="417"/>
        <v/>
      </c>
      <c r="CO457" s="4"/>
      <c r="CP457" s="4"/>
      <c r="CQ457" s="29" t="str">
        <f t="shared" si="395"/>
        <v/>
      </c>
      <c r="CR457" s="29" t="str">
        <f t="shared" si="396"/>
        <v/>
      </c>
      <c r="CS457" s="4"/>
    </row>
    <row r="458" spans="1:97" ht="30" hidden="1" customHeight="1">
      <c r="B458" s="481"/>
      <c r="C458" s="118"/>
      <c r="D458" s="126" t="str">
        <f>+IFERROR(INDEX('DESEMPATE Y DISCAPACIDAD'!$D$3:$D$450,MATCH(C458,'DESEMPATE Y DISCAPACIDAD'!$C$3:$C$450,0)),"")</f>
        <v/>
      </c>
      <c r="E458" s="127" t="str">
        <f>IFERROR(IF(D458="","",IF(VLOOKUP(D458,'DESEMPATE Y DISCAPACIDAD'!D$3:$E$450,2,FALSE)=1,"N/A",IF(VLOOKUP(D458,'DESEMPATE Y DISCAPACIDAD'!D$3:$F$450,3,FALSE)="X","SI","NO"))),"")</f>
        <v/>
      </c>
      <c r="F458" s="125"/>
      <c r="G458" s="125"/>
      <c r="H458" s="125"/>
      <c r="I458" s="128"/>
      <c r="J458" s="125"/>
      <c r="K458" s="125"/>
      <c r="L458" s="125"/>
      <c r="M458" s="125"/>
      <c r="N458" s="125" t="str">
        <f t="shared" si="412"/>
        <v/>
      </c>
      <c r="O458" s="125" t="str">
        <f t="shared" si="418"/>
        <v/>
      </c>
      <c r="P458" s="125" t="str">
        <f t="shared" si="413"/>
        <v/>
      </c>
      <c r="Q458" s="125" t="str">
        <f t="shared" si="410"/>
        <v/>
      </c>
      <c r="R458" s="68"/>
      <c r="S458" s="129"/>
      <c r="T458" s="129"/>
      <c r="U458" s="125" t="str">
        <f t="shared" si="414"/>
        <v/>
      </c>
      <c r="V458" s="117" t="str">
        <f>IF(U458=2023,1160000,IFERROR(INDEX(SMMLV!$B$2:$B$101,MATCH(U458,SMMLV!$A$2:$A$101,0)),""))</f>
        <v/>
      </c>
      <c r="W458" s="117"/>
      <c r="X458" s="125"/>
      <c r="Y458" s="125"/>
      <c r="Z458" s="474"/>
      <c r="AA458" s="475"/>
      <c r="AB458" s="476"/>
      <c r="AC458" s="125" t="str">
        <f t="shared" si="415"/>
        <v/>
      </c>
      <c r="AD458" s="117" t="str">
        <f t="shared" si="411"/>
        <v/>
      </c>
      <c r="AE458" s="117" t="str">
        <f t="shared" si="407"/>
        <v/>
      </c>
      <c r="AF458" s="117" t="str">
        <f t="shared" si="405"/>
        <v/>
      </c>
      <c r="AG458" s="470"/>
      <c r="AH458" s="470"/>
      <c r="AI458" s="125" t="str">
        <f t="shared" si="406"/>
        <v/>
      </c>
      <c r="AJ458" s="470"/>
      <c r="AK458" s="470"/>
      <c r="AL458" s="472"/>
      <c r="AM458" s="496"/>
      <c r="AN458" s="125"/>
      <c r="AO458" s="490"/>
      <c r="AP458" s="125"/>
      <c r="AQ458" s="490"/>
      <c r="AR458" s="522"/>
      <c r="AS458" s="519"/>
      <c r="AT458" s="204"/>
      <c r="AU458" s="714"/>
      <c r="AV458" s="702"/>
      <c r="AW458" s="708"/>
      <c r="AX458" s="708"/>
      <c r="AY458" s="19"/>
      <c r="CB458" s="29" t="str">
        <f>IFERROR(IF(COUNTIF(AF453:AF462,"")=10,"",IF(COUNTIF(E453:E462,"N/A")&gt;0,IF(AF458&gt;=CMEMM1,AF458,0),"N/A")),"")</f>
        <v/>
      </c>
      <c r="CC458" s="4"/>
      <c r="CD458" s="4" t="str">
        <f>IFERROR(IF(COUNTIF(AF453:AF462,"")=10,"",IF(AF458="","",IF(AF458&gt;=CMEMM1,1,0))),"")</f>
        <v/>
      </c>
      <c r="CE458" s="4" t="str">
        <f>B453&amp;"-0"&amp;6</f>
        <v>P46-06</v>
      </c>
      <c r="CF458" s="4">
        <f>IFERROR(INDEX('DESEMPATE Y DISCAPACIDAD'!$D$3:$D$450,MATCH(CE458,'DESEMPATE Y DISCAPACIDAD'!$C$3:$C$450,0)),"")</f>
        <v>0</v>
      </c>
      <c r="CG458" s="4">
        <f>IF(OR(CE458="",CF458=""),"",SUMIF(D453:D462,CF458,CD453:CD462))</f>
        <v>0</v>
      </c>
      <c r="CH458" s="4" t="str">
        <f t="shared" si="381"/>
        <v>NO CUMPLE</v>
      </c>
      <c r="CI458" s="4">
        <f t="shared" si="416"/>
        <v>0</v>
      </c>
      <c r="CJ458" s="4"/>
      <c r="CK458" s="4"/>
      <c r="CL458" s="4" t="str">
        <f t="shared" si="408"/>
        <v/>
      </c>
      <c r="CM458" s="4" t="str">
        <f t="shared" si="409"/>
        <v/>
      </c>
      <c r="CN458" s="4" t="str">
        <f t="shared" si="417"/>
        <v/>
      </c>
      <c r="CO458" s="4"/>
      <c r="CP458" s="4"/>
      <c r="CQ458" s="29" t="str">
        <f t="shared" si="395"/>
        <v/>
      </c>
      <c r="CR458" s="29" t="str">
        <f t="shared" si="396"/>
        <v/>
      </c>
      <c r="CS458" s="4"/>
    </row>
    <row r="459" spans="1:97" ht="30" hidden="1" customHeight="1">
      <c r="B459" s="481"/>
      <c r="C459" s="118"/>
      <c r="D459" s="126" t="str">
        <f>+IFERROR(INDEX('DESEMPATE Y DISCAPACIDAD'!$D$3:$D$450,MATCH(C459,'DESEMPATE Y DISCAPACIDAD'!$C$3:$C$450,0)),"")</f>
        <v/>
      </c>
      <c r="E459" s="127" t="str">
        <f>IFERROR(IF(D459="","",IF(VLOOKUP(D459,'DESEMPATE Y DISCAPACIDAD'!D$3:$E$450,2,FALSE)=1,"N/A",IF(VLOOKUP(D459,'DESEMPATE Y DISCAPACIDAD'!D$3:$F$450,3,FALSE)="X","SI","NO"))),"")</f>
        <v/>
      </c>
      <c r="F459" s="125"/>
      <c r="G459" s="125"/>
      <c r="H459" s="125"/>
      <c r="I459" s="128"/>
      <c r="J459" s="125"/>
      <c r="K459" s="125"/>
      <c r="L459" s="125"/>
      <c r="M459" s="125"/>
      <c r="N459" s="125" t="str">
        <f t="shared" si="412"/>
        <v/>
      </c>
      <c r="O459" s="125" t="str">
        <f t="shared" si="418"/>
        <v/>
      </c>
      <c r="P459" s="125" t="str">
        <f t="shared" si="413"/>
        <v/>
      </c>
      <c r="Q459" s="125" t="str">
        <f t="shared" si="410"/>
        <v/>
      </c>
      <c r="R459" s="68"/>
      <c r="S459" s="129"/>
      <c r="T459" s="129"/>
      <c r="U459" s="125" t="str">
        <f t="shared" si="414"/>
        <v/>
      </c>
      <c r="V459" s="117" t="str">
        <f>IF(U459=2023,1160000,IFERROR(INDEX(SMMLV!$B$2:$B$101,MATCH(U459,SMMLV!$A$2:$A$101,0)),""))</f>
        <v/>
      </c>
      <c r="W459" s="117"/>
      <c r="X459" s="125"/>
      <c r="Y459" s="125"/>
      <c r="Z459" s="474"/>
      <c r="AA459" s="475"/>
      <c r="AB459" s="476"/>
      <c r="AC459" s="125" t="str">
        <f t="shared" si="415"/>
        <v/>
      </c>
      <c r="AD459" s="117" t="str">
        <f t="shared" si="411"/>
        <v/>
      </c>
      <c r="AE459" s="117" t="str">
        <f t="shared" si="407"/>
        <v/>
      </c>
      <c r="AF459" s="117" t="str">
        <f t="shared" si="405"/>
        <v/>
      </c>
      <c r="AG459" s="470"/>
      <c r="AH459" s="470"/>
      <c r="AI459" s="125" t="str">
        <f t="shared" si="406"/>
        <v/>
      </c>
      <c r="AJ459" s="470"/>
      <c r="AK459" s="470"/>
      <c r="AL459" s="472"/>
      <c r="AM459" s="496"/>
      <c r="AN459" s="125"/>
      <c r="AO459" s="490"/>
      <c r="AP459" s="125"/>
      <c r="AQ459" s="490"/>
      <c r="AR459" s="522"/>
      <c r="AS459" s="519"/>
      <c r="AT459" s="204"/>
      <c r="AU459" s="714"/>
      <c r="AV459" s="702"/>
      <c r="AW459" s="708"/>
      <c r="AX459" s="708"/>
      <c r="AY459" s="19"/>
      <c r="CB459" s="29" t="str">
        <f>IFERROR(IF(COUNTIF(AF453:AF462,"")=10,"",IF(COUNTIF(E453:E462,"N/A")&gt;0,IF(AF459&gt;=CMEMM1,AF459,0),"N/A")),"")</f>
        <v/>
      </c>
      <c r="CC459" s="4"/>
      <c r="CD459" s="4" t="str">
        <f>IFERROR(IF(COUNTIF(AF453:AF462,"")=10,"",IF(AF459="","",IF(AF459&gt;=CMEMM1,1,0))),"")</f>
        <v/>
      </c>
      <c r="CE459" s="4" t="str">
        <f>B453&amp;"-0"&amp;7</f>
        <v>P46-07</v>
      </c>
      <c r="CF459" s="4" t="str">
        <f>IFERROR(INDEX('DESEMPATE Y DISCAPACIDAD'!$D$3:$D$450,MATCH(CE459,'DESEMPATE Y DISCAPACIDAD'!$C$3:$C$450,0)),"")</f>
        <v/>
      </c>
      <c r="CG459" s="4" t="str">
        <f>IF(OR(CE459="",CF459=""),"",SUMIF(D453:D462,CF459,CD453:CD462))</f>
        <v/>
      </c>
      <c r="CH459" s="4" t="str">
        <f t="shared" si="381"/>
        <v/>
      </c>
      <c r="CI459" s="4" t="str">
        <f t="shared" si="416"/>
        <v/>
      </c>
      <c r="CJ459" s="4"/>
      <c r="CK459" s="4"/>
      <c r="CL459" s="4" t="str">
        <f t="shared" si="408"/>
        <v/>
      </c>
      <c r="CM459" s="4" t="str">
        <f t="shared" si="409"/>
        <v/>
      </c>
      <c r="CN459" s="4" t="str">
        <f t="shared" si="417"/>
        <v/>
      </c>
      <c r="CO459" s="4"/>
      <c r="CP459" s="4"/>
      <c r="CQ459" s="29" t="str">
        <f t="shared" si="395"/>
        <v/>
      </c>
      <c r="CR459" s="29" t="str">
        <f t="shared" si="396"/>
        <v/>
      </c>
      <c r="CS459" s="4"/>
    </row>
    <row r="460" spans="1:97" ht="30" hidden="1" customHeight="1">
      <c r="B460" s="481"/>
      <c r="C460" s="118"/>
      <c r="D460" s="126" t="str">
        <f>+IFERROR(INDEX('DESEMPATE Y DISCAPACIDAD'!$D$3:$D$450,MATCH(C460,'DESEMPATE Y DISCAPACIDAD'!$C$3:$C$450,0)),"")</f>
        <v/>
      </c>
      <c r="E460" s="127" t="str">
        <f>IFERROR(IF(D460="","",IF(VLOOKUP(D460,'DESEMPATE Y DISCAPACIDAD'!D$3:$E$450,2,FALSE)=1,"N/A",IF(VLOOKUP(D460,'DESEMPATE Y DISCAPACIDAD'!D$3:$F$450,3,FALSE)="X","SI","NO"))),"")</f>
        <v/>
      </c>
      <c r="F460" s="125"/>
      <c r="G460" s="125"/>
      <c r="H460" s="125"/>
      <c r="I460" s="128"/>
      <c r="J460" s="125"/>
      <c r="K460" s="125"/>
      <c r="L460" s="125"/>
      <c r="M460" s="125"/>
      <c r="N460" s="125" t="str">
        <f t="shared" si="412"/>
        <v/>
      </c>
      <c r="O460" s="125" t="str">
        <f t="shared" si="418"/>
        <v/>
      </c>
      <c r="P460" s="125" t="str">
        <f t="shared" si="413"/>
        <v/>
      </c>
      <c r="Q460" s="125" t="str">
        <f t="shared" si="410"/>
        <v/>
      </c>
      <c r="R460" s="68"/>
      <c r="S460" s="129"/>
      <c r="T460" s="129"/>
      <c r="U460" s="125" t="str">
        <f t="shared" si="414"/>
        <v/>
      </c>
      <c r="V460" s="117" t="str">
        <f>IF(U460=2023,1160000,IFERROR(INDEX(SMMLV!$B$2:$B$101,MATCH(U460,SMMLV!$A$2:$A$101,0)),""))</f>
        <v/>
      </c>
      <c r="W460" s="117"/>
      <c r="X460" s="125"/>
      <c r="Y460" s="125"/>
      <c r="Z460" s="474"/>
      <c r="AA460" s="475"/>
      <c r="AB460" s="476"/>
      <c r="AC460" s="125" t="str">
        <f t="shared" si="415"/>
        <v/>
      </c>
      <c r="AD460" s="117" t="str">
        <f t="shared" si="411"/>
        <v/>
      </c>
      <c r="AE460" s="117" t="str">
        <f t="shared" si="407"/>
        <v/>
      </c>
      <c r="AF460" s="117" t="str">
        <f t="shared" si="405"/>
        <v/>
      </c>
      <c r="AG460" s="470"/>
      <c r="AH460" s="470"/>
      <c r="AI460" s="125" t="str">
        <f t="shared" si="406"/>
        <v/>
      </c>
      <c r="AJ460" s="470"/>
      <c r="AK460" s="470"/>
      <c r="AL460" s="472"/>
      <c r="AM460" s="496"/>
      <c r="AN460" s="125"/>
      <c r="AO460" s="490"/>
      <c r="AP460" s="125"/>
      <c r="AQ460" s="490"/>
      <c r="AR460" s="522"/>
      <c r="AS460" s="519"/>
      <c r="AT460" s="204"/>
      <c r="AU460" s="714"/>
      <c r="AV460" s="702"/>
      <c r="AW460" s="708"/>
      <c r="AX460" s="708"/>
      <c r="AY460" s="19"/>
      <c r="CB460" s="29" t="str">
        <f>IFERROR(IF(COUNTIF(AF453:AF462,"")=10,"",IF(COUNTIF(E453:E462,"N/A")&gt;0,IF(AF460&gt;=CMEMM1,AF460,0),"N/A")),"")</f>
        <v/>
      </c>
      <c r="CC460" s="4"/>
      <c r="CD460" s="4" t="str">
        <f>IFERROR(IF(COUNTIF(AF453:AF462,"")=10,"",IF(AF460="","",IF(AF460&gt;=CMEMM1,1,0))),"")</f>
        <v/>
      </c>
      <c r="CE460" s="4" t="str">
        <f>B453&amp;"-0"&amp;8</f>
        <v>P46-08</v>
      </c>
      <c r="CF460" s="4" t="str">
        <f>IFERROR(INDEX('DESEMPATE Y DISCAPACIDAD'!$D$3:$D$450,MATCH(CE460,'DESEMPATE Y DISCAPACIDAD'!$C$3:$C$450,0)),"")</f>
        <v/>
      </c>
      <c r="CG460" s="4" t="str">
        <f>IF(OR(CE460="",CF460=""),"",SUMIF(D453:D462,CF460,CD453:CD462))</f>
        <v/>
      </c>
      <c r="CH460" s="4" t="str">
        <f t="shared" si="381"/>
        <v/>
      </c>
      <c r="CI460" s="4" t="str">
        <f t="shared" si="416"/>
        <v/>
      </c>
      <c r="CJ460" s="4"/>
      <c r="CK460" s="4"/>
      <c r="CL460" s="4" t="str">
        <f t="shared" si="408"/>
        <v/>
      </c>
      <c r="CM460" s="4" t="str">
        <f t="shared" si="409"/>
        <v/>
      </c>
      <c r="CN460" s="4" t="str">
        <f t="shared" si="417"/>
        <v/>
      </c>
      <c r="CO460" s="4"/>
      <c r="CP460" s="4"/>
      <c r="CQ460" s="29" t="str">
        <f t="shared" si="395"/>
        <v/>
      </c>
      <c r="CR460" s="29" t="str">
        <f t="shared" si="396"/>
        <v/>
      </c>
      <c r="CS460" s="4"/>
    </row>
    <row r="461" spans="1:97" ht="30" hidden="1" customHeight="1">
      <c r="B461" s="481"/>
      <c r="C461" s="118"/>
      <c r="D461" s="126" t="str">
        <f>+IFERROR(INDEX('DESEMPATE Y DISCAPACIDAD'!$D$3:$D$450,MATCH(C461,'DESEMPATE Y DISCAPACIDAD'!$C$3:$C$450,0)),"")</f>
        <v/>
      </c>
      <c r="E461" s="127" t="str">
        <f>IFERROR(IF(D461="","",IF(VLOOKUP(D461,'DESEMPATE Y DISCAPACIDAD'!D$3:$E$450,2,FALSE)=1,"N/A",IF(VLOOKUP(D461,'DESEMPATE Y DISCAPACIDAD'!D$3:$F$450,3,FALSE)="X","SI","NO"))),"")</f>
        <v/>
      </c>
      <c r="F461" s="125"/>
      <c r="G461" s="125"/>
      <c r="H461" s="125"/>
      <c r="I461" s="128"/>
      <c r="J461" s="125"/>
      <c r="K461" s="125"/>
      <c r="L461" s="125"/>
      <c r="M461" s="125"/>
      <c r="N461" s="125" t="str">
        <f t="shared" si="412"/>
        <v/>
      </c>
      <c r="O461" s="125" t="str">
        <f t="shared" si="418"/>
        <v/>
      </c>
      <c r="P461" s="125" t="str">
        <f t="shared" si="413"/>
        <v/>
      </c>
      <c r="Q461" s="125" t="str">
        <f t="shared" si="410"/>
        <v/>
      </c>
      <c r="R461" s="68"/>
      <c r="S461" s="129"/>
      <c r="T461" s="129"/>
      <c r="U461" s="125" t="str">
        <f t="shared" si="414"/>
        <v/>
      </c>
      <c r="V461" s="117" t="str">
        <f>IF(U461=2023,1160000,IFERROR(INDEX(SMMLV!$B$2:$B$101,MATCH(U461,SMMLV!$A$2:$A$101,0)),""))</f>
        <v/>
      </c>
      <c r="W461" s="117"/>
      <c r="X461" s="125"/>
      <c r="Y461" s="125"/>
      <c r="Z461" s="474"/>
      <c r="AA461" s="475"/>
      <c r="AB461" s="476"/>
      <c r="AC461" s="125" t="str">
        <f t="shared" si="415"/>
        <v/>
      </c>
      <c r="AD461" s="117" t="str">
        <f t="shared" si="411"/>
        <v/>
      </c>
      <c r="AE461" s="117" t="str">
        <f t="shared" si="407"/>
        <v/>
      </c>
      <c r="AF461" s="117" t="str">
        <f t="shared" si="405"/>
        <v/>
      </c>
      <c r="AG461" s="470"/>
      <c r="AH461" s="470"/>
      <c r="AI461" s="125" t="str">
        <f t="shared" si="406"/>
        <v/>
      </c>
      <c r="AJ461" s="470"/>
      <c r="AK461" s="470"/>
      <c r="AL461" s="472"/>
      <c r="AM461" s="496"/>
      <c r="AN461" s="125"/>
      <c r="AO461" s="490"/>
      <c r="AP461" s="125"/>
      <c r="AQ461" s="490"/>
      <c r="AR461" s="522"/>
      <c r="AS461" s="519"/>
      <c r="AT461" s="204"/>
      <c r="AU461" s="714"/>
      <c r="AV461" s="702"/>
      <c r="AW461" s="708"/>
      <c r="AX461" s="708"/>
      <c r="AY461" s="19"/>
      <c r="CB461" s="29" t="str">
        <f>IFERROR(IF(COUNTIF(AF453:AF462,"")=10,"",IF(COUNTIF(E453:E462,"N/A")&gt;0,IF(AF461&gt;=CMEMM1,AF461,0),"N/A")),"")</f>
        <v/>
      </c>
      <c r="CC461" s="4"/>
      <c r="CD461" s="4" t="str">
        <f>IFERROR(IF(COUNTIF(AF453:AF462,"")=10,"",IF(AF461="","",IF(AF461&gt;=CMEMM1,1,0))),"")</f>
        <v/>
      </c>
      <c r="CE461" s="4" t="str">
        <f>B453&amp;"-0"&amp;9</f>
        <v>P46-09</v>
      </c>
      <c r="CF461" s="4" t="str">
        <f>IFERROR(INDEX('DESEMPATE Y DISCAPACIDAD'!$D$3:$D$450,MATCH(CE461,'DESEMPATE Y DISCAPACIDAD'!$C$3:$C$450,0)),"")</f>
        <v/>
      </c>
      <c r="CG461" s="4" t="str">
        <f>IF(OR(CE461="",CF461=""),"",SUMIF(D453:D462,CF461,CD453:CD462))</f>
        <v/>
      </c>
      <c r="CH461" s="4" t="str">
        <f t="shared" si="381"/>
        <v/>
      </c>
      <c r="CI461" s="4" t="str">
        <f t="shared" si="416"/>
        <v/>
      </c>
      <c r="CJ461" s="4"/>
      <c r="CK461" s="4"/>
      <c r="CL461" s="4" t="str">
        <f t="shared" si="408"/>
        <v/>
      </c>
      <c r="CM461" s="4" t="str">
        <f t="shared" si="409"/>
        <v/>
      </c>
      <c r="CN461" s="4" t="str">
        <f t="shared" si="417"/>
        <v/>
      </c>
      <c r="CO461" s="4"/>
      <c r="CP461" s="4"/>
      <c r="CQ461" s="29" t="str">
        <f t="shared" si="395"/>
        <v/>
      </c>
      <c r="CR461" s="29" t="str">
        <f t="shared" si="396"/>
        <v/>
      </c>
      <c r="CS461" s="4"/>
    </row>
    <row r="462" spans="1:97" ht="2" hidden="1" customHeight="1" thickBot="1">
      <c r="B462" s="482"/>
      <c r="C462" s="130"/>
      <c r="D462" s="131" t="str">
        <f>+IFERROR(INDEX('DESEMPATE Y DISCAPACIDAD'!$D$3:$D$450,MATCH(C462,'DESEMPATE Y DISCAPACIDAD'!$C$3:$C$450,0)),"")</f>
        <v/>
      </c>
      <c r="E462" s="132" t="str">
        <f>IFERROR(IF(D462="","",IF(VLOOKUP(D462,'DESEMPATE Y DISCAPACIDAD'!D$3:$E$450,2,FALSE)=1,"N/A",IF(VLOOKUP(D462,'DESEMPATE Y DISCAPACIDAD'!D$3:$F$450,3,FALSE)="X","SI","NO"))),"")</f>
        <v/>
      </c>
      <c r="F462" s="133"/>
      <c r="G462" s="133"/>
      <c r="H462" s="133"/>
      <c r="I462" s="134"/>
      <c r="J462" s="133"/>
      <c r="K462" s="133"/>
      <c r="L462" s="133"/>
      <c r="M462" s="133"/>
      <c r="N462" s="133" t="str">
        <f t="shared" si="412"/>
        <v/>
      </c>
      <c r="O462" s="133" t="str">
        <f t="shared" si="418"/>
        <v/>
      </c>
      <c r="P462" s="133" t="str">
        <f t="shared" si="413"/>
        <v/>
      </c>
      <c r="Q462" s="133" t="str">
        <f t="shared" si="410"/>
        <v/>
      </c>
      <c r="R462" s="104"/>
      <c r="S462" s="135"/>
      <c r="T462" s="135"/>
      <c r="U462" s="133" t="str">
        <f t="shared" si="414"/>
        <v/>
      </c>
      <c r="V462" s="136" t="str">
        <f>IF(U462=2023,1160000,IFERROR(INDEX(SMMLV!$B$2:$B$101,MATCH(U462,SMMLV!$A$2:$A$101,0)),""))</f>
        <v/>
      </c>
      <c r="W462" s="136"/>
      <c r="X462" s="133"/>
      <c r="Y462" s="133"/>
      <c r="Z462" s="487"/>
      <c r="AA462" s="488"/>
      <c r="AB462" s="489"/>
      <c r="AC462" s="133" t="str">
        <f t="shared" si="415"/>
        <v/>
      </c>
      <c r="AD462" s="136" t="str">
        <f t="shared" si="411"/>
        <v/>
      </c>
      <c r="AE462" s="117" t="str">
        <f t="shared" si="407"/>
        <v/>
      </c>
      <c r="AF462" s="136" t="str">
        <f t="shared" si="405"/>
        <v/>
      </c>
      <c r="AG462" s="471"/>
      <c r="AH462" s="471"/>
      <c r="AI462" s="133" t="str">
        <f t="shared" si="406"/>
        <v/>
      </c>
      <c r="AJ462" s="471"/>
      <c r="AK462" s="471"/>
      <c r="AL462" s="473"/>
      <c r="AM462" s="497"/>
      <c r="AN462" s="133"/>
      <c r="AO462" s="491"/>
      <c r="AP462" s="133"/>
      <c r="AQ462" s="491"/>
      <c r="AR462" s="523"/>
      <c r="AS462" s="520"/>
      <c r="AT462" s="206"/>
      <c r="AU462" s="715"/>
      <c r="AV462" s="703"/>
      <c r="AW462" s="709"/>
      <c r="AX462" s="709"/>
      <c r="AY462" s="19"/>
      <c r="CB462" s="29" t="str">
        <f>IFERROR(IF(COUNTIF(AF453:AF462,"")=10,"",IF(COUNTIF(E453:E462,"N/A")&gt;0,IF(AF462&gt;=CMEMM1,AF462,0),"N/A")),"")</f>
        <v/>
      </c>
      <c r="CC462" s="4"/>
      <c r="CD462" s="4" t="str">
        <f>IFERROR(IF(COUNTIF(AF453:AF462,"")=10,"",IF(AF462="","",IF(AF462&gt;=CMEMM1,1,0))),"")</f>
        <v/>
      </c>
      <c r="CE462" s="4" t="str">
        <f>B453&amp;"-"&amp;10</f>
        <v>P46-10</v>
      </c>
      <c r="CF462" s="4" t="str">
        <f>IFERROR(INDEX('DESEMPATE Y DISCAPACIDAD'!$D$3:$D$450,MATCH(CE462,'DESEMPATE Y DISCAPACIDAD'!$C$3:$C$450,0)),"")</f>
        <v/>
      </c>
      <c r="CG462" s="4" t="str">
        <f>IF(OR(CE462="",CF462=""),"",SUMIF(D453:D462,CF462,CD453:CD462))</f>
        <v/>
      </c>
      <c r="CH462" s="4" t="str">
        <f t="shared" si="381"/>
        <v/>
      </c>
      <c r="CI462" s="4" t="str">
        <f t="shared" si="416"/>
        <v/>
      </c>
      <c r="CJ462" s="4"/>
      <c r="CK462" s="4"/>
      <c r="CL462" s="4" t="str">
        <f t="shared" si="408"/>
        <v/>
      </c>
      <c r="CM462" s="4" t="str">
        <f t="shared" si="409"/>
        <v/>
      </c>
      <c r="CN462" s="4" t="str">
        <f t="shared" si="417"/>
        <v/>
      </c>
      <c r="CO462" s="4"/>
      <c r="CP462" s="4"/>
      <c r="CQ462" s="29" t="str">
        <f t="shared" si="395"/>
        <v/>
      </c>
      <c r="CR462" s="29" t="str">
        <f t="shared" si="396"/>
        <v/>
      </c>
      <c r="CS462" s="4"/>
    </row>
    <row r="463" spans="1:97" ht="34.25" hidden="1" customHeight="1">
      <c r="A463" s="4" t="str">
        <f>"A"&amp;B463</f>
        <v>AP47</v>
      </c>
      <c r="B463" s="480" t="s">
        <v>308</v>
      </c>
      <c r="C463" s="108"/>
      <c r="D463" s="119" t="str">
        <f>+IFERROR(INDEX('DESEMPATE Y DISCAPACIDAD'!$D$3:$D$450,MATCH(C463,'DESEMPATE Y DISCAPACIDAD'!$C$3:$C$450,0)),"")</f>
        <v/>
      </c>
      <c r="E463" s="120" t="str">
        <f>IFERROR(IF(D463="","",IF(VLOOKUP(D463,'DESEMPATE Y DISCAPACIDAD'!D$3:$E$450,2,FALSE)=1,"N/A",IF(VLOOKUP(D463,'DESEMPATE Y DISCAPACIDAD'!D$3:$F$450,3,FALSE)="X","SI","NO"))),"")</f>
        <v/>
      </c>
      <c r="F463" s="125"/>
      <c r="G463" s="125"/>
      <c r="H463" s="121"/>
      <c r="I463" s="122"/>
      <c r="J463" s="121"/>
      <c r="K463" s="121"/>
      <c r="L463" s="121"/>
      <c r="M463" s="121"/>
      <c r="N463" s="121" t="str">
        <f>IFERROR(IF(OR(J463="",K463=""),"",IF(J463="NO","NO",K463)),"")</f>
        <v/>
      </c>
      <c r="O463" s="121" t="str">
        <f>IFERROR(IF(OR(J463="",L463=""),"",IF(J463="NO","NO",L463)),"")</f>
        <v/>
      </c>
      <c r="P463" s="121" t="str">
        <f>IFERROR(IF(OR(J463="",M463=""),"",IF(J463="NO","NO",M463)),"")</f>
        <v/>
      </c>
      <c r="Q463" s="121" t="str">
        <f t="shared" si="410"/>
        <v/>
      </c>
      <c r="R463" s="103"/>
      <c r="S463" s="123"/>
      <c r="T463" s="123"/>
      <c r="U463" s="121" t="str">
        <f>IFERROR(IF(T463="","",YEAR(T463)),"")</f>
        <v/>
      </c>
      <c r="V463" s="124" t="str">
        <f>IF(U463=2023,1160000,IFERROR(INDEX(SMMLV!$B$2:$B$101,MATCH(U463,SMMLV!$A$2:$A$101,0)),""))</f>
        <v/>
      </c>
      <c r="W463" s="124"/>
      <c r="X463" s="121"/>
      <c r="Y463" s="121"/>
      <c r="Z463" s="483"/>
      <c r="AA463" s="484"/>
      <c r="AB463" s="485"/>
      <c r="AC463" s="121" t="str">
        <f>IFERROR(IF(Y463="","",IF(ISNUMBER(Y463),IF(COUNTIF(Z463,"SI")&gt;0,"SI","NO"),Y463)),"")</f>
        <v/>
      </c>
      <c r="AD463" s="124" t="str">
        <f t="shared" si="411"/>
        <v/>
      </c>
      <c r="AE463" s="117" t="str">
        <f t="shared" si="407"/>
        <v/>
      </c>
      <c r="AF463" s="124" t="str">
        <f t="shared" si="405"/>
        <v/>
      </c>
      <c r="AG463" s="486" t="str">
        <f>IFERROR(IF(COUNTIF(AF463:AF472,"")=10,"",IF(COUNTIF(E463:E472,"N/A")&gt;0,IF(SUM(CB463:CB472)&gt;=CMEM1,"CUMPLE","NO CUMPLE"),IF(SUM(AF463:AF472)&gt;=CMEM1,"CUMPLE","NO CUMPLE"))),"")</f>
        <v/>
      </c>
      <c r="AH463" s="486" t="str">
        <f>IF(COUNTIF(AF463:AF472,"")=10,"",IF(SUMIF(C463:C472,C463,AF463:AF472)&gt;=CMLM1,"CUMPLE",IF(SUMIF(C463:C472,C464,AF463:AF472)&gt;=CMLM1,"CUMPLE",IF(SUMIF(C463:C472,C465,AF463:AF472)&gt;=CMLM1,"CUMPLE",IF(SUMIF(C463:C472,C466,AF463:AF472)&gt;=CMLM1,"CUMPLE",IF(SUMIF(C463:C472,C467,AF463:AF472)&gt;=CMLM1,"CUMPLE",IF(SUMIF(C463:C472,C468,AF463:AF472)&gt;=CMLM1,"CUMPLE",IF(SUMIF(C463:C472,C469,AF463:AF472)&gt;=CMLM1,"CUMPLE",IF(SUMIF(C463:C472,C470,AF463:AF472)&gt;=CMLM1,"CUMPLE",IF(SUMIF(C463:C472,C471,AF463:AF472)&gt;=CMLM1,"CUMPLE",IF(SUMIF(C463:C472,C472,AF463:AF472)&gt;=CMLM1,"CUMPLE","NO CUMPLE")))))))))))</f>
        <v/>
      </c>
      <c r="AI463" s="121" t="str">
        <f t="shared" si="406"/>
        <v/>
      </c>
      <c r="AJ463" s="469" t="str">
        <f>IFERROR(IF(COUNTIF(AF463:AF472,"")=10,"",IF(COUNTIF(E463:E472,"N/A")&gt;0,"N/A",CJ463)),"")</f>
        <v/>
      </c>
      <c r="AK463" s="469" t="str">
        <f>IFERROR(IF(AND(COUNTIF(N463:N472,"SI")&gt;=1,COUNTIF(O463:O472,"SI")&gt;=1,COUNTIF(P463:P472,"SI")&gt;=1,COUNTIF(J463:J472,"SI")&lt;=10,CO463="CUMPLE"),"CUMPLE","NO CUMPLE"),"")</f>
        <v>NO CUMPLE</v>
      </c>
      <c r="AL463" s="472"/>
      <c r="AM463" s="495">
        <f>IFERROR(IF(B463&lt;&gt;"",IF(VLOOKUP(B463,'DESEMPATE Y DISCAPACIDAD'!$A$3:$Q$450,10,FALSE)="","",VLOOKUP(B463,'DESEMPATE Y DISCAPACIDAD'!$A$3:$Q$450,10,FALSE)+6),""),"")</f>
        <v>6</v>
      </c>
      <c r="AN463" s="121"/>
      <c r="AO463" s="490"/>
      <c r="AP463" s="121"/>
      <c r="AQ463" s="490" t="str">
        <f>IFERROR(IF(COUNTIF(AP463:AP472,"")=10,"",IF(AO463="NO",0,COUNTIF(AP463:AP472,"SI"))),"")</f>
        <v/>
      </c>
      <c r="AR463" s="521" t="str">
        <f>IFERROR(IF(COUNTIF(AF463:AF472,"")=10,"",IF(AO463="NO",0,IF(COUNTIF(E463:E472,"N/A")&gt;0,SUM(CQ463:CQ472),SUM(CR463:CR472)))),"")</f>
        <v/>
      </c>
      <c r="AS463" s="518" t="str">
        <f>IFERROR(IF(OR(COUNTIF(AF463:AF472,"")=10,AQ463="",AR463=""),"",IF(AO463="NO",0,AR463/AQ463)),"")</f>
        <v/>
      </c>
      <c r="AT463" s="207"/>
      <c r="AU463" s="698"/>
      <c r="AV463" s="701"/>
      <c r="AW463" s="707"/>
      <c r="AX463" s="707"/>
      <c r="AY463" s="19"/>
      <c r="CB463" s="29" t="str">
        <f>IFERROR(IF(COUNTIF(AF463:AF472,"")=10,"",IF(COUNTIF(E463:E472,"N/A")&gt;0,IF(AF463&gt;=CMEMM1,AF463,0),"N/A")),"")</f>
        <v/>
      </c>
      <c r="CC463" s="4"/>
      <c r="CD463" s="4" t="str">
        <f>IFERROR(IF(COUNTIF(AF463:AF472,"")=10,"",IF(AF463="","",IF(AF463&gt;=CMEMM1,1,0))),"")</f>
        <v/>
      </c>
      <c r="CE463" s="4" t="str">
        <f>B463&amp;"-0"&amp;1</f>
        <v>P47-01</v>
      </c>
      <c r="CF463" s="4">
        <f>IFERROR(INDEX('DESEMPATE Y DISCAPACIDAD'!$D$3:$D$450,MATCH(CE463,'DESEMPATE Y DISCAPACIDAD'!$C$3:$C$450,0)),"")</f>
        <v>0</v>
      </c>
      <c r="CG463" s="4">
        <f>IF(OR(CE463="",CF463=""),"",SUMIF(D463:D472,CF463,CD463:CD472))</f>
        <v>0</v>
      </c>
      <c r="CH463" s="4" t="str">
        <f t="shared" si="381"/>
        <v>NO CUMPLE</v>
      </c>
      <c r="CI463" s="4">
        <f>IF(CF463="","",IF(ISTEXT(CF463),1,0))</f>
        <v>0</v>
      </c>
      <c r="CJ463" s="4" t="str">
        <f>IF(OR(CD463="",CE463="",CF463="",CG463="",CH463="",CI463=""),"",IF(COUNTIF(CH463:CH472,"CUMPLE")=COUNTIF(CI463:CI472,1),"CUMPLE","NO CUMPLE"))</f>
        <v/>
      </c>
      <c r="CK463" s="4"/>
      <c r="CL463" s="4" t="str">
        <f t="shared" si="408"/>
        <v/>
      </c>
      <c r="CM463" s="4" t="str">
        <f t="shared" si="409"/>
        <v/>
      </c>
      <c r="CN463" s="4" t="str">
        <f>IF(OR(CL463="",CM463=""),"",IF(AND(CL463=0,CM463=0),"N/A",IF(AND(CL463=1,CM463=0),"COND. A",IF(AND(CL463=0,CM463=1),"COND. B",IF(AND(CL463=1,CM463=1),"COND. A Y B","")))))</f>
        <v/>
      </c>
      <c r="CO463" s="4" t="str">
        <f>IF(COUNTIF(CN463:CN472,"N/A")=10,"NO CUMPLE",IF(COUNTIF(CN463:CN472,"COND. A Y B")&gt;1,"CUMPLE",IF(AND(COUNTIF(CN463:CN472,"COND. A")&gt;0,COUNTIF(CN463:CN472,"COND. B")&gt;0),"CUMPLE",IF(AND(COUNTIF(CN463:CN472,"COND. A Y B")&gt;0,COUNTIF(CN463:CN472,"COND. A")&gt;0),"CUMPLE",IF(AND(COUNTIF(CN463:CN472,"COND. A Y B")&gt;0,COUNTIF(CN463:CN472,"COND. B")&gt;0),"CUMPLE","NO CUMPLE")))))</f>
        <v>NO CUMPLE</v>
      </c>
      <c r="CP463" s="4"/>
      <c r="CQ463" s="29" t="str">
        <f t="shared" ref="CQ463:CQ493" si="419">IF(OR(AN463="",CB463=""),"",IF(AN463="NO",CB463,0))</f>
        <v/>
      </c>
      <c r="CR463" s="29" t="str">
        <f t="shared" si="396"/>
        <v/>
      </c>
      <c r="CS463" s="4"/>
    </row>
    <row r="464" spans="1:97" ht="34.25" hidden="1" customHeight="1">
      <c r="B464" s="481"/>
      <c r="C464" s="118"/>
      <c r="D464" s="119" t="str">
        <f>+IFERROR(INDEX('DESEMPATE Y DISCAPACIDAD'!$D$3:$D$450,MATCH(C464,'DESEMPATE Y DISCAPACIDAD'!$C$3:$C$450,0)),"")</f>
        <v/>
      </c>
      <c r="E464" s="120" t="str">
        <f>IFERROR(IF(D464="","",IF(VLOOKUP(D464,'DESEMPATE Y DISCAPACIDAD'!D$3:$E$450,2,FALSE)=1,"N/A",IF(VLOOKUP(D464,'DESEMPATE Y DISCAPACIDAD'!D$3:$F$450,3,FALSE)="X","SI","NO"))),"")</f>
        <v/>
      </c>
      <c r="F464" s="125"/>
      <c r="G464" s="125"/>
      <c r="H464" s="121"/>
      <c r="I464" s="122"/>
      <c r="J464" s="121"/>
      <c r="K464" s="121"/>
      <c r="L464" s="121"/>
      <c r="M464" s="121"/>
      <c r="N464" s="121" t="str">
        <f t="shared" ref="N464:N472" si="420">IFERROR(IF(OR(J464="",K464=""),"",IF(J464="NO","NO",K464)),"")</f>
        <v/>
      </c>
      <c r="O464" s="121" t="str">
        <f>IFERROR(IF(OR(J464="",L464=""),"",IF(J464="NO","NO",L464)),"")</f>
        <v/>
      </c>
      <c r="P464" s="121" t="str">
        <f t="shared" ref="P464:P472" si="421">IFERROR(IF(OR(J464="",M464=""),"",IF(J464="NO","NO",M464)),"")</f>
        <v/>
      </c>
      <c r="Q464" s="121" t="str">
        <f t="shared" si="410"/>
        <v/>
      </c>
      <c r="R464" s="103"/>
      <c r="S464" s="123"/>
      <c r="T464" s="123"/>
      <c r="U464" s="121" t="str">
        <f t="shared" ref="U464:U472" si="422">IFERROR(IF(T464="","",YEAR(T464)),"")</f>
        <v/>
      </c>
      <c r="V464" s="124" t="str">
        <f>IF(U464=2023,1160000,IFERROR(INDEX(SMMLV!$B$2:$B$101,MATCH(U464,SMMLV!$A$2:$A$101,0)),""))</f>
        <v/>
      </c>
      <c r="W464" s="124"/>
      <c r="X464" s="125"/>
      <c r="Y464" s="125"/>
      <c r="Z464" s="474"/>
      <c r="AA464" s="475"/>
      <c r="AB464" s="476"/>
      <c r="AC464" s="125" t="str">
        <f t="shared" ref="AC464:AC472" si="423">IFERROR(IF(Y464="","",IF(ISNUMBER(Y464),IF(COUNTIF(Z464,"SI")&gt;0,"SI","NO"),Y464)),"")</f>
        <v/>
      </c>
      <c r="AD464" s="117" t="str">
        <f t="shared" si="411"/>
        <v/>
      </c>
      <c r="AE464" s="117" t="str">
        <f t="shared" si="407"/>
        <v/>
      </c>
      <c r="AF464" s="117" t="str">
        <f t="shared" si="405"/>
        <v/>
      </c>
      <c r="AG464" s="470"/>
      <c r="AH464" s="470"/>
      <c r="AI464" s="125" t="str">
        <f t="shared" si="406"/>
        <v/>
      </c>
      <c r="AJ464" s="470"/>
      <c r="AK464" s="470"/>
      <c r="AL464" s="472"/>
      <c r="AM464" s="496"/>
      <c r="AN464" s="125"/>
      <c r="AO464" s="490"/>
      <c r="AP464" s="125"/>
      <c r="AQ464" s="490"/>
      <c r="AR464" s="522"/>
      <c r="AS464" s="519"/>
      <c r="AT464" s="204"/>
      <c r="AU464" s="699"/>
      <c r="AV464" s="702"/>
      <c r="AW464" s="708"/>
      <c r="AX464" s="708"/>
      <c r="AY464" s="19"/>
      <c r="CB464" s="29" t="str">
        <f>IFERROR(IF(COUNTIF(AF463:AF472,"")=10,"",IF(COUNTIF(E463:E472,"N/A")&gt;0,IF(AF464&gt;=CMEMM1,AF464,0),"N/A")),"")</f>
        <v/>
      </c>
      <c r="CC464" s="4"/>
      <c r="CD464" s="4" t="str">
        <f>IFERROR(IF(COUNTIF(AF463:AF472,"")=10,"",IF(AF464="","",IF(AF464&gt;=CMEMM1,1,0))),"")</f>
        <v/>
      </c>
      <c r="CE464" s="4" t="str">
        <f>B463&amp;"-0"&amp;2</f>
        <v>P47-02</v>
      </c>
      <c r="CF464" s="4">
        <f>IFERROR(INDEX('DESEMPATE Y DISCAPACIDAD'!$D$3:$D$450,MATCH(CE464,'DESEMPATE Y DISCAPACIDAD'!$C$3:$C$450,0)),"")</f>
        <v>0</v>
      </c>
      <c r="CG464" s="4">
        <f>IF(OR(CE464="",CF464=""),"",SUMIF(D463:D472,CF464,CD463:CD472))</f>
        <v>0</v>
      </c>
      <c r="CH464" s="4" t="str">
        <f t="shared" si="381"/>
        <v>NO CUMPLE</v>
      </c>
      <c r="CI464" s="4">
        <f t="shared" ref="CI464:CI472" si="424">IF(CF464="","",IF(ISTEXT(CF464),1,0))</f>
        <v>0</v>
      </c>
      <c r="CJ464" s="4"/>
      <c r="CK464" s="4"/>
      <c r="CL464" s="4" t="str">
        <f t="shared" si="408"/>
        <v/>
      </c>
      <c r="CM464" s="4" t="str">
        <f t="shared" si="409"/>
        <v/>
      </c>
      <c r="CN464" s="4" t="str">
        <f t="shared" ref="CN464:CN472" si="425">IF(OR(CL464="",CM464=""),"",IF(AND(CL464=0,CM464=0),"N/A",IF(AND(CL464=1,CM464=0),"COND. A",IF(AND(CL464=0,CM464=1),"COND. B",IF(AND(CL464=1,CM464=1),"COND. A Y B","")))))</f>
        <v/>
      </c>
      <c r="CO464" s="4"/>
      <c r="CP464" s="4"/>
      <c r="CQ464" s="29" t="str">
        <f t="shared" si="419"/>
        <v/>
      </c>
      <c r="CR464" s="29" t="str">
        <f t="shared" ref="CR464:CR493" si="426">IF(OR(AN464="",AF464=""),"",IF(AN464="NO",AF464,0))</f>
        <v/>
      </c>
      <c r="CS464" s="4"/>
    </row>
    <row r="465" spans="1:97" ht="34.25" hidden="1" customHeight="1">
      <c r="B465" s="481"/>
      <c r="C465" s="118"/>
      <c r="D465" s="126" t="str">
        <f>+IFERROR(INDEX('DESEMPATE Y DISCAPACIDAD'!$D$3:$D$450,MATCH(C465,'DESEMPATE Y DISCAPACIDAD'!$C$3:$C$450,0)),"")</f>
        <v/>
      </c>
      <c r="E465" s="127" t="str">
        <f>IFERROR(IF(D465="","",IF(VLOOKUP(D465,'DESEMPATE Y DISCAPACIDAD'!D$3:$E$450,2,FALSE)=1,"N/A",IF(VLOOKUP(D465,'DESEMPATE Y DISCAPACIDAD'!D$3:$F$450,3,FALSE)="X","SI","NO"))),"")</f>
        <v/>
      </c>
      <c r="F465" s="121"/>
      <c r="G465" s="121"/>
      <c r="H465" s="125"/>
      <c r="I465" s="128"/>
      <c r="J465" s="125"/>
      <c r="K465" s="125"/>
      <c r="L465" s="125"/>
      <c r="M465" s="125"/>
      <c r="N465" s="125" t="str">
        <f t="shared" si="420"/>
        <v/>
      </c>
      <c r="O465" s="125" t="str">
        <f>IFERROR(IF(OR(J465="",L465=""),"",IF(J465="NO","NO",L465)),"")</f>
        <v/>
      </c>
      <c r="P465" s="125" t="str">
        <f t="shared" si="421"/>
        <v/>
      </c>
      <c r="Q465" s="125" t="str">
        <f t="shared" si="410"/>
        <v/>
      </c>
      <c r="R465" s="68"/>
      <c r="S465" s="129"/>
      <c r="T465" s="129"/>
      <c r="U465" s="125" t="str">
        <f t="shared" si="422"/>
        <v/>
      </c>
      <c r="V465" s="117" t="str">
        <f>IF(U465=2023,1160000,IFERROR(INDEX(SMMLV!$B$2:$B$101,MATCH(U465,SMMLV!$A$2:$A$101,0)),""))</f>
        <v/>
      </c>
      <c r="W465" s="117"/>
      <c r="X465" s="125"/>
      <c r="Y465" s="125"/>
      <c r="Z465" s="474"/>
      <c r="AA465" s="475"/>
      <c r="AB465" s="476"/>
      <c r="AC465" s="125" t="str">
        <f t="shared" si="423"/>
        <v/>
      </c>
      <c r="AD465" s="117" t="str">
        <f t="shared" si="411"/>
        <v/>
      </c>
      <c r="AE465" s="117" t="str">
        <f t="shared" si="407"/>
        <v/>
      </c>
      <c r="AF465" s="117" t="str">
        <f t="shared" si="405"/>
        <v/>
      </c>
      <c r="AG465" s="470"/>
      <c r="AH465" s="470"/>
      <c r="AI465" s="125" t="str">
        <f t="shared" si="406"/>
        <v/>
      </c>
      <c r="AJ465" s="470"/>
      <c r="AK465" s="470"/>
      <c r="AL465" s="472"/>
      <c r="AM465" s="496"/>
      <c r="AN465" s="125"/>
      <c r="AO465" s="490"/>
      <c r="AP465" s="125"/>
      <c r="AQ465" s="490"/>
      <c r="AR465" s="522"/>
      <c r="AS465" s="519"/>
      <c r="AT465" s="204"/>
      <c r="AU465" s="699"/>
      <c r="AV465" s="702"/>
      <c r="AW465" s="708"/>
      <c r="AX465" s="708"/>
      <c r="AY465" s="19"/>
      <c r="CB465" s="29" t="str">
        <f>IFERROR(IF(COUNTIF(AF463:AF472,"")=10,"",IF(COUNTIF(E463:E472,"N/A")&gt;0,IF(AF465&gt;=CMEMM1,AF465,0),"N/A")),"")</f>
        <v/>
      </c>
      <c r="CC465" s="4"/>
      <c r="CD465" s="4" t="str">
        <f>IFERROR(IF(COUNTIF(AF463:AF472,"")=10,"",IF(AF465="","",IF(AF465&gt;=CMEMM1,1,0))),"")</f>
        <v/>
      </c>
      <c r="CE465" s="4" t="str">
        <f>B463&amp;"-0"&amp;3</f>
        <v>P47-03</v>
      </c>
      <c r="CF465" s="4">
        <f>IFERROR(INDEX('DESEMPATE Y DISCAPACIDAD'!$D$3:$D$450,MATCH(CE465,'DESEMPATE Y DISCAPACIDAD'!$C$3:$C$450,0)),"")</f>
        <v>0</v>
      </c>
      <c r="CG465" s="4">
        <f>IF(OR(CE465="",CF465=""),"",SUMIF(D463:D472,CF465,CD463:CD472))</f>
        <v>0</v>
      </c>
      <c r="CH465" s="4" t="str">
        <f t="shared" si="381"/>
        <v>NO CUMPLE</v>
      </c>
      <c r="CI465" s="4">
        <f t="shared" si="424"/>
        <v>0</v>
      </c>
      <c r="CJ465" s="4"/>
      <c r="CK465" s="4"/>
      <c r="CL465" s="4" t="str">
        <f t="shared" si="408"/>
        <v/>
      </c>
      <c r="CM465" s="4" t="str">
        <f t="shared" si="409"/>
        <v/>
      </c>
      <c r="CN465" s="4" t="str">
        <f t="shared" si="425"/>
        <v/>
      </c>
      <c r="CO465" s="4"/>
      <c r="CP465" s="4"/>
      <c r="CQ465" s="29" t="str">
        <f t="shared" si="419"/>
        <v/>
      </c>
      <c r="CR465" s="29" t="str">
        <f t="shared" si="426"/>
        <v/>
      </c>
      <c r="CS465" s="4"/>
    </row>
    <row r="466" spans="1:97" ht="34.25" hidden="1" customHeight="1">
      <c r="B466" s="481"/>
      <c r="C466" s="118"/>
      <c r="D466" s="126" t="str">
        <f>+IFERROR(INDEX('DESEMPATE Y DISCAPACIDAD'!$D$3:$D$450,MATCH(C466,'DESEMPATE Y DISCAPACIDAD'!$C$3:$C$450,0)),"")</f>
        <v/>
      </c>
      <c r="E466" s="127" t="str">
        <f>IFERROR(IF(D466="","",IF(VLOOKUP(D466,'DESEMPATE Y DISCAPACIDAD'!D$3:$E$450,2,FALSE)=1,"N/A",IF(VLOOKUP(D466,'DESEMPATE Y DISCAPACIDAD'!D$3:$F$450,3,FALSE)="X","SI","NO"))),"")</f>
        <v/>
      </c>
      <c r="F466" s="141"/>
      <c r="G466" s="125"/>
      <c r="H466" s="125"/>
      <c r="I466" s="128"/>
      <c r="J466" s="125"/>
      <c r="K466" s="125"/>
      <c r="L466" s="3"/>
      <c r="M466" s="125"/>
      <c r="N466" s="125" t="str">
        <f t="shared" si="420"/>
        <v/>
      </c>
      <c r="O466" s="125" t="str">
        <f>IFERROR(IF(OR(J466="",L466=""),"",IF(J466="NO","NO",L466)),"")</f>
        <v/>
      </c>
      <c r="P466" s="125" t="str">
        <f t="shared" si="421"/>
        <v/>
      </c>
      <c r="Q466" s="125" t="str">
        <f t="shared" si="410"/>
        <v/>
      </c>
      <c r="R466" s="68"/>
      <c r="S466" s="129"/>
      <c r="T466" s="129"/>
      <c r="U466" s="125" t="str">
        <f t="shared" si="422"/>
        <v/>
      </c>
      <c r="V466" s="117" t="str">
        <f>IF(U466=2023,1160000,IFERROR(INDEX(SMMLV!$B$2:$B$101,MATCH(U466,SMMLV!$A$2:$A$101,0)),""))</f>
        <v/>
      </c>
      <c r="W466" s="117"/>
      <c r="X466" s="125"/>
      <c r="Y466" s="125"/>
      <c r="Z466" s="474"/>
      <c r="AA466" s="475"/>
      <c r="AB466" s="476"/>
      <c r="AC466" s="125" t="str">
        <f t="shared" si="423"/>
        <v/>
      </c>
      <c r="AD466" s="117" t="str">
        <f t="shared" si="411"/>
        <v/>
      </c>
      <c r="AE466" s="117" t="str">
        <f t="shared" si="407"/>
        <v/>
      </c>
      <c r="AF466" s="117" t="str">
        <f t="shared" si="405"/>
        <v/>
      </c>
      <c r="AG466" s="470"/>
      <c r="AH466" s="470"/>
      <c r="AI466" s="125" t="str">
        <f t="shared" si="406"/>
        <v/>
      </c>
      <c r="AJ466" s="470"/>
      <c r="AK466" s="470"/>
      <c r="AL466" s="472"/>
      <c r="AM466" s="496"/>
      <c r="AN466" s="125"/>
      <c r="AO466" s="490"/>
      <c r="AP466" s="125"/>
      <c r="AQ466" s="490"/>
      <c r="AR466" s="522"/>
      <c r="AS466" s="519"/>
      <c r="AT466" s="204"/>
      <c r="AU466" s="699"/>
      <c r="AV466" s="702"/>
      <c r="AW466" s="708"/>
      <c r="AX466" s="708"/>
      <c r="AY466" s="19"/>
      <c r="CB466" s="29" t="str">
        <f>IFERROR(IF(COUNTIF(AF463:AF472,"")=10,"",IF(COUNTIF(E463:E472,"N/A")&gt;0,IF(AF466&gt;=CMEMM1,AF466,0),"N/A")),"")</f>
        <v/>
      </c>
      <c r="CC466" s="4"/>
      <c r="CD466" s="4" t="str">
        <f>IFERROR(IF(COUNTIF(AF463:AF472,"")=10,"",IF(AF466="","",IF(AF466&gt;=CMEMM1,1,0))),"")</f>
        <v/>
      </c>
      <c r="CE466" s="4" t="str">
        <f>B463&amp;"-0"&amp;4</f>
        <v>P47-04</v>
      </c>
      <c r="CF466" s="4">
        <f>IFERROR(INDEX('DESEMPATE Y DISCAPACIDAD'!$D$3:$D$450,MATCH(CE466,'DESEMPATE Y DISCAPACIDAD'!$C$3:$C$450,0)),"")</f>
        <v>0</v>
      </c>
      <c r="CG466" s="4">
        <f>IF(OR(CE466="",CF466=""),"",SUMIF(D463:D472,CF466,CD463:CD472))</f>
        <v>0</v>
      </c>
      <c r="CH466" s="4" t="str">
        <f t="shared" si="381"/>
        <v>NO CUMPLE</v>
      </c>
      <c r="CI466" s="4">
        <f t="shared" si="424"/>
        <v>0</v>
      </c>
      <c r="CJ466" s="4"/>
      <c r="CK466" s="4"/>
      <c r="CL466" s="4" t="str">
        <f t="shared" si="408"/>
        <v/>
      </c>
      <c r="CM466" s="4" t="str">
        <f t="shared" si="409"/>
        <v/>
      </c>
      <c r="CN466" s="4" t="str">
        <f t="shared" si="425"/>
        <v/>
      </c>
      <c r="CO466" s="4"/>
      <c r="CP466" s="4"/>
      <c r="CQ466" s="29" t="str">
        <f t="shared" si="419"/>
        <v/>
      </c>
      <c r="CR466" s="29" t="str">
        <f t="shared" si="426"/>
        <v/>
      </c>
      <c r="CS466" s="4"/>
    </row>
    <row r="467" spans="1:97" ht="34.25" hidden="1" customHeight="1">
      <c r="B467" s="481"/>
      <c r="C467" s="118"/>
      <c r="D467" s="126" t="str">
        <f>+IFERROR(INDEX('DESEMPATE Y DISCAPACIDAD'!$D$3:$D$450,MATCH(C467,'DESEMPATE Y DISCAPACIDAD'!$C$3:$C$450,0)),"")</f>
        <v/>
      </c>
      <c r="E467" s="127" t="str">
        <f>IFERROR(IF(D467="","",IF(VLOOKUP(D467,'DESEMPATE Y DISCAPACIDAD'!D$3:$E$450,2,FALSE)=1,"N/A",IF(VLOOKUP(D467,'DESEMPATE Y DISCAPACIDAD'!D$3:$F$450,3,FALSE)="X","SI","NO"))),"")</f>
        <v/>
      </c>
      <c r="F467" s="125"/>
      <c r="G467" s="125"/>
      <c r="H467" s="125"/>
      <c r="I467" s="128"/>
      <c r="J467" s="125"/>
      <c r="K467" s="125"/>
      <c r="L467" s="3"/>
      <c r="M467" s="125"/>
      <c r="N467" s="125" t="str">
        <f t="shared" si="420"/>
        <v/>
      </c>
      <c r="O467" s="125" t="str">
        <f t="shared" ref="O467:O472" si="427">IFERROR(IF(OR(J467="",L467=""),"",IF(J467="NO","NO",L467)),"")</f>
        <v/>
      </c>
      <c r="P467" s="125" t="str">
        <f t="shared" si="421"/>
        <v/>
      </c>
      <c r="Q467" s="125" t="str">
        <f t="shared" si="410"/>
        <v/>
      </c>
      <c r="R467" s="68"/>
      <c r="S467" s="129"/>
      <c r="T467" s="129"/>
      <c r="U467" s="125" t="str">
        <f t="shared" si="422"/>
        <v/>
      </c>
      <c r="V467" s="117" t="str">
        <f>IF(U467=2023,1160000,IFERROR(INDEX(SMMLV!$B$2:$B$101,MATCH(U467,SMMLV!$A$2:$A$101,0)),""))</f>
        <v/>
      </c>
      <c r="W467" s="117"/>
      <c r="X467" s="125"/>
      <c r="Y467" s="125"/>
      <c r="Z467" s="474"/>
      <c r="AA467" s="475"/>
      <c r="AB467" s="476"/>
      <c r="AC467" s="125" t="str">
        <f t="shared" si="423"/>
        <v/>
      </c>
      <c r="AD467" s="117" t="str">
        <f t="shared" si="411"/>
        <v/>
      </c>
      <c r="AE467" s="117" t="str">
        <f t="shared" si="407"/>
        <v/>
      </c>
      <c r="AF467" s="117" t="str">
        <f t="shared" si="405"/>
        <v/>
      </c>
      <c r="AG467" s="470"/>
      <c r="AH467" s="470"/>
      <c r="AI467" s="125" t="str">
        <f t="shared" si="406"/>
        <v/>
      </c>
      <c r="AJ467" s="470"/>
      <c r="AK467" s="470"/>
      <c r="AL467" s="472"/>
      <c r="AM467" s="496"/>
      <c r="AN467" s="125"/>
      <c r="AO467" s="490"/>
      <c r="AP467" s="125"/>
      <c r="AQ467" s="490"/>
      <c r="AR467" s="522"/>
      <c r="AS467" s="519"/>
      <c r="AT467" s="204"/>
      <c r="AU467" s="699"/>
      <c r="AV467" s="702"/>
      <c r="AW467" s="708"/>
      <c r="AX467" s="708"/>
      <c r="AY467" s="19"/>
      <c r="CB467" s="29" t="str">
        <f>IFERROR(IF(COUNTIF(AF463:AF472,"")=10,"",IF(COUNTIF(E463:E472,"N/A")&gt;0,IF(AF467&gt;=CMEMM1,AF467,0),"N/A")),"")</f>
        <v/>
      </c>
      <c r="CC467" s="4"/>
      <c r="CD467" s="4" t="str">
        <f>IFERROR(IF(COUNTIF(AF463:AF472,"")=10,"",IF(AF467="","",IF(AF467&gt;=CMEMM1,1,0))),"")</f>
        <v/>
      </c>
      <c r="CE467" s="4" t="str">
        <f>B463&amp;"-0"&amp;5</f>
        <v>P47-05</v>
      </c>
      <c r="CF467" s="4">
        <f>IFERROR(INDEX('DESEMPATE Y DISCAPACIDAD'!$D$3:$D$450,MATCH(CE467,'DESEMPATE Y DISCAPACIDAD'!$C$3:$C$450,0)),"")</f>
        <v>0</v>
      </c>
      <c r="CG467" s="4">
        <f>IF(OR(CE467="",CF467=""),"",SUMIF(D463:D472,CF467,CD463:CD472))</f>
        <v>0</v>
      </c>
      <c r="CH467" s="4" t="str">
        <f t="shared" si="381"/>
        <v>NO CUMPLE</v>
      </c>
      <c r="CI467" s="4">
        <f t="shared" si="424"/>
        <v>0</v>
      </c>
      <c r="CJ467" s="4"/>
      <c r="CK467" s="4"/>
      <c r="CL467" s="4" t="str">
        <f t="shared" si="408"/>
        <v/>
      </c>
      <c r="CM467" s="4" t="str">
        <f t="shared" si="409"/>
        <v/>
      </c>
      <c r="CN467" s="4" t="str">
        <f t="shared" si="425"/>
        <v/>
      </c>
      <c r="CO467" s="4"/>
      <c r="CP467" s="4"/>
      <c r="CQ467" s="29" t="str">
        <f t="shared" si="419"/>
        <v/>
      </c>
      <c r="CR467" s="29" t="str">
        <f t="shared" si="426"/>
        <v/>
      </c>
      <c r="CS467" s="4"/>
    </row>
    <row r="468" spans="1:97" ht="34.25" hidden="1" customHeight="1">
      <c r="B468" s="481"/>
      <c r="C468" s="118"/>
      <c r="D468" s="126" t="str">
        <f>+IFERROR(INDEX('DESEMPATE Y DISCAPACIDAD'!$D$3:$D$450,MATCH(C468,'DESEMPATE Y DISCAPACIDAD'!$C$3:$C$450,0)),"")</f>
        <v/>
      </c>
      <c r="E468" s="127" t="str">
        <f>IFERROR(IF(D468="","",IF(VLOOKUP(D468,'DESEMPATE Y DISCAPACIDAD'!D$3:$E$450,2,FALSE)=1,"N/A",IF(VLOOKUP(D468,'DESEMPATE Y DISCAPACIDAD'!D$3:$F$450,3,FALSE)="X","SI","NO"))),"")</f>
        <v/>
      </c>
      <c r="F468" s="125"/>
      <c r="G468" s="125"/>
      <c r="H468" s="125"/>
      <c r="I468" s="128"/>
      <c r="J468" s="125"/>
      <c r="K468" s="125"/>
      <c r="L468" s="3"/>
      <c r="M468" s="125"/>
      <c r="N468" s="125" t="str">
        <f t="shared" si="420"/>
        <v/>
      </c>
      <c r="O468" s="125" t="str">
        <f t="shared" si="427"/>
        <v/>
      </c>
      <c r="P468" s="125" t="str">
        <f t="shared" si="421"/>
        <v/>
      </c>
      <c r="Q468" s="125" t="str">
        <f t="shared" si="410"/>
        <v/>
      </c>
      <c r="R468" s="68"/>
      <c r="S468" s="129"/>
      <c r="T468" s="129"/>
      <c r="U468" s="125" t="str">
        <f t="shared" si="422"/>
        <v/>
      </c>
      <c r="V468" s="117" t="str">
        <f>IF(U468=2023,1160000,IFERROR(INDEX(SMMLV!$B$2:$B$101,MATCH(U468,SMMLV!$A$2:$A$101,0)),""))</f>
        <v/>
      </c>
      <c r="W468" s="117"/>
      <c r="X468" s="125"/>
      <c r="Y468" s="125"/>
      <c r="Z468" s="474"/>
      <c r="AA468" s="475"/>
      <c r="AB468" s="476"/>
      <c r="AC468" s="125" t="str">
        <f t="shared" si="423"/>
        <v/>
      </c>
      <c r="AD468" s="117" t="str">
        <f t="shared" si="411"/>
        <v/>
      </c>
      <c r="AE468" s="117" t="str">
        <f t="shared" si="407"/>
        <v/>
      </c>
      <c r="AF468" s="117" t="str">
        <f t="shared" si="405"/>
        <v/>
      </c>
      <c r="AG468" s="470"/>
      <c r="AH468" s="470"/>
      <c r="AI468" s="125" t="str">
        <f t="shared" si="406"/>
        <v/>
      </c>
      <c r="AJ468" s="470"/>
      <c r="AK468" s="470"/>
      <c r="AL468" s="472"/>
      <c r="AM468" s="496"/>
      <c r="AN468" s="125"/>
      <c r="AO468" s="490"/>
      <c r="AP468" s="125"/>
      <c r="AQ468" s="490"/>
      <c r="AR468" s="522"/>
      <c r="AS468" s="519"/>
      <c r="AT468" s="204"/>
      <c r="AU468" s="699"/>
      <c r="AV468" s="702"/>
      <c r="AW468" s="708"/>
      <c r="AX468" s="708"/>
      <c r="AY468" s="19"/>
      <c r="CB468" s="29" t="str">
        <f>IFERROR(IF(COUNTIF(AF463:AF472,"")=10,"",IF(COUNTIF(E463:E472,"N/A")&gt;0,IF(AF468&gt;=CMEMM1,AF468,0),"N/A")),"")</f>
        <v/>
      </c>
      <c r="CC468" s="4"/>
      <c r="CD468" s="4" t="str">
        <f>IFERROR(IF(COUNTIF(AF463:AF472,"")=10,"",IF(AF468="","",IF(AF468&gt;=CMEMM1,1,0))),"")</f>
        <v/>
      </c>
      <c r="CE468" s="4" t="str">
        <f>B463&amp;"-0"&amp;6</f>
        <v>P47-06</v>
      </c>
      <c r="CF468" s="4">
        <f>IFERROR(INDEX('DESEMPATE Y DISCAPACIDAD'!$D$3:$D$450,MATCH(CE468,'DESEMPATE Y DISCAPACIDAD'!$C$3:$C$450,0)),"")</f>
        <v>0</v>
      </c>
      <c r="CG468" s="4">
        <f>IF(OR(CE468="",CF468=""),"",SUMIF(D463:D472,CF468,CD463:CD472))</f>
        <v>0</v>
      </c>
      <c r="CH468" s="4" t="str">
        <f t="shared" si="381"/>
        <v>NO CUMPLE</v>
      </c>
      <c r="CI468" s="4">
        <f t="shared" si="424"/>
        <v>0</v>
      </c>
      <c r="CJ468" s="4"/>
      <c r="CK468" s="4"/>
      <c r="CL468" s="4" t="str">
        <f t="shared" si="408"/>
        <v/>
      </c>
      <c r="CM468" s="4" t="str">
        <f t="shared" si="409"/>
        <v/>
      </c>
      <c r="CN468" s="4" t="str">
        <f t="shared" si="425"/>
        <v/>
      </c>
      <c r="CO468" s="4"/>
      <c r="CP468" s="4"/>
      <c r="CQ468" s="29" t="str">
        <f t="shared" si="419"/>
        <v/>
      </c>
      <c r="CR468" s="29" t="str">
        <f t="shared" si="426"/>
        <v/>
      </c>
      <c r="CS468" s="4"/>
    </row>
    <row r="469" spans="1:97" ht="34.25" hidden="1" customHeight="1">
      <c r="B469" s="481"/>
      <c r="C469" s="118"/>
      <c r="D469" s="126" t="str">
        <f>+IFERROR(INDEX('DESEMPATE Y DISCAPACIDAD'!$D$3:$D$450,MATCH(C469,'DESEMPATE Y DISCAPACIDAD'!$C$3:$C$450,0)),"")</f>
        <v/>
      </c>
      <c r="E469" s="127" t="str">
        <f>IFERROR(IF(D469="","",IF(VLOOKUP(D469,'DESEMPATE Y DISCAPACIDAD'!D$3:$E$450,2,FALSE)=1,"N/A",IF(VLOOKUP(D469,'DESEMPATE Y DISCAPACIDAD'!D$3:$F$450,3,FALSE)="X","SI","NO"))),"")</f>
        <v/>
      </c>
      <c r="F469" s="125"/>
      <c r="G469" s="125"/>
      <c r="H469" s="125"/>
      <c r="I469" s="128"/>
      <c r="J469" s="125"/>
      <c r="K469" s="125"/>
      <c r="L469" s="3"/>
      <c r="M469" s="125"/>
      <c r="N469" s="125" t="str">
        <f t="shared" si="420"/>
        <v/>
      </c>
      <c r="O469" s="125" t="str">
        <f t="shared" si="427"/>
        <v/>
      </c>
      <c r="P469" s="125" t="str">
        <f t="shared" si="421"/>
        <v/>
      </c>
      <c r="Q469" s="125" t="str">
        <f t="shared" si="410"/>
        <v/>
      </c>
      <c r="R469" s="68"/>
      <c r="S469" s="129"/>
      <c r="T469" s="129"/>
      <c r="U469" s="125" t="str">
        <f t="shared" si="422"/>
        <v/>
      </c>
      <c r="V469" s="117" t="str">
        <f>IF(U469=2023,1160000,IFERROR(INDEX(SMMLV!$B$2:$B$101,MATCH(U469,SMMLV!$A$2:$A$101,0)),""))</f>
        <v/>
      </c>
      <c r="W469" s="117"/>
      <c r="X469" s="125"/>
      <c r="Y469" s="125"/>
      <c r="Z469" s="474"/>
      <c r="AA469" s="475"/>
      <c r="AB469" s="476"/>
      <c r="AC469" s="125" t="str">
        <f t="shared" si="423"/>
        <v/>
      </c>
      <c r="AD469" s="117" t="str">
        <f t="shared" si="411"/>
        <v/>
      </c>
      <c r="AE469" s="117" t="str">
        <f t="shared" si="407"/>
        <v/>
      </c>
      <c r="AF469" s="117" t="str">
        <f t="shared" si="405"/>
        <v/>
      </c>
      <c r="AG469" s="470"/>
      <c r="AH469" s="470"/>
      <c r="AI469" s="125" t="str">
        <f t="shared" si="406"/>
        <v/>
      </c>
      <c r="AJ469" s="470"/>
      <c r="AK469" s="470"/>
      <c r="AL469" s="472"/>
      <c r="AM469" s="496"/>
      <c r="AN469" s="125"/>
      <c r="AO469" s="490"/>
      <c r="AP469" s="125"/>
      <c r="AQ469" s="490"/>
      <c r="AR469" s="522"/>
      <c r="AS469" s="519"/>
      <c r="AT469" s="204"/>
      <c r="AU469" s="699"/>
      <c r="AV469" s="702"/>
      <c r="AW469" s="708"/>
      <c r="AX469" s="708"/>
      <c r="AY469" s="19"/>
      <c r="CB469" s="29" t="str">
        <f>IFERROR(IF(COUNTIF(AF463:AF472,"")=10,"",IF(COUNTIF(E463:E472,"N/A")&gt;0,IF(AF469&gt;=CMEMM1,AF469,0),"N/A")),"")</f>
        <v/>
      </c>
      <c r="CC469" s="4"/>
      <c r="CD469" s="4" t="str">
        <f>IFERROR(IF(COUNTIF(AF463:AF472,"")=10,"",IF(AF469="","",IF(AF469&gt;=CMEMM1,1,0))),"")</f>
        <v/>
      </c>
      <c r="CE469" s="4" t="str">
        <f>B463&amp;"-0"&amp;7</f>
        <v>P47-07</v>
      </c>
      <c r="CF469" s="4" t="str">
        <f>IFERROR(INDEX('DESEMPATE Y DISCAPACIDAD'!$D$3:$D$450,MATCH(CE469,'DESEMPATE Y DISCAPACIDAD'!$C$3:$C$450,0)),"")</f>
        <v/>
      </c>
      <c r="CG469" s="4" t="str">
        <f>IF(OR(CE469="",CF469=""),"",SUMIF(D463:D472,CF469,CD463:CD472))</f>
        <v/>
      </c>
      <c r="CH469" s="4" t="str">
        <f t="shared" si="381"/>
        <v/>
      </c>
      <c r="CI469" s="4" t="str">
        <f t="shared" si="424"/>
        <v/>
      </c>
      <c r="CJ469" s="4"/>
      <c r="CK469" s="4"/>
      <c r="CL469" s="4" t="str">
        <f t="shared" si="408"/>
        <v/>
      </c>
      <c r="CM469" s="4" t="str">
        <f t="shared" si="409"/>
        <v/>
      </c>
      <c r="CN469" s="4" t="str">
        <f t="shared" si="425"/>
        <v/>
      </c>
      <c r="CO469" s="4"/>
      <c r="CP469" s="4"/>
      <c r="CQ469" s="29" t="str">
        <f t="shared" si="419"/>
        <v/>
      </c>
      <c r="CR469" s="29" t="str">
        <f t="shared" si="426"/>
        <v/>
      </c>
      <c r="CS469" s="4"/>
    </row>
    <row r="470" spans="1:97" ht="34.25" hidden="1" customHeight="1">
      <c r="B470" s="481"/>
      <c r="C470" s="118"/>
      <c r="D470" s="126" t="str">
        <f>+IFERROR(INDEX('DESEMPATE Y DISCAPACIDAD'!$D$3:$D$450,MATCH(C470,'DESEMPATE Y DISCAPACIDAD'!$C$3:$C$450,0)),"")</f>
        <v/>
      </c>
      <c r="E470" s="127" t="str">
        <f>IFERROR(IF(D470="","",IF(VLOOKUP(D470,'DESEMPATE Y DISCAPACIDAD'!D$3:$E$450,2,FALSE)=1,"N/A",IF(VLOOKUP(D470,'DESEMPATE Y DISCAPACIDAD'!D$3:$F$450,3,FALSE)="X","SI","NO"))),"")</f>
        <v/>
      </c>
      <c r="F470" s="125"/>
      <c r="G470" s="125"/>
      <c r="H470" s="125"/>
      <c r="I470" s="128"/>
      <c r="J470" s="125"/>
      <c r="K470" s="125"/>
      <c r="L470" s="3"/>
      <c r="M470" s="125"/>
      <c r="N470" s="125" t="str">
        <f t="shared" si="420"/>
        <v/>
      </c>
      <c r="O470" s="125" t="str">
        <f t="shared" si="427"/>
        <v/>
      </c>
      <c r="P470" s="125" t="str">
        <f t="shared" si="421"/>
        <v/>
      </c>
      <c r="Q470" s="125" t="str">
        <f t="shared" si="410"/>
        <v/>
      </c>
      <c r="R470" s="68"/>
      <c r="S470" s="129"/>
      <c r="T470" s="129"/>
      <c r="U470" s="125" t="str">
        <f t="shared" si="422"/>
        <v/>
      </c>
      <c r="V470" s="117" t="str">
        <f>IF(U470=2023,1160000,IFERROR(INDEX(SMMLV!$B$2:$B$101,MATCH(U470,SMMLV!$A$2:$A$101,0)),""))</f>
        <v/>
      </c>
      <c r="W470" s="117"/>
      <c r="X470" s="125"/>
      <c r="Y470" s="125"/>
      <c r="Z470" s="474"/>
      <c r="AA470" s="475"/>
      <c r="AB470" s="476"/>
      <c r="AC470" s="125" t="str">
        <f t="shared" si="423"/>
        <v/>
      </c>
      <c r="AD470" s="117" t="str">
        <f t="shared" si="411"/>
        <v/>
      </c>
      <c r="AE470" s="117" t="str">
        <f t="shared" si="407"/>
        <v/>
      </c>
      <c r="AF470" s="117" t="str">
        <f t="shared" si="405"/>
        <v/>
      </c>
      <c r="AG470" s="470"/>
      <c r="AH470" s="470"/>
      <c r="AI470" s="125" t="str">
        <f t="shared" si="406"/>
        <v/>
      </c>
      <c r="AJ470" s="470"/>
      <c r="AK470" s="470"/>
      <c r="AL470" s="472"/>
      <c r="AM470" s="496"/>
      <c r="AN470" s="125"/>
      <c r="AO470" s="490"/>
      <c r="AP470" s="125"/>
      <c r="AQ470" s="490"/>
      <c r="AR470" s="522"/>
      <c r="AS470" s="519"/>
      <c r="AT470" s="204"/>
      <c r="AU470" s="699"/>
      <c r="AV470" s="702"/>
      <c r="AW470" s="708"/>
      <c r="AX470" s="708"/>
      <c r="AY470" s="19"/>
      <c r="CB470" s="29" t="str">
        <f>IFERROR(IF(COUNTIF(AF463:AF472,"")=10,"",IF(COUNTIF(E463:E472,"N/A")&gt;0,IF(AF470&gt;=CMEMM1,AF470,0),"N/A")),"")</f>
        <v/>
      </c>
      <c r="CC470" s="4"/>
      <c r="CD470" s="4" t="str">
        <f>IFERROR(IF(COUNTIF(AF463:AF472,"")=10,"",IF(AF470="","",IF(AF470&gt;=CMEMM1,1,0))),"")</f>
        <v/>
      </c>
      <c r="CE470" s="4" t="str">
        <f>B463&amp;"-0"&amp;8</f>
        <v>P47-08</v>
      </c>
      <c r="CF470" s="4" t="str">
        <f>IFERROR(INDEX('DESEMPATE Y DISCAPACIDAD'!$D$3:$D$450,MATCH(CE470,'DESEMPATE Y DISCAPACIDAD'!$C$3:$C$450,0)),"")</f>
        <v/>
      </c>
      <c r="CG470" s="4" t="str">
        <f>IF(OR(CE470="",CF470=""),"",SUMIF(D463:D472,CF470,CD463:CD472))</f>
        <v/>
      </c>
      <c r="CH470" s="4" t="str">
        <f t="shared" si="381"/>
        <v/>
      </c>
      <c r="CI470" s="4" t="str">
        <f t="shared" si="424"/>
        <v/>
      </c>
      <c r="CJ470" s="4"/>
      <c r="CK470" s="4"/>
      <c r="CL470" s="4" t="str">
        <f t="shared" si="408"/>
        <v/>
      </c>
      <c r="CM470" s="4" t="str">
        <f t="shared" si="409"/>
        <v/>
      </c>
      <c r="CN470" s="4" t="str">
        <f t="shared" si="425"/>
        <v/>
      </c>
      <c r="CO470" s="4"/>
      <c r="CP470" s="4"/>
      <c r="CQ470" s="29" t="str">
        <f t="shared" si="419"/>
        <v/>
      </c>
      <c r="CR470" s="29" t="str">
        <f t="shared" si="426"/>
        <v/>
      </c>
      <c r="CS470" s="4"/>
    </row>
    <row r="471" spans="1:97" ht="34.25" hidden="1" customHeight="1">
      <c r="B471" s="481"/>
      <c r="C471" s="118"/>
      <c r="D471" s="126" t="str">
        <f>+IFERROR(INDEX('DESEMPATE Y DISCAPACIDAD'!$D$3:$D$450,MATCH(C471,'DESEMPATE Y DISCAPACIDAD'!$C$3:$C$450,0)),"")</f>
        <v/>
      </c>
      <c r="E471" s="127" t="str">
        <f>IFERROR(IF(D471="","",IF(VLOOKUP(D471,'DESEMPATE Y DISCAPACIDAD'!D$3:$E$450,2,FALSE)=1,"N/A",IF(VLOOKUP(D471,'DESEMPATE Y DISCAPACIDAD'!D$3:$F$450,3,FALSE)="X","SI","NO"))),"")</f>
        <v/>
      </c>
      <c r="F471" s="125"/>
      <c r="G471" s="125"/>
      <c r="H471" s="125"/>
      <c r="I471" s="128"/>
      <c r="J471" s="125"/>
      <c r="K471" s="125"/>
      <c r="L471" s="3"/>
      <c r="M471" s="125"/>
      <c r="N471" s="125" t="str">
        <f t="shared" si="420"/>
        <v/>
      </c>
      <c r="O471" s="125" t="str">
        <f t="shared" si="427"/>
        <v/>
      </c>
      <c r="P471" s="125" t="str">
        <f t="shared" si="421"/>
        <v/>
      </c>
      <c r="Q471" s="125" t="str">
        <f t="shared" si="410"/>
        <v/>
      </c>
      <c r="R471" s="68"/>
      <c r="S471" s="129"/>
      <c r="T471" s="129"/>
      <c r="U471" s="125" t="str">
        <f t="shared" si="422"/>
        <v/>
      </c>
      <c r="V471" s="117" t="str">
        <f>IF(U471=2023,1160000,IFERROR(INDEX(SMMLV!$B$2:$B$101,MATCH(U471,SMMLV!$A$2:$A$101,0)),""))</f>
        <v/>
      </c>
      <c r="W471" s="117"/>
      <c r="X471" s="125"/>
      <c r="Y471" s="125"/>
      <c r="Z471" s="474"/>
      <c r="AA471" s="475"/>
      <c r="AB471" s="476"/>
      <c r="AC471" s="125" t="str">
        <f t="shared" si="423"/>
        <v/>
      </c>
      <c r="AD471" s="117" t="str">
        <f t="shared" si="411"/>
        <v/>
      </c>
      <c r="AE471" s="117" t="str">
        <f t="shared" si="407"/>
        <v/>
      </c>
      <c r="AF471" s="117" t="str">
        <f t="shared" si="405"/>
        <v/>
      </c>
      <c r="AG471" s="470"/>
      <c r="AH471" s="470"/>
      <c r="AI471" s="125" t="str">
        <f t="shared" si="406"/>
        <v/>
      </c>
      <c r="AJ471" s="470"/>
      <c r="AK471" s="470"/>
      <c r="AL471" s="472"/>
      <c r="AM471" s="496"/>
      <c r="AN471" s="125"/>
      <c r="AO471" s="490"/>
      <c r="AP471" s="125"/>
      <c r="AQ471" s="490"/>
      <c r="AR471" s="522"/>
      <c r="AS471" s="519"/>
      <c r="AT471" s="204"/>
      <c r="AU471" s="699"/>
      <c r="AV471" s="702"/>
      <c r="AW471" s="708"/>
      <c r="AX471" s="708"/>
      <c r="AY471" s="19"/>
      <c r="CB471" s="29" t="str">
        <f>IFERROR(IF(COUNTIF(AF463:AF472,"")=10,"",IF(COUNTIF(E463:E472,"N/A")&gt;0,IF(AF471&gt;=CMEMM1,AF471,0),"N/A")),"")</f>
        <v/>
      </c>
      <c r="CC471" s="4"/>
      <c r="CD471" s="4" t="str">
        <f>IFERROR(IF(COUNTIF(AF463:AF472,"")=10,"",IF(AF471="","",IF(AF471&gt;=CMEMM1,1,0))),"")</f>
        <v/>
      </c>
      <c r="CE471" s="4" t="str">
        <f>B463&amp;"-0"&amp;9</f>
        <v>P47-09</v>
      </c>
      <c r="CF471" s="4" t="str">
        <f>IFERROR(INDEX('DESEMPATE Y DISCAPACIDAD'!$D$3:$D$450,MATCH(CE471,'DESEMPATE Y DISCAPACIDAD'!$C$3:$C$450,0)),"")</f>
        <v/>
      </c>
      <c r="CG471" s="4" t="str">
        <f>IF(OR(CE471="",CF471=""),"",SUMIF(D463:D472,CF471,CD463:CD472))</f>
        <v/>
      </c>
      <c r="CH471" s="4" t="str">
        <f t="shared" si="381"/>
        <v/>
      </c>
      <c r="CI471" s="4" t="str">
        <f t="shared" si="424"/>
        <v/>
      </c>
      <c r="CJ471" s="4"/>
      <c r="CK471" s="4"/>
      <c r="CL471" s="4" t="str">
        <f t="shared" si="408"/>
        <v/>
      </c>
      <c r="CM471" s="4" t="str">
        <f t="shared" si="409"/>
        <v/>
      </c>
      <c r="CN471" s="4" t="str">
        <f t="shared" si="425"/>
        <v/>
      </c>
      <c r="CO471" s="4"/>
      <c r="CP471" s="4"/>
      <c r="CQ471" s="29" t="str">
        <f t="shared" si="419"/>
        <v/>
      </c>
      <c r="CR471" s="29" t="str">
        <f t="shared" si="426"/>
        <v/>
      </c>
      <c r="CS471" s="4"/>
    </row>
    <row r="472" spans="1:97" ht="34.25" hidden="1" customHeight="1" thickBot="1">
      <c r="B472" s="482"/>
      <c r="C472" s="130"/>
      <c r="D472" s="131" t="str">
        <f>+IFERROR(INDEX('DESEMPATE Y DISCAPACIDAD'!$D$3:$D$450,MATCH(C472,'DESEMPATE Y DISCAPACIDAD'!$C$3:$C$450,0)),"")</f>
        <v/>
      </c>
      <c r="E472" s="132" t="str">
        <f>IFERROR(IF(D472="","",IF(VLOOKUP(D472,'DESEMPATE Y DISCAPACIDAD'!D$3:$E$450,2,FALSE)=1,"N/A",IF(VLOOKUP(D472,'DESEMPATE Y DISCAPACIDAD'!D$3:$F$450,3,FALSE)="X","SI","NO"))),"")</f>
        <v/>
      </c>
      <c r="F472" s="133"/>
      <c r="G472" s="133"/>
      <c r="H472" s="133"/>
      <c r="I472" s="134"/>
      <c r="J472" s="133"/>
      <c r="K472" s="133"/>
      <c r="L472" s="5"/>
      <c r="M472" s="133"/>
      <c r="N472" s="133" t="str">
        <f t="shared" si="420"/>
        <v/>
      </c>
      <c r="O472" s="133" t="str">
        <f t="shared" si="427"/>
        <v/>
      </c>
      <c r="P472" s="133" t="str">
        <f t="shared" si="421"/>
        <v/>
      </c>
      <c r="Q472" s="133" t="str">
        <f t="shared" si="410"/>
        <v/>
      </c>
      <c r="R472" s="104"/>
      <c r="S472" s="135"/>
      <c r="T472" s="135"/>
      <c r="U472" s="133" t="str">
        <f t="shared" si="422"/>
        <v/>
      </c>
      <c r="V472" s="136" t="str">
        <f>IF(U472=2023,1160000,IFERROR(INDEX(SMMLV!$B$2:$B$101,MATCH(U472,SMMLV!$A$2:$A$101,0)),""))</f>
        <v/>
      </c>
      <c r="W472" s="136"/>
      <c r="X472" s="133"/>
      <c r="Y472" s="133"/>
      <c r="Z472" s="487"/>
      <c r="AA472" s="488"/>
      <c r="AB472" s="489"/>
      <c r="AC472" s="133" t="str">
        <f t="shared" si="423"/>
        <v/>
      </c>
      <c r="AD472" s="136" t="str">
        <f t="shared" si="411"/>
        <v/>
      </c>
      <c r="AE472" s="117" t="str">
        <f t="shared" si="407"/>
        <v/>
      </c>
      <c r="AF472" s="136" t="str">
        <f t="shared" si="405"/>
        <v/>
      </c>
      <c r="AG472" s="471"/>
      <c r="AH472" s="471"/>
      <c r="AI472" s="133" t="str">
        <f t="shared" si="406"/>
        <v/>
      </c>
      <c r="AJ472" s="471"/>
      <c r="AK472" s="471"/>
      <c r="AL472" s="473"/>
      <c r="AM472" s="497"/>
      <c r="AN472" s="133"/>
      <c r="AO472" s="491"/>
      <c r="AP472" s="133"/>
      <c r="AQ472" s="491"/>
      <c r="AR472" s="523"/>
      <c r="AS472" s="520"/>
      <c r="AT472" s="206"/>
      <c r="AU472" s="700"/>
      <c r="AV472" s="703"/>
      <c r="AW472" s="709"/>
      <c r="AX472" s="709"/>
      <c r="AY472" s="19"/>
      <c r="CB472" s="29" t="str">
        <f>IFERROR(IF(COUNTIF(AF463:AF472,"")=10,"",IF(COUNTIF(E463:E472,"N/A")&gt;0,IF(AF472&gt;=CMEMM1,AF472,0),"N/A")),"")</f>
        <v/>
      </c>
      <c r="CC472" s="4"/>
      <c r="CD472" s="4" t="str">
        <f>IFERROR(IF(COUNTIF(AF463:AF472,"")=10,"",IF(AF472="","",IF(AF472&gt;=CMEMM1,1,0))),"")</f>
        <v/>
      </c>
      <c r="CE472" s="4" t="str">
        <f>B463&amp;"-"&amp;10</f>
        <v>P47-10</v>
      </c>
      <c r="CF472" s="4" t="str">
        <f>IFERROR(INDEX('DESEMPATE Y DISCAPACIDAD'!$D$3:$D$450,MATCH(CE472,'DESEMPATE Y DISCAPACIDAD'!$C$3:$C$450,0)),"")</f>
        <v/>
      </c>
      <c r="CG472" s="4" t="str">
        <f>IF(OR(CE472="",CF472=""),"",SUMIF(D463:D472,CF472,CD463:CD472))</f>
        <v/>
      </c>
      <c r="CH472" s="4" t="str">
        <f t="shared" si="381"/>
        <v/>
      </c>
      <c r="CI472" s="4" t="str">
        <f t="shared" si="424"/>
        <v/>
      </c>
      <c r="CJ472" s="4"/>
      <c r="CK472" s="4"/>
      <c r="CL472" s="4" t="str">
        <f t="shared" si="408"/>
        <v/>
      </c>
      <c r="CM472" s="4" t="str">
        <f t="shared" si="409"/>
        <v/>
      </c>
      <c r="CN472" s="4" t="str">
        <f t="shared" si="425"/>
        <v/>
      </c>
      <c r="CO472" s="4"/>
      <c r="CP472" s="4"/>
      <c r="CQ472" s="29" t="str">
        <f t="shared" si="419"/>
        <v/>
      </c>
      <c r="CR472" s="29" t="str">
        <f t="shared" si="426"/>
        <v/>
      </c>
      <c r="CS472" s="4"/>
    </row>
    <row r="473" spans="1:97" ht="34.25" hidden="1" customHeight="1">
      <c r="A473" s="4" t="str">
        <f>"A"&amp;B473</f>
        <v>AP48</v>
      </c>
      <c r="B473" s="480" t="s">
        <v>309</v>
      </c>
      <c r="C473" s="108"/>
      <c r="D473" s="119" t="str">
        <f>+IFERROR(INDEX('DESEMPATE Y DISCAPACIDAD'!$D$3:$D$450,MATCH(C473,'DESEMPATE Y DISCAPACIDAD'!$C$3:$C$450,0)),"")</f>
        <v/>
      </c>
      <c r="E473" s="120" t="str">
        <f>IFERROR(IF(D473="","",IF(VLOOKUP(D473,'DESEMPATE Y DISCAPACIDAD'!D$3:$E$450,2,FALSE)=1,"N/A",IF(VLOOKUP(D473,'DESEMPATE Y DISCAPACIDAD'!D$3:$F$450,3,FALSE)="X","SI","NO"))),"")</f>
        <v/>
      </c>
      <c r="F473" s="125"/>
      <c r="G473" s="125"/>
      <c r="H473" s="121"/>
      <c r="I473" s="122"/>
      <c r="J473" s="121"/>
      <c r="K473" s="121"/>
      <c r="L473" s="179"/>
      <c r="M473" s="121"/>
      <c r="N473" s="121" t="str">
        <f>IFERROR(IF(OR(J473="",K473=""),"",IF(J473="NO","NO",K473)),"")</f>
        <v/>
      </c>
      <c r="O473" s="121" t="str">
        <f>IFERROR(IF(OR(J473="",L473=""),"",IF(J473="NO","NO",L473)),"")</f>
        <v/>
      </c>
      <c r="P473" s="121" t="str">
        <f>IFERROR(IF(OR(J473="",M473=""),"",IF(J473="NO","NO",M473)),"")</f>
        <v/>
      </c>
      <c r="Q473" s="121" t="str">
        <f t="shared" si="410"/>
        <v/>
      </c>
      <c r="R473" s="103"/>
      <c r="S473" s="123"/>
      <c r="T473" s="123"/>
      <c r="U473" s="121" t="str">
        <f>IFERROR(IF(T473="","",YEAR(T473)),"")</f>
        <v/>
      </c>
      <c r="V473" s="124" t="str">
        <f>IF(U473=2023,1160000,IFERROR(INDEX(SMMLV!$B$2:$B$101,MATCH(U473,SMMLV!$A$2:$A$101,0)),""))</f>
        <v/>
      </c>
      <c r="W473" s="124"/>
      <c r="X473" s="121"/>
      <c r="Y473" s="121"/>
      <c r="Z473" s="483"/>
      <c r="AA473" s="484"/>
      <c r="AB473" s="485"/>
      <c r="AC473" s="121" t="str">
        <f>IFERROR(IF(Y473="","",IF(ISNUMBER(Y473),IF(COUNTIF(Z473,"SI")&gt;0,"SI","NO"),Y473)),"")</f>
        <v/>
      </c>
      <c r="AD473" s="124" t="str">
        <f t="shared" si="411"/>
        <v/>
      </c>
      <c r="AE473" s="117" t="str">
        <f t="shared" si="407"/>
        <v/>
      </c>
      <c r="AF473" s="124" t="str">
        <f t="shared" si="405"/>
        <v/>
      </c>
      <c r="AG473" s="486" t="str">
        <f>IFERROR(IF(COUNTIF(AF473:AF482,"")=10,"",IF(COUNTIF(E473:E482,"N/A")&gt;0,IF(SUM(CB473:CB482)&gt;=CMEM1,"CUMPLE","NO CUMPLE"),IF(SUM(AF473:AF482)&gt;=CMEM1,"CUMPLE","NO CUMPLE"))),"")</f>
        <v/>
      </c>
      <c r="AH473" s="486" t="str">
        <f>IF(COUNTIF(AF473:AF482,"")=10,"",IF(SUMIF(C473:C482,C473,AF473:AF482)&gt;=CMLM1,"CUMPLE",IF(SUMIF(C473:C482,C474,AF473:AF482)&gt;=CMLM1,"CUMPLE",IF(SUMIF(C473:C482,C475,AF473:AF482)&gt;=CMLM1,"CUMPLE",IF(SUMIF(C473:C482,C476,AF473:AF482)&gt;=CMLM1,"CUMPLE",IF(SUMIF(C473:C482,C477,AF473:AF482)&gt;=CMLM1,"CUMPLE",IF(SUMIF(C473:C482,C478,AF473:AF482)&gt;=CMLM1,"CUMPLE",IF(SUMIF(C473:C482,C479,AF473:AF482)&gt;=CMLM1,"CUMPLE",IF(SUMIF(C473:C482,C480,AF473:AF482)&gt;=CMLM1,"CUMPLE",IF(SUMIF(C473:C482,C481,AF473:AF482)&gt;=CMLM1,"CUMPLE",IF(SUMIF(C473:C482,C482,AF473:AF482)&gt;=CMLM1,"CUMPLE","NO CUMPLE")))))))))))</f>
        <v/>
      </c>
      <c r="AI473" s="121" t="str">
        <f t="shared" si="406"/>
        <v/>
      </c>
      <c r="AJ473" s="469" t="str">
        <f>IFERROR(IF(COUNTIF(AF473:AF482,"")=10,"",IF(COUNTIF(E473:E482,"N/A")&gt;0,"N/A",CJ473)),"")</f>
        <v/>
      </c>
      <c r="AK473" s="469" t="str">
        <f>IFERROR(IF(AND(COUNTIF(N473:N482,"SI")&gt;=1,COUNTIF(O473:O482,"SI")&gt;=1,COUNTIF(P473:P482,"SI")&gt;=1,COUNTIF(J473:J482,"SI")&lt;=10,CO473="CUMPLE"),"CUMPLE","NO CUMPLE"),"")</f>
        <v>NO CUMPLE</v>
      </c>
      <c r="AL473" s="472"/>
      <c r="AM473" s="495">
        <f>IFERROR(IF(B473&lt;&gt;"",IF(VLOOKUP(B473,'DESEMPATE Y DISCAPACIDAD'!$A$3:$Q$450,10,FALSE)="","",VLOOKUP(B473,'DESEMPATE Y DISCAPACIDAD'!$A$3:$Q$450,10,FALSE)+6),""),"")</f>
        <v>6</v>
      </c>
      <c r="AN473" s="121"/>
      <c r="AO473" s="490"/>
      <c r="AP473" s="121"/>
      <c r="AQ473" s="490" t="str">
        <f>IFERROR(IF(COUNTIF(AP473:AP482,"")=10,"",IF(AO473="NO",0,COUNTIF(AP473:AP482,"SI"))),"")</f>
        <v/>
      </c>
      <c r="AR473" s="521" t="str">
        <f>IFERROR(IF(COUNTIF(AF473:AF482,"")=10,"",IF(AO473="NO",0,IF(COUNTIF(E473:E482,"N/A")&gt;0,SUM(CQ473:CQ482),SUM(CR473:CR482)))),"")</f>
        <v/>
      </c>
      <c r="AS473" s="518" t="str">
        <f>IFERROR(IF(OR(COUNTIF(AF473:AF482,"")=10,AQ473="",AR473=""),"",IF(AO473="NO",0,AR473/AQ473)),"")</f>
        <v/>
      </c>
      <c r="AT473" s="207"/>
      <c r="AU473" s="716"/>
      <c r="AV473" s="701"/>
      <c r="AW473" s="704"/>
      <c r="AX473" s="704"/>
      <c r="AY473" s="19"/>
      <c r="CB473" s="29" t="str">
        <f>IFERROR(IF(COUNTIF(AF473:AF482,"")=10,"",IF(COUNTIF(E473:E482,"N/A")&gt;0,IF(AF473&gt;=CMEMM1,AF473,0),"N/A")),"")</f>
        <v/>
      </c>
      <c r="CC473" s="4"/>
      <c r="CD473" s="4" t="str">
        <f>IFERROR(IF(COUNTIF(AF473:AF482,"")=10,"",IF(AF473="","",IF(AF473&gt;=CMEMM1,1,0))),"")</f>
        <v/>
      </c>
      <c r="CE473" s="4" t="str">
        <f>B473&amp;"-0"&amp;1</f>
        <v>P48-01</v>
      </c>
      <c r="CF473" s="4">
        <f>IFERROR(INDEX('DESEMPATE Y DISCAPACIDAD'!$D$3:$D$450,MATCH(CE473,'DESEMPATE Y DISCAPACIDAD'!$C$3:$C$450,0)),"")</f>
        <v>0</v>
      </c>
      <c r="CG473" s="4">
        <f>IF(OR(CE473="",CF473=""),"",SUMIF(D473:D482,CF473,CD473:CD482))</f>
        <v>0</v>
      </c>
      <c r="CH473" s="4" t="str">
        <f t="shared" si="381"/>
        <v>NO CUMPLE</v>
      </c>
      <c r="CI473" s="4">
        <f>IF(CF473="","",IF(ISTEXT(CF473),1,0))</f>
        <v>0</v>
      </c>
      <c r="CJ473" s="4" t="str">
        <f>IF(OR(CD473="",CE473="",CF473="",CG473="",CH473="",CI473=""),"",IF(COUNTIF(CH473:CH482,"CUMPLE")=COUNTIF(CI473:CI482,1),"CUMPLE","NO CUMPLE"))</f>
        <v/>
      </c>
      <c r="CK473" s="4"/>
      <c r="CL473" s="4" t="str">
        <f t="shared" si="408"/>
        <v/>
      </c>
      <c r="CM473" s="4" t="str">
        <f t="shared" si="409"/>
        <v/>
      </c>
      <c r="CN473" s="4" t="str">
        <f>IF(OR(CL473="",CM473=""),"",IF(AND(CL473=0,CM473=0),"N/A",IF(AND(CL473=1,CM473=0),"COND. A",IF(AND(CL473=0,CM473=1),"COND. B",IF(AND(CL473=1,CM473=1),"COND. A Y B","")))))</f>
        <v/>
      </c>
      <c r="CO473" s="4" t="str">
        <f>IF(COUNTIF(CN473:CN482,"N/A")=10,"NO CUMPLE",IF(COUNTIF(CN473:CN482,"COND. A Y B")&gt;1,"CUMPLE",IF(AND(COUNTIF(CN473:CN482,"COND. A")&gt;0,COUNTIF(CN473:CN482,"COND. B")&gt;0),"CUMPLE",IF(AND(COUNTIF(CN473:CN482,"COND. A Y B")&gt;0,COUNTIF(CN473:CN482,"COND. A")&gt;0),"CUMPLE",IF(AND(COUNTIF(CN473:CN482,"COND. A Y B")&gt;0,COUNTIF(CN473:CN482,"COND. B")&gt;0),"CUMPLE","NO CUMPLE")))))</f>
        <v>NO CUMPLE</v>
      </c>
      <c r="CP473" s="4"/>
      <c r="CQ473" s="29" t="str">
        <f t="shared" si="419"/>
        <v/>
      </c>
      <c r="CR473" s="29" t="str">
        <f t="shared" si="426"/>
        <v/>
      </c>
      <c r="CS473" s="4"/>
    </row>
    <row r="474" spans="1:97" ht="34.25" hidden="1" customHeight="1">
      <c r="B474" s="481"/>
      <c r="C474" s="118"/>
      <c r="D474" s="119" t="str">
        <f>+IFERROR(INDEX('DESEMPATE Y DISCAPACIDAD'!$D$3:$D$450,MATCH(C474,'DESEMPATE Y DISCAPACIDAD'!$C$3:$C$450,0)),"")</f>
        <v/>
      </c>
      <c r="E474" s="120" t="str">
        <f>IFERROR(IF(D474="","",IF(VLOOKUP(D474,'DESEMPATE Y DISCAPACIDAD'!D$3:$E$450,2,FALSE)=1,"N/A",IF(VLOOKUP(D474,'DESEMPATE Y DISCAPACIDAD'!D$3:$F$450,3,FALSE)="X","SI","NO"))),"")</f>
        <v/>
      </c>
      <c r="F474" s="125"/>
      <c r="G474" s="125"/>
      <c r="H474" s="121"/>
      <c r="I474" s="122"/>
      <c r="J474" s="121"/>
      <c r="K474" s="121"/>
      <c r="L474" s="121"/>
      <c r="M474" s="121"/>
      <c r="N474" s="121" t="str">
        <f t="shared" ref="N474:N482" si="428">IFERROR(IF(OR(J474="",K474=""),"",IF(J474="NO","NO",K474)),"")</f>
        <v/>
      </c>
      <c r="O474" s="121" t="str">
        <f>IFERROR(IF(OR(J474="",L474=""),"",IF(J474="NO","NO",L474)),"")</f>
        <v/>
      </c>
      <c r="P474" s="121" t="str">
        <f t="shared" ref="P474:P482" si="429">IFERROR(IF(OR(J474="",M474=""),"",IF(J474="NO","NO",M474)),"")</f>
        <v/>
      </c>
      <c r="Q474" s="121" t="str">
        <f t="shared" si="410"/>
        <v/>
      </c>
      <c r="R474" s="103"/>
      <c r="S474" s="123"/>
      <c r="T474" s="123"/>
      <c r="U474" s="121" t="str">
        <f t="shared" ref="U474:U482" si="430">IFERROR(IF(T474="","",YEAR(T474)),"")</f>
        <v/>
      </c>
      <c r="V474" s="124" t="str">
        <f>IF(U474=2023,1160000,IFERROR(INDEX(SMMLV!$B$2:$B$101,MATCH(U474,SMMLV!$A$2:$A$101,0)),""))</f>
        <v/>
      </c>
      <c r="W474" s="124"/>
      <c r="X474" s="125"/>
      <c r="Y474" s="125"/>
      <c r="Z474" s="474"/>
      <c r="AA474" s="475"/>
      <c r="AB474" s="476"/>
      <c r="AC474" s="125" t="str">
        <f t="shared" ref="AC474:AC482" si="431">IFERROR(IF(Y474="","",IF(ISNUMBER(Y474),IF(COUNTIF(Z474,"SI")&gt;0,"SI","NO"),Y474)),"")</f>
        <v/>
      </c>
      <c r="AD474" s="117" t="str">
        <f t="shared" si="411"/>
        <v/>
      </c>
      <c r="AE474" s="117" t="str">
        <f t="shared" si="407"/>
        <v/>
      </c>
      <c r="AF474" s="117" t="str">
        <f t="shared" si="405"/>
        <v/>
      </c>
      <c r="AG474" s="470"/>
      <c r="AH474" s="470"/>
      <c r="AI474" s="125" t="str">
        <f t="shared" si="406"/>
        <v/>
      </c>
      <c r="AJ474" s="470"/>
      <c r="AK474" s="470"/>
      <c r="AL474" s="472"/>
      <c r="AM474" s="496"/>
      <c r="AN474" s="125"/>
      <c r="AO474" s="490"/>
      <c r="AP474" s="125"/>
      <c r="AQ474" s="490"/>
      <c r="AR474" s="522"/>
      <c r="AS474" s="519"/>
      <c r="AT474" s="204"/>
      <c r="AU474" s="717"/>
      <c r="AV474" s="702"/>
      <c r="AW474" s="705"/>
      <c r="AX474" s="705"/>
      <c r="AY474" s="19"/>
      <c r="CB474" s="29" t="str">
        <f>IFERROR(IF(COUNTIF(AF473:AF482,"")=10,"",IF(COUNTIF(E473:E482,"N/A")&gt;0,IF(AF474&gt;=CMEMM1,AF474,0),"N/A")),"")</f>
        <v/>
      </c>
      <c r="CC474" s="4"/>
      <c r="CD474" s="4" t="str">
        <f>IFERROR(IF(COUNTIF(AF473:AF482,"")=10,"",IF(AF474="","",IF(AF474&gt;=CMEMM1,1,0))),"")</f>
        <v/>
      </c>
      <c r="CE474" s="4" t="str">
        <f>B473&amp;"-0"&amp;2</f>
        <v>P48-02</v>
      </c>
      <c r="CF474" s="4">
        <f>IFERROR(INDEX('DESEMPATE Y DISCAPACIDAD'!$D$3:$D$450,MATCH(CE474,'DESEMPATE Y DISCAPACIDAD'!$C$3:$C$450,0)),"")</f>
        <v>0</v>
      </c>
      <c r="CG474" s="4">
        <f>IF(OR(CE474="",CF474=""),"",SUMIF(D473:D482,CF474,CD473:CD482))</f>
        <v>0</v>
      </c>
      <c r="CH474" s="4" t="str">
        <f t="shared" si="381"/>
        <v>NO CUMPLE</v>
      </c>
      <c r="CI474" s="4">
        <f t="shared" ref="CI474:CI482" si="432">IF(CF474="","",IF(ISTEXT(CF474),1,0))</f>
        <v>0</v>
      </c>
      <c r="CJ474" s="4"/>
      <c r="CK474" s="4"/>
      <c r="CL474" s="4" t="str">
        <f t="shared" si="408"/>
        <v/>
      </c>
      <c r="CM474" s="4" t="str">
        <f t="shared" si="409"/>
        <v/>
      </c>
      <c r="CN474" s="4" t="str">
        <f t="shared" ref="CN474:CN482" si="433">IF(OR(CL474="",CM474=""),"",IF(AND(CL474=0,CM474=0),"N/A",IF(AND(CL474=1,CM474=0),"COND. A",IF(AND(CL474=0,CM474=1),"COND. B",IF(AND(CL474=1,CM474=1),"COND. A Y B","")))))</f>
        <v/>
      </c>
      <c r="CO474" s="4"/>
      <c r="CP474" s="4"/>
      <c r="CQ474" s="29" t="str">
        <f t="shared" si="419"/>
        <v/>
      </c>
      <c r="CR474" s="29" t="str">
        <f t="shared" si="426"/>
        <v/>
      </c>
      <c r="CS474" s="4"/>
    </row>
    <row r="475" spans="1:97" ht="34.25" hidden="1" customHeight="1">
      <c r="B475" s="481"/>
      <c r="C475" s="118"/>
      <c r="D475" s="126" t="str">
        <f>+IFERROR(INDEX('DESEMPATE Y DISCAPACIDAD'!$D$3:$D$450,MATCH(C475,'DESEMPATE Y DISCAPACIDAD'!$C$3:$C$450,0)),"")</f>
        <v/>
      </c>
      <c r="E475" s="127" t="str">
        <f>IFERROR(IF(D475="","",IF(VLOOKUP(D475,'DESEMPATE Y DISCAPACIDAD'!D$3:$E$450,2,FALSE)=1,"N/A",IF(VLOOKUP(D475,'DESEMPATE Y DISCAPACIDAD'!D$3:$F$450,3,FALSE)="X","SI","NO"))),"")</f>
        <v/>
      </c>
      <c r="F475" s="121"/>
      <c r="G475" s="121"/>
      <c r="H475" s="125"/>
      <c r="I475" s="128"/>
      <c r="J475" s="125"/>
      <c r="K475" s="125"/>
      <c r="L475" s="125"/>
      <c r="M475" s="3"/>
      <c r="N475" s="125" t="str">
        <f t="shared" si="428"/>
        <v/>
      </c>
      <c r="O475" s="125" t="str">
        <f>IFERROR(IF(OR(J475="",L475=""),"",IF(J475="NO","NO",L475)),"")</f>
        <v/>
      </c>
      <c r="P475" s="125" t="str">
        <f t="shared" si="429"/>
        <v/>
      </c>
      <c r="Q475" s="125" t="str">
        <f t="shared" si="410"/>
        <v/>
      </c>
      <c r="R475" s="68"/>
      <c r="S475" s="129"/>
      <c r="T475" s="129"/>
      <c r="U475" s="121" t="str">
        <f t="shared" si="430"/>
        <v/>
      </c>
      <c r="V475" s="117" t="str">
        <f>IF(U475=2023,1160000,IFERROR(INDEX(SMMLV!$B$2:$B$101,MATCH(U475,SMMLV!$A$2:$A$101,0)),""))</f>
        <v/>
      </c>
      <c r="W475" s="117"/>
      <c r="X475" s="125"/>
      <c r="Y475" s="125"/>
      <c r="Z475" s="474"/>
      <c r="AA475" s="475"/>
      <c r="AB475" s="476"/>
      <c r="AC475" s="125" t="str">
        <f t="shared" si="431"/>
        <v/>
      </c>
      <c r="AD475" s="117" t="str">
        <f t="shared" si="411"/>
        <v/>
      </c>
      <c r="AE475" s="117" t="str">
        <f t="shared" si="407"/>
        <v/>
      </c>
      <c r="AF475" s="117" t="str">
        <f t="shared" si="405"/>
        <v/>
      </c>
      <c r="AG475" s="470"/>
      <c r="AH475" s="470"/>
      <c r="AI475" s="125" t="str">
        <f t="shared" si="406"/>
        <v/>
      </c>
      <c r="AJ475" s="470"/>
      <c r="AK475" s="470"/>
      <c r="AL475" s="472"/>
      <c r="AM475" s="496"/>
      <c r="AN475" s="125"/>
      <c r="AO475" s="490"/>
      <c r="AP475" s="125"/>
      <c r="AQ475" s="490"/>
      <c r="AR475" s="522"/>
      <c r="AS475" s="519"/>
      <c r="AT475" s="204"/>
      <c r="AU475" s="717"/>
      <c r="AV475" s="702"/>
      <c r="AW475" s="705"/>
      <c r="AX475" s="705"/>
      <c r="AY475" s="19"/>
      <c r="CB475" s="29" t="str">
        <f>IFERROR(IF(COUNTIF(AF473:AF482,"")=10,"",IF(COUNTIF(E473:E482,"N/A")&gt;0,IF(AF475&gt;=CMEMM1,AF475,0),"N/A")),"")</f>
        <v/>
      </c>
      <c r="CC475" s="4"/>
      <c r="CD475" s="4" t="str">
        <f>IFERROR(IF(COUNTIF(AF473:AF482,"")=10,"",IF(AF475="","",IF(AF475&gt;=CMEMM1,1,0))),"")</f>
        <v/>
      </c>
      <c r="CE475" s="4" t="str">
        <f>B473&amp;"-0"&amp;3</f>
        <v>P48-03</v>
      </c>
      <c r="CF475" s="4">
        <f>IFERROR(INDEX('DESEMPATE Y DISCAPACIDAD'!$D$3:$D$450,MATCH(CE475,'DESEMPATE Y DISCAPACIDAD'!$C$3:$C$450,0)),"")</f>
        <v>0</v>
      </c>
      <c r="CG475" s="4">
        <f>IF(OR(CE475="",CF475=""),"",SUMIF(D473:D482,CF475,CD473:CD482))</f>
        <v>0</v>
      </c>
      <c r="CH475" s="4" t="str">
        <f t="shared" si="381"/>
        <v>NO CUMPLE</v>
      </c>
      <c r="CI475" s="4">
        <f t="shared" si="432"/>
        <v>0</v>
      </c>
      <c r="CJ475" s="4"/>
      <c r="CK475" s="4"/>
      <c r="CL475" s="4" t="str">
        <f t="shared" si="408"/>
        <v/>
      </c>
      <c r="CM475" s="4" t="str">
        <f t="shared" si="409"/>
        <v/>
      </c>
      <c r="CN475" s="4" t="str">
        <f t="shared" si="433"/>
        <v/>
      </c>
      <c r="CO475" s="4"/>
      <c r="CP475" s="4"/>
      <c r="CQ475" s="29" t="str">
        <f t="shared" si="419"/>
        <v/>
      </c>
      <c r="CR475" s="29" t="str">
        <f t="shared" si="426"/>
        <v/>
      </c>
      <c r="CS475" s="4"/>
    </row>
    <row r="476" spans="1:97" ht="34.25" hidden="1" customHeight="1">
      <c r="B476" s="481"/>
      <c r="C476" s="118"/>
      <c r="D476" s="126" t="str">
        <f>+IFERROR(INDEX('DESEMPATE Y DISCAPACIDAD'!$D$3:$D$450,MATCH(C476,'DESEMPATE Y DISCAPACIDAD'!$C$3:$C$450,0)),"")</f>
        <v/>
      </c>
      <c r="E476" s="127" t="str">
        <f>IFERROR(IF(D476="","",IF(VLOOKUP(D476,'DESEMPATE Y DISCAPACIDAD'!D$3:$E$450,2,FALSE)=1,"N/A",IF(VLOOKUP(D476,'DESEMPATE Y DISCAPACIDAD'!D$3:$F$450,3,FALSE)="X","SI","NO"))),"")</f>
        <v/>
      </c>
      <c r="F476" s="141"/>
      <c r="G476" s="125"/>
      <c r="H476" s="125"/>
      <c r="I476" s="128"/>
      <c r="J476" s="125"/>
      <c r="K476" s="125"/>
      <c r="L476" s="125"/>
      <c r="M476" s="3"/>
      <c r="N476" s="125" t="str">
        <f t="shared" si="428"/>
        <v/>
      </c>
      <c r="O476" s="125" t="str">
        <f>IFERROR(IF(OR(J476="",L476=""),"",IF(J476="NO","NO",L476)),"")</f>
        <v/>
      </c>
      <c r="P476" s="125" t="str">
        <f t="shared" si="429"/>
        <v/>
      </c>
      <c r="Q476" s="125" t="str">
        <f t="shared" si="410"/>
        <v/>
      </c>
      <c r="R476" s="68"/>
      <c r="S476" s="129"/>
      <c r="T476" s="129"/>
      <c r="U476" s="121" t="str">
        <f t="shared" si="430"/>
        <v/>
      </c>
      <c r="V476" s="117" t="str">
        <f>IF(U476=2023,1160000,IFERROR(INDEX(SMMLV!$B$2:$B$101,MATCH(U476,SMMLV!$A$2:$A$101,0)),""))</f>
        <v/>
      </c>
      <c r="W476" s="117"/>
      <c r="X476" s="125"/>
      <c r="Y476" s="125"/>
      <c r="Z476" s="477"/>
      <c r="AA476" s="478"/>
      <c r="AB476" s="479"/>
      <c r="AC476" s="125" t="str">
        <f t="shared" si="431"/>
        <v/>
      </c>
      <c r="AD476" s="117" t="str">
        <f t="shared" si="411"/>
        <v/>
      </c>
      <c r="AE476" s="117" t="str">
        <f t="shared" si="407"/>
        <v/>
      </c>
      <c r="AF476" s="117" t="str">
        <f t="shared" si="405"/>
        <v/>
      </c>
      <c r="AG476" s="470"/>
      <c r="AH476" s="470"/>
      <c r="AI476" s="125" t="str">
        <f t="shared" si="406"/>
        <v/>
      </c>
      <c r="AJ476" s="470"/>
      <c r="AK476" s="470"/>
      <c r="AL476" s="472"/>
      <c r="AM476" s="496"/>
      <c r="AN476" s="125"/>
      <c r="AO476" s="490"/>
      <c r="AP476" s="125"/>
      <c r="AQ476" s="490"/>
      <c r="AR476" s="522"/>
      <c r="AS476" s="519"/>
      <c r="AT476" s="204"/>
      <c r="AU476" s="717"/>
      <c r="AV476" s="702"/>
      <c r="AW476" s="705"/>
      <c r="AX476" s="705"/>
      <c r="AY476" s="19"/>
      <c r="CB476" s="29" t="str">
        <f>IFERROR(IF(COUNTIF(AF473:AF482,"")=10,"",IF(COUNTIF(E473:E482,"N/A")&gt;0,IF(AF476&gt;=CMEMM1,AF476,0),"N/A")),"")</f>
        <v/>
      </c>
      <c r="CC476" s="4"/>
      <c r="CD476" s="4" t="str">
        <f>IFERROR(IF(COUNTIF(AF473:AF482,"")=10,"",IF(AF476="","",IF(AF476&gt;=CMEMM1,1,0))),"")</f>
        <v/>
      </c>
      <c r="CE476" s="4" t="str">
        <f>B473&amp;"-0"&amp;4</f>
        <v>P48-04</v>
      </c>
      <c r="CF476" s="4">
        <f>IFERROR(INDEX('DESEMPATE Y DISCAPACIDAD'!$D$3:$D$450,MATCH(CE476,'DESEMPATE Y DISCAPACIDAD'!$C$3:$C$450,0)),"")</f>
        <v>0</v>
      </c>
      <c r="CG476" s="4">
        <f>IF(OR(CE476="",CF476=""),"",SUMIF(D473:D482,CF476,CD473:CD482))</f>
        <v>0</v>
      </c>
      <c r="CH476" s="4" t="str">
        <f t="shared" si="381"/>
        <v>NO CUMPLE</v>
      </c>
      <c r="CI476" s="4">
        <f t="shared" si="432"/>
        <v>0</v>
      </c>
      <c r="CJ476" s="4"/>
      <c r="CK476" s="4"/>
      <c r="CL476" s="4" t="str">
        <f t="shared" si="408"/>
        <v/>
      </c>
      <c r="CM476" s="4" t="str">
        <f t="shared" si="409"/>
        <v/>
      </c>
      <c r="CN476" s="4" t="str">
        <f t="shared" si="433"/>
        <v/>
      </c>
      <c r="CO476" s="4"/>
      <c r="CP476" s="4"/>
      <c r="CQ476" s="29" t="str">
        <f t="shared" si="419"/>
        <v/>
      </c>
      <c r="CR476" s="29" t="str">
        <f t="shared" si="426"/>
        <v/>
      </c>
      <c r="CS476" s="4"/>
    </row>
    <row r="477" spans="1:97" ht="34.25" hidden="1" customHeight="1">
      <c r="B477" s="481"/>
      <c r="C477" s="118"/>
      <c r="D477" s="126" t="str">
        <f>+IFERROR(INDEX('DESEMPATE Y DISCAPACIDAD'!$D$3:$D$450,MATCH(C477,'DESEMPATE Y DISCAPACIDAD'!$C$3:$C$450,0)),"")</f>
        <v/>
      </c>
      <c r="E477" s="127" t="str">
        <f>IFERROR(IF(D477="","",IF(VLOOKUP(D477,'DESEMPATE Y DISCAPACIDAD'!D$3:$E$450,2,FALSE)=1,"N/A",IF(VLOOKUP(D477,'DESEMPATE Y DISCAPACIDAD'!D$3:$F$450,3,FALSE)="X","SI","NO"))),"")</f>
        <v/>
      </c>
      <c r="F477" s="125"/>
      <c r="G477" s="125"/>
      <c r="H477" s="125"/>
      <c r="I477" s="128"/>
      <c r="J477" s="125"/>
      <c r="K477" s="125"/>
      <c r="L477" s="125"/>
      <c r="M477" s="125"/>
      <c r="N477" s="125" t="str">
        <f t="shared" si="428"/>
        <v/>
      </c>
      <c r="O477" s="125" t="str">
        <f t="shared" ref="O477:O482" si="434">IFERROR(IF(OR(J477="",L477=""),"",IF(J477="NO","NO",L477)),"")</f>
        <v/>
      </c>
      <c r="P477" s="125" t="str">
        <f t="shared" si="429"/>
        <v/>
      </c>
      <c r="Q477" s="125" t="str">
        <f t="shared" si="410"/>
        <v/>
      </c>
      <c r="R477" s="68"/>
      <c r="S477" s="129"/>
      <c r="T477" s="129"/>
      <c r="U477" s="121" t="str">
        <f t="shared" si="430"/>
        <v/>
      </c>
      <c r="V477" s="117" t="str">
        <f>IF(U477=2023,1160000,IFERROR(INDEX(SMMLV!$B$2:$B$101,MATCH(U477,SMMLV!$A$2:$A$101,0)),""))</f>
        <v/>
      </c>
      <c r="W477" s="117"/>
      <c r="X477" s="125"/>
      <c r="Y477" s="125"/>
      <c r="Z477" s="474"/>
      <c r="AA477" s="475"/>
      <c r="AB477" s="476"/>
      <c r="AC477" s="125" t="str">
        <f t="shared" si="431"/>
        <v/>
      </c>
      <c r="AD477" s="117" t="str">
        <f t="shared" si="411"/>
        <v/>
      </c>
      <c r="AE477" s="117" t="str">
        <f t="shared" si="407"/>
        <v/>
      </c>
      <c r="AF477" s="117" t="str">
        <f t="shared" si="405"/>
        <v/>
      </c>
      <c r="AG477" s="470"/>
      <c r="AH477" s="470"/>
      <c r="AI477" s="125" t="str">
        <f t="shared" si="406"/>
        <v/>
      </c>
      <c r="AJ477" s="470"/>
      <c r="AK477" s="470"/>
      <c r="AL477" s="472"/>
      <c r="AM477" s="496"/>
      <c r="AN477" s="125"/>
      <c r="AO477" s="490"/>
      <c r="AP477" s="125"/>
      <c r="AQ477" s="490"/>
      <c r="AR477" s="522"/>
      <c r="AS477" s="519"/>
      <c r="AT477" s="204"/>
      <c r="AU477" s="717"/>
      <c r="AV477" s="702"/>
      <c r="AW477" s="705"/>
      <c r="AX477" s="705"/>
      <c r="AY477" s="19"/>
      <c r="CB477" s="29" t="str">
        <f>IFERROR(IF(COUNTIF(AF473:AF482,"")=10,"",IF(COUNTIF(E473:E482,"N/A")&gt;0,IF(AF477&gt;=CMEMM1,AF477,0),"N/A")),"")</f>
        <v/>
      </c>
      <c r="CC477" s="4"/>
      <c r="CD477" s="4" t="str">
        <f>IFERROR(IF(COUNTIF(AF473:AF482,"")=10,"",IF(AF477="","",IF(AF477&gt;=CMEMM1,1,0))),"")</f>
        <v/>
      </c>
      <c r="CE477" s="4" t="str">
        <f>B473&amp;"-0"&amp;5</f>
        <v>P48-05</v>
      </c>
      <c r="CF477" s="4">
        <f>IFERROR(INDEX('DESEMPATE Y DISCAPACIDAD'!$D$3:$D$450,MATCH(CE477,'DESEMPATE Y DISCAPACIDAD'!$C$3:$C$450,0)),"")</f>
        <v>0</v>
      </c>
      <c r="CG477" s="4">
        <f>IF(OR(CE477="",CF477=""),"",SUMIF(D473:D482,CF477,CD473:CD482))</f>
        <v>0</v>
      </c>
      <c r="CH477" s="4" t="str">
        <f t="shared" si="381"/>
        <v>NO CUMPLE</v>
      </c>
      <c r="CI477" s="4">
        <f t="shared" si="432"/>
        <v>0</v>
      </c>
      <c r="CJ477" s="4"/>
      <c r="CK477" s="4"/>
      <c r="CL477" s="4" t="str">
        <f t="shared" si="408"/>
        <v/>
      </c>
      <c r="CM477" s="4" t="str">
        <f t="shared" si="409"/>
        <v/>
      </c>
      <c r="CN477" s="4" t="str">
        <f t="shared" si="433"/>
        <v/>
      </c>
      <c r="CO477" s="4"/>
      <c r="CP477" s="4"/>
      <c r="CQ477" s="29" t="str">
        <f t="shared" si="419"/>
        <v/>
      </c>
      <c r="CR477" s="29" t="str">
        <f t="shared" si="426"/>
        <v/>
      </c>
      <c r="CS477" s="4"/>
    </row>
    <row r="478" spans="1:97" ht="34.25" hidden="1" customHeight="1">
      <c r="B478" s="481"/>
      <c r="C478" s="118"/>
      <c r="D478" s="126" t="str">
        <f>+IFERROR(INDEX('DESEMPATE Y DISCAPACIDAD'!$D$3:$D$450,MATCH(C478,'DESEMPATE Y DISCAPACIDAD'!$C$3:$C$450,0)),"")</f>
        <v/>
      </c>
      <c r="E478" s="127" t="str">
        <f>IFERROR(IF(D478="","",IF(VLOOKUP(D478,'DESEMPATE Y DISCAPACIDAD'!D$3:$E$450,2,FALSE)=1,"N/A",IF(VLOOKUP(D478,'DESEMPATE Y DISCAPACIDAD'!D$3:$F$450,3,FALSE)="X","SI","NO"))),"")</f>
        <v/>
      </c>
      <c r="F478" s="125"/>
      <c r="G478" s="125"/>
      <c r="H478" s="125"/>
      <c r="I478" s="128"/>
      <c r="J478" s="125"/>
      <c r="K478" s="125"/>
      <c r="L478" s="125"/>
      <c r="M478" s="125"/>
      <c r="N478" s="125" t="str">
        <f t="shared" si="428"/>
        <v/>
      </c>
      <c r="O478" s="125" t="str">
        <f t="shared" si="434"/>
        <v/>
      </c>
      <c r="P478" s="125" t="str">
        <f t="shared" si="429"/>
        <v/>
      </c>
      <c r="Q478" s="125" t="str">
        <f t="shared" si="410"/>
        <v/>
      </c>
      <c r="R478" s="68"/>
      <c r="S478" s="129"/>
      <c r="T478" s="129"/>
      <c r="U478" s="121" t="str">
        <f t="shared" si="430"/>
        <v/>
      </c>
      <c r="V478" s="117" t="str">
        <f>IF(U478=2023,1160000,IFERROR(INDEX(SMMLV!$B$2:$B$101,MATCH(U478,SMMLV!$A$2:$A$101,0)),""))</f>
        <v/>
      </c>
      <c r="W478" s="117"/>
      <c r="X478" s="125"/>
      <c r="Y478" s="125"/>
      <c r="Z478" s="474"/>
      <c r="AA478" s="475"/>
      <c r="AB478" s="476"/>
      <c r="AC478" s="125" t="str">
        <f t="shared" si="431"/>
        <v/>
      </c>
      <c r="AD478" s="117" t="str">
        <f t="shared" si="411"/>
        <v/>
      </c>
      <c r="AE478" s="117" t="str">
        <f t="shared" si="407"/>
        <v/>
      </c>
      <c r="AF478" s="117" t="str">
        <f t="shared" si="405"/>
        <v/>
      </c>
      <c r="AG478" s="470"/>
      <c r="AH478" s="470"/>
      <c r="AI478" s="125" t="str">
        <f t="shared" si="406"/>
        <v/>
      </c>
      <c r="AJ478" s="470"/>
      <c r="AK478" s="470"/>
      <c r="AL478" s="472"/>
      <c r="AM478" s="496"/>
      <c r="AN478" s="125"/>
      <c r="AO478" s="490"/>
      <c r="AP478" s="125"/>
      <c r="AQ478" s="490"/>
      <c r="AR478" s="522"/>
      <c r="AS478" s="519"/>
      <c r="AT478" s="204"/>
      <c r="AU478" s="717"/>
      <c r="AV478" s="702"/>
      <c r="AW478" s="705"/>
      <c r="AX478" s="705"/>
      <c r="AY478" s="19"/>
      <c r="CB478" s="29" t="str">
        <f>IFERROR(IF(COUNTIF(AF473:AF482,"")=10,"",IF(COUNTIF(E473:E482,"N/A")&gt;0,IF(AF478&gt;=CMEMM1,AF478,0),"N/A")),"")</f>
        <v/>
      </c>
      <c r="CC478" s="4"/>
      <c r="CD478" s="4" t="str">
        <f>IFERROR(IF(COUNTIF(AF473:AF482,"")=10,"",IF(AF478="","",IF(AF478&gt;=CMEMM1,1,0))),"")</f>
        <v/>
      </c>
      <c r="CE478" s="4" t="str">
        <f>B473&amp;"-0"&amp;6</f>
        <v>P48-06</v>
      </c>
      <c r="CF478" s="4">
        <f>IFERROR(INDEX('DESEMPATE Y DISCAPACIDAD'!$D$3:$D$450,MATCH(CE478,'DESEMPATE Y DISCAPACIDAD'!$C$3:$C$450,0)),"")</f>
        <v>0</v>
      </c>
      <c r="CG478" s="4">
        <f>IF(OR(CE478="",CF478=""),"",SUMIF(D473:D482,CF478,CD473:CD482))</f>
        <v>0</v>
      </c>
      <c r="CH478" s="4" t="str">
        <f t="shared" si="381"/>
        <v>NO CUMPLE</v>
      </c>
      <c r="CI478" s="4">
        <f t="shared" si="432"/>
        <v>0</v>
      </c>
      <c r="CJ478" s="4"/>
      <c r="CK478" s="4"/>
      <c r="CL478" s="4" t="str">
        <f t="shared" si="408"/>
        <v/>
      </c>
      <c r="CM478" s="4" t="str">
        <f t="shared" si="409"/>
        <v/>
      </c>
      <c r="CN478" s="4" t="str">
        <f t="shared" si="433"/>
        <v/>
      </c>
      <c r="CO478" s="4"/>
      <c r="CP478" s="4"/>
      <c r="CQ478" s="29" t="str">
        <f t="shared" si="419"/>
        <v/>
      </c>
      <c r="CR478" s="29" t="str">
        <f t="shared" si="426"/>
        <v/>
      </c>
      <c r="CS478" s="4"/>
    </row>
    <row r="479" spans="1:97" ht="34.25" hidden="1" customHeight="1">
      <c r="B479" s="481"/>
      <c r="C479" s="118"/>
      <c r="D479" s="126" t="str">
        <f>+IFERROR(INDEX('DESEMPATE Y DISCAPACIDAD'!$D$3:$D$450,MATCH(C479,'DESEMPATE Y DISCAPACIDAD'!$C$3:$C$450,0)),"")</f>
        <v/>
      </c>
      <c r="E479" s="127" t="str">
        <f>IFERROR(IF(D479="","",IF(VLOOKUP(D479,'DESEMPATE Y DISCAPACIDAD'!D$3:$E$450,2,FALSE)=1,"N/A",IF(VLOOKUP(D479,'DESEMPATE Y DISCAPACIDAD'!D$3:$F$450,3,FALSE)="X","SI","NO"))),"")</f>
        <v/>
      </c>
      <c r="F479" s="125"/>
      <c r="G479" s="125"/>
      <c r="H479" s="125"/>
      <c r="I479" s="128"/>
      <c r="J479" s="125"/>
      <c r="K479" s="125"/>
      <c r="L479" s="125"/>
      <c r="M479" s="3"/>
      <c r="N479" s="125" t="str">
        <f t="shared" si="428"/>
        <v/>
      </c>
      <c r="O479" s="125" t="str">
        <f t="shared" si="434"/>
        <v/>
      </c>
      <c r="P479" s="125" t="str">
        <f t="shared" si="429"/>
        <v/>
      </c>
      <c r="Q479" s="125" t="str">
        <f t="shared" si="410"/>
        <v/>
      </c>
      <c r="R479" s="68"/>
      <c r="S479" s="129"/>
      <c r="T479" s="129"/>
      <c r="U479" s="125" t="str">
        <f t="shared" si="430"/>
        <v/>
      </c>
      <c r="V479" s="117" t="str">
        <f>IF(U479=2023,1160000,IFERROR(INDEX(SMMLV!$B$2:$B$101,MATCH(U479,SMMLV!$A$2:$A$101,0)),""))</f>
        <v/>
      </c>
      <c r="W479" s="117"/>
      <c r="X479" s="125"/>
      <c r="Y479" s="125"/>
      <c r="Z479" s="477"/>
      <c r="AA479" s="478"/>
      <c r="AB479" s="479"/>
      <c r="AC479" s="125" t="str">
        <f t="shared" si="431"/>
        <v/>
      </c>
      <c r="AD479" s="117" t="str">
        <f t="shared" si="411"/>
        <v/>
      </c>
      <c r="AE479" s="117" t="str">
        <f t="shared" si="407"/>
        <v/>
      </c>
      <c r="AF479" s="117" t="str">
        <f t="shared" si="405"/>
        <v/>
      </c>
      <c r="AG479" s="470"/>
      <c r="AH479" s="470"/>
      <c r="AI479" s="125" t="str">
        <f t="shared" si="406"/>
        <v/>
      </c>
      <c r="AJ479" s="470"/>
      <c r="AK479" s="470"/>
      <c r="AL479" s="472"/>
      <c r="AM479" s="496"/>
      <c r="AN479" s="125"/>
      <c r="AO479" s="490"/>
      <c r="AP479" s="125"/>
      <c r="AQ479" s="490"/>
      <c r="AR479" s="522"/>
      <c r="AS479" s="519"/>
      <c r="AT479" s="204"/>
      <c r="AU479" s="717"/>
      <c r="AV479" s="702"/>
      <c r="AW479" s="705"/>
      <c r="AX479" s="705"/>
      <c r="AY479" s="19"/>
      <c r="CB479" s="29" t="str">
        <f>IFERROR(IF(COUNTIF(AF473:AF482,"")=10,"",IF(COUNTIF(E473:E482,"N/A")&gt;0,IF(AF479&gt;=CMEMM1,AF479,0),"N/A")),"")</f>
        <v/>
      </c>
      <c r="CC479" s="4"/>
      <c r="CD479" s="4" t="str">
        <f>IFERROR(IF(COUNTIF(AF473:AF482,"")=10,"",IF(AF479="","",IF(AF479&gt;=CMEMM1,1,0))),"")</f>
        <v/>
      </c>
      <c r="CE479" s="4" t="str">
        <f>B473&amp;"-0"&amp;7</f>
        <v>P48-07</v>
      </c>
      <c r="CF479" s="4" t="str">
        <f>IFERROR(INDEX('DESEMPATE Y DISCAPACIDAD'!$D$3:$D$450,MATCH(CE479,'DESEMPATE Y DISCAPACIDAD'!$C$3:$C$450,0)),"")</f>
        <v/>
      </c>
      <c r="CG479" s="4" t="str">
        <f>IF(OR(CE479="",CF479=""),"",SUMIF(D473:D482,CF479,CD473:CD482))</f>
        <v/>
      </c>
      <c r="CH479" s="4" t="str">
        <f t="shared" si="381"/>
        <v/>
      </c>
      <c r="CI479" s="4" t="str">
        <f t="shared" si="432"/>
        <v/>
      </c>
      <c r="CJ479" s="4"/>
      <c r="CK479" s="4"/>
      <c r="CL479" s="4" t="str">
        <f t="shared" si="408"/>
        <v/>
      </c>
      <c r="CM479" s="4" t="str">
        <f t="shared" si="409"/>
        <v/>
      </c>
      <c r="CN479" s="4" t="str">
        <f t="shared" si="433"/>
        <v/>
      </c>
      <c r="CO479" s="4"/>
      <c r="CP479" s="4"/>
      <c r="CQ479" s="29" t="str">
        <f t="shared" si="419"/>
        <v/>
      </c>
      <c r="CR479" s="29" t="str">
        <f t="shared" si="426"/>
        <v/>
      </c>
      <c r="CS479" s="4"/>
    </row>
    <row r="480" spans="1:97" ht="34.25" hidden="1" customHeight="1">
      <c r="B480" s="481"/>
      <c r="C480" s="118"/>
      <c r="D480" s="126" t="str">
        <f>+IFERROR(INDEX('DESEMPATE Y DISCAPACIDAD'!$D$3:$D$450,MATCH(C480,'DESEMPATE Y DISCAPACIDAD'!$C$3:$C$450,0)),"")</f>
        <v/>
      </c>
      <c r="E480" s="127" t="str">
        <f>IFERROR(IF(D480="","",IF(VLOOKUP(D480,'DESEMPATE Y DISCAPACIDAD'!D$3:$E$450,2,FALSE)=1,"N/A",IF(VLOOKUP(D480,'DESEMPATE Y DISCAPACIDAD'!D$3:$F$450,3,FALSE)="X","SI","NO"))),"")</f>
        <v/>
      </c>
      <c r="F480" s="125"/>
      <c r="G480" s="125"/>
      <c r="H480" s="125"/>
      <c r="I480" s="128"/>
      <c r="J480" s="125"/>
      <c r="K480" s="125"/>
      <c r="L480" s="125"/>
      <c r="M480" s="3"/>
      <c r="N480" s="125" t="str">
        <f t="shared" si="428"/>
        <v/>
      </c>
      <c r="O480" s="125" t="str">
        <f t="shared" si="434"/>
        <v/>
      </c>
      <c r="P480" s="125" t="str">
        <f t="shared" si="429"/>
        <v/>
      </c>
      <c r="Q480" s="125" t="str">
        <f t="shared" si="410"/>
        <v/>
      </c>
      <c r="R480" s="68"/>
      <c r="S480" s="129"/>
      <c r="T480" s="129"/>
      <c r="U480" s="125" t="str">
        <f t="shared" si="430"/>
        <v/>
      </c>
      <c r="V480" s="117" t="str">
        <f>IF(U480=2023,1160000,IFERROR(INDEX(SMMLV!$B$2:$B$101,MATCH(U480,SMMLV!$A$2:$A$101,0)),""))</f>
        <v/>
      </c>
      <c r="W480" s="117"/>
      <c r="X480" s="125"/>
      <c r="Y480" s="125"/>
      <c r="Z480" s="477"/>
      <c r="AA480" s="478"/>
      <c r="AB480" s="479"/>
      <c r="AC480" s="125" t="str">
        <f t="shared" si="431"/>
        <v/>
      </c>
      <c r="AD480" s="117" t="str">
        <f t="shared" si="411"/>
        <v/>
      </c>
      <c r="AE480" s="117" t="str">
        <f t="shared" si="407"/>
        <v/>
      </c>
      <c r="AF480" s="117" t="str">
        <f t="shared" si="405"/>
        <v/>
      </c>
      <c r="AG480" s="470"/>
      <c r="AH480" s="470"/>
      <c r="AI480" s="125" t="str">
        <f t="shared" si="406"/>
        <v/>
      </c>
      <c r="AJ480" s="470"/>
      <c r="AK480" s="470"/>
      <c r="AL480" s="472"/>
      <c r="AM480" s="496"/>
      <c r="AN480" s="125"/>
      <c r="AO480" s="490"/>
      <c r="AP480" s="125"/>
      <c r="AQ480" s="490"/>
      <c r="AR480" s="522"/>
      <c r="AS480" s="519"/>
      <c r="AT480" s="204"/>
      <c r="AU480" s="717"/>
      <c r="AV480" s="702"/>
      <c r="AW480" s="705"/>
      <c r="AX480" s="705"/>
      <c r="AY480" s="19"/>
      <c r="CB480" s="29" t="str">
        <f>IFERROR(IF(COUNTIF(AF473:AF482,"")=10,"",IF(COUNTIF(E473:E482,"N/A")&gt;0,IF(AF480&gt;=CMEMM1,AF480,0),"N/A")),"")</f>
        <v/>
      </c>
      <c r="CC480" s="4"/>
      <c r="CD480" s="4" t="str">
        <f>IFERROR(IF(COUNTIF(AF473:AF482,"")=10,"",IF(AF480="","",IF(AF480&gt;=CMEMM1,1,0))),"")</f>
        <v/>
      </c>
      <c r="CE480" s="4" t="str">
        <f>B473&amp;"-0"&amp;8</f>
        <v>P48-08</v>
      </c>
      <c r="CF480" s="4" t="str">
        <f>IFERROR(INDEX('DESEMPATE Y DISCAPACIDAD'!$D$3:$D$450,MATCH(CE480,'DESEMPATE Y DISCAPACIDAD'!$C$3:$C$450,0)),"")</f>
        <v/>
      </c>
      <c r="CG480" s="4" t="str">
        <f>IF(OR(CE480="",CF480=""),"",SUMIF(D473:D482,CF480,CD473:CD482))</f>
        <v/>
      </c>
      <c r="CH480" s="4" t="str">
        <f t="shared" si="381"/>
        <v/>
      </c>
      <c r="CI480" s="4" t="str">
        <f t="shared" si="432"/>
        <v/>
      </c>
      <c r="CJ480" s="4"/>
      <c r="CK480" s="4"/>
      <c r="CL480" s="4" t="str">
        <f t="shared" si="408"/>
        <v/>
      </c>
      <c r="CM480" s="4" t="str">
        <f t="shared" si="409"/>
        <v/>
      </c>
      <c r="CN480" s="4" t="str">
        <f t="shared" si="433"/>
        <v/>
      </c>
      <c r="CO480" s="4"/>
      <c r="CP480" s="4"/>
      <c r="CQ480" s="29" t="str">
        <f t="shared" si="419"/>
        <v/>
      </c>
      <c r="CR480" s="29" t="str">
        <f t="shared" si="426"/>
        <v/>
      </c>
      <c r="CS480" s="4"/>
    </row>
    <row r="481" spans="1:97" ht="34.25" hidden="1" customHeight="1">
      <c r="B481" s="481"/>
      <c r="C481" s="118"/>
      <c r="D481" s="126" t="str">
        <f>+IFERROR(INDEX('DESEMPATE Y DISCAPACIDAD'!$D$3:$D$450,MATCH(C481,'DESEMPATE Y DISCAPACIDAD'!$C$3:$C$450,0)),"")</f>
        <v/>
      </c>
      <c r="E481" s="127" t="str">
        <f>IFERROR(IF(D481="","",IF(VLOOKUP(D481,'DESEMPATE Y DISCAPACIDAD'!D$3:$E$450,2,FALSE)=1,"N/A",IF(VLOOKUP(D481,'DESEMPATE Y DISCAPACIDAD'!D$3:$F$450,3,FALSE)="X","SI","NO"))),"")</f>
        <v/>
      </c>
      <c r="F481" s="125"/>
      <c r="G481" s="125"/>
      <c r="H481" s="125"/>
      <c r="I481" s="128"/>
      <c r="J481" s="125"/>
      <c r="K481" s="125"/>
      <c r="L481" s="125"/>
      <c r="M481" s="125"/>
      <c r="N481" s="125" t="str">
        <f t="shared" si="428"/>
        <v/>
      </c>
      <c r="O481" s="125" t="str">
        <f t="shared" si="434"/>
        <v/>
      </c>
      <c r="P481" s="125" t="str">
        <f t="shared" si="429"/>
        <v/>
      </c>
      <c r="Q481" s="125" t="str">
        <f t="shared" si="410"/>
        <v/>
      </c>
      <c r="R481" s="68"/>
      <c r="S481" s="129"/>
      <c r="T481" s="129"/>
      <c r="U481" s="125" t="str">
        <f t="shared" si="430"/>
        <v/>
      </c>
      <c r="V481" s="117" t="str">
        <f>IF(U481=2023,1160000,IFERROR(INDEX(SMMLV!$B$2:$B$101,MATCH(U481,SMMLV!$A$2:$A$101,0)),""))</f>
        <v/>
      </c>
      <c r="W481" s="117"/>
      <c r="X481" s="125"/>
      <c r="Y481" s="125"/>
      <c r="Z481" s="474"/>
      <c r="AA481" s="475"/>
      <c r="AB481" s="476"/>
      <c r="AC481" s="125" t="str">
        <f t="shared" si="431"/>
        <v/>
      </c>
      <c r="AD481" s="117" t="str">
        <f t="shared" si="411"/>
        <v/>
      </c>
      <c r="AE481" s="117" t="str">
        <f t="shared" si="407"/>
        <v/>
      </c>
      <c r="AF481" s="117" t="str">
        <f t="shared" si="405"/>
        <v/>
      </c>
      <c r="AG481" s="470"/>
      <c r="AH481" s="470"/>
      <c r="AI481" s="125" t="str">
        <f t="shared" si="406"/>
        <v/>
      </c>
      <c r="AJ481" s="470"/>
      <c r="AK481" s="470"/>
      <c r="AL481" s="472"/>
      <c r="AM481" s="496"/>
      <c r="AN481" s="125"/>
      <c r="AO481" s="490"/>
      <c r="AP481" s="125"/>
      <c r="AQ481" s="490"/>
      <c r="AR481" s="522"/>
      <c r="AS481" s="519"/>
      <c r="AT481" s="204"/>
      <c r="AU481" s="717"/>
      <c r="AV481" s="702"/>
      <c r="AW481" s="705"/>
      <c r="AX481" s="705"/>
      <c r="AY481" s="19"/>
      <c r="CB481" s="29" t="str">
        <f>IFERROR(IF(COUNTIF(AF473:AF482,"")=10,"",IF(COUNTIF(E473:E482,"N/A")&gt;0,IF(AF481&gt;=CMEMM1,AF481,0),"N/A")),"")</f>
        <v/>
      </c>
      <c r="CC481" s="4"/>
      <c r="CD481" s="4" t="str">
        <f>IFERROR(IF(COUNTIF(AF473:AF482,"")=10,"",IF(AF481="","",IF(AF481&gt;=CMEMM1,1,0))),"")</f>
        <v/>
      </c>
      <c r="CE481" s="4" t="str">
        <f>B473&amp;"-0"&amp;9</f>
        <v>P48-09</v>
      </c>
      <c r="CF481" s="4" t="str">
        <f>IFERROR(INDEX('DESEMPATE Y DISCAPACIDAD'!$D$3:$D$450,MATCH(CE481,'DESEMPATE Y DISCAPACIDAD'!$C$3:$C$450,0)),"")</f>
        <v/>
      </c>
      <c r="CG481" s="4" t="str">
        <f>IF(OR(CE481="",CF481=""),"",SUMIF(D473:D482,CF481,CD473:CD482))</f>
        <v/>
      </c>
      <c r="CH481" s="4" t="str">
        <f t="shared" si="381"/>
        <v/>
      </c>
      <c r="CI481" s="4" t="str">
        <f t="shared" si="432"/>
        <v/>
      </c>
      <c r="CJ481" s="4"/>
      <c r="CK481" s="4"/>
      <c r="CL481" s="4" t="str">
        <f t="shared" si="408"/>
        <v/>
      </c>
      <c r="CM481" s="4" t="str">
        <f t="shared" si="409"/>
        <v/>
      </c>
      <c r="CN481" s="4" t="str">
        <f t="shared" si="433"/>
        <v/>
      </c>
      <c r="CO481" s="4"/>
      <c r="CP481" s="4"/>
      <c r="CQ481" s="29" t="str">
        <f t="shared" si="419"/>
        <v/>
      </c>
      <c r="CR481" s="29" t="str">
        <f t="shared" si="426"/>
        <v/>
      </c>
      <c r="CS481" s="4"/>
    </row>
    <row r="482" spans="1:97" ht="34.25" hidden="1" customHeight="1" thickBot="1">
      <c r="B482" s="482"/>
      <c r="C482" s="130"/>
      <c r="D482" s="131" t="str">
        <f>+IFERROR(INDEX('DESEMPATE Y DISCAPACIDAD'!$D$3:$D$450,MATCH(C482,'DESEMPATE Y DISCAPACIDAD'!$C$3:$C$450,0)),"")</f>
        <v/>
      </c>
      <c r="E482" s="132" t="str">
        <f>IFERROR(IF(D482="","",IF(VLOOKUP(D482,'DESEMPATE Y DISCAPACIDAD'!D$3:$E$450,2,FALSE)=1,"N/A",IF(VLOOKUP(D482,'DESEMPATE Y DISCAPACIDAD'!D$3:$F$450,3,FALSE)="X","SI","NO"))),"")</f>
        <v/>
      </c>
      <c r="F482" s="140"/>
      <c r="G482" s="133"/>
      <c r="H482" s="133"/>
      <c r="I482" s="144"/>
      <c r="J482" s="133"/>
      <c r="K482" s="140"/>
      <c r="L482" s="140"/>
      <c r="M482" s="140"/>
      <c r="N482" s="133" t="str">
        <f t="shared" si="428"/>
        <v/>
      </c>
      <c r="O482" s="133" t="str">
        <f t="shared" si="434"/>
        <v/>
      </c>
      <c r="P482" s="133" t="str">
        <f t="shared" si="429"/>
        <v/>
      </c>
      <c r="Q482" s="133" t="str">
        <f t="shared" si="410"/>
        <v/>
      </c>
      <c r="R482" s="104"/>
      <c r="S482" s="135"/>
      <c r="T482" s="135"/>
      <c r="U482" s="133" t="str">
        <f t="shared" si="430"/>
        <v/>
      </c>
      <c r="V482" s="136" t="str">
        <f>IF(U482=2023,1160000,IFERROR(INDEX(SMMLV!$B$2:$B$101,MATCH(U482,SMMLV!$A$2:$A$101,0)),""))</f>
        <v/>
      </c>
      <c r="W482" s="136"/>
      <c r="X482" s="133"/>
      <c r="Y482" s="133"/>
      <c r="Z482" s="487"/>
      <c r="AA482" s="488"/>
      <c r="AB482" s="489"/>
      <c r="AC482" s="133" t="str">
        <f t="shared" si="431"/>
        <v/>
      </c>
      <c r="AD482" s="136" t="str">
        <f t="shared" si="411"/>
        <v/>
      </c>
      <c r="AE482" s="117" t="str">
        <f t="shared" si="407"/>
        <v/>
      </c>
      <c r="AF482" s="136" t="str">
        <f t="shared" si="405"/>
        <v/>
      </c>
      <c r="AG482" s="471"/>
      <c r="AH482" s="471"/>
      <c r="AI482" s="133" t="str">
        <f t="shared" si="406"/>
        <v/>
      </c>
      <c r="AJ482" s="471"/>
      <c r="AK482" s="471"/>
      <c r="AL482" s="473"/>
      <c r="AM482" s="497"/>
      <c r="AN482" s="140"/>
      <c r="AO482" s="491"/>
      <c r="AP482" s="140"/>
      <c r="AQ482" s="491"/>
      <c r="AR482" s="523"/>
      <c r="AS482" s="520"/>
      <c r="AT482" s="206"/>
      <c r="AU482" s="718"/>
      <c r="AV482" s="703"/>
      <c r="AW482" s="706"/>
      <c r="AX482" s="706"/>
      <c r="AY482" s="19"/>
      <c r="CB482" s="29" t="str">
        <f>IFERROR(IF(COUNTIF(AF473:AF482,"")=10,"",IF(COUNTIF(E473:E482,"N/A")&gt;0,IF(AF482&gt;=CMEMM1,AF482,0),"N/A")),"")</f>
        <v/>
      </c>
      <c r="CC482" s="4"/>
      <c r="CD482" s="4" t="str">
        <f>IFERROR(IF(COUNTIF(AF473:AF482,"")=10,"",IF(AF482="","",IF(AF482&gt;=CMEMM1,1,0))),"")</f>
        <v/>
      </c>
      <c r="CE482" s="4" t="str">
        <f>B473&amp;"-"&amp;10</f>
        <v>P48-10</v>
      </c>
      <c r="CF482" s="4" t="str">
        <f>IFERROR(INDEX('DESEMPATE Y DISCAPACIDAD'!$D$3:$D$450,MATCH(CE482,'DESEMPATE Y DISCAPACIDAD'!$C$3:$C$450,0)),"")</f>
        <v/>
      </c>
      <c r="CG482" s="4" t="str">
        <f>IF(OR(CE482="",CF482=""),"",SUMIF(D473:D482,CF482,CD473:CD482))</f>
        <v/>
      </c>
      <c r="CH482" s="4" t="str">
        <f t="shared" ref="CH482:CH545" si="435">IF(OR(CE482="",CF482="",CG482=""),"",IF(CG482&gt;0,"CUMPLE","NO CUMPLE"))</f>
        <v/>
      </c>
      <c r="CI482" s="4" t="str">
        <f t="shared" si="432"/>
        <v/>
      </c>
      <c r="CJ482" s="4"/>
      <c r="CK482" s="4"/>
      <c r="CL482" s="4" t="str">
        <f t="shared" si="408"/>
        <v/>
      </c>
      <c r="CM482" s="4" t="str">
        <f t="shared" si="409"/>
        <v/>
      </c>
      <c r="CN482" s="4" t="str">
        <f t="shared" si="433"/>
        <v/>
      </c>
      <c r="CO482" s="4"/>
      <c r="CP482" s="4"/>
      <c r="CQ482" s="29" t="str">
        <f t="shared" si="419"/>
        <v/>
      </c>
      <c r="CR482" s="29" t="str">
        <f t="shared" si="426"/>
        <v/>
      </c>
      <c r="CS482" s="4"/>
    </row>
    <row r="483" spans="1:97" ht="34.25" hidden="1" customHeight="1">
      <c r="A483" s="4" t="str">
        <f>"A"&amp;B483</f>
        <v>AP49</v>
      </c>
      <c r="B483" s="480" t="s">
        <v>310</v>
      </c>
      <c r="C483" s="108"/>
      <c r="D483" s="119" t="str">
        <f>+IFERROR(INDEX('DESEMPATE Y DISCAPACIDAD'!$D$3:$D$450,MATCH(C483,'DESEMPATE Y DISCAPACIDAD'!$C$3:$C$450,0)),"")</f>
        <v/>
      </c>
      <c r="E483" s="120" t="str">
        <f>IFERROR(IF(D483="","",IF(VLOOKUP(D483,'DESEMPATE Y DISCAPACIDAD'!D$3:$E$450,2,FALSE)=1,"N/A",IF(VLOOKUP(D483,'DESEMPATE Y DISCAPACIDAD'!D$3:$F$450,3,FALSE)="X","SI","NO"))),"")</f>
        <v/>
      </c>
      <c r="F483" s="181"/>
      <c r="G483" s="125"/>
      <c r="H483" s="121"/>
      <c r="I483" s="181"/>
      <c r="J483" s="121"/>
      <c r="K483" s="181"/>
      <c r="L483" s="181"/>
      <c r="M483" s="181"/>
      <c r="N483" s="121" t="str">
        <f>IFERROR(IF(OR(J483="",K483=""),"",IF(J483="NO","NO",K483)),"")</f>
        <v/>
      </c>
      <c r="O483" s="121" t="str">
        <f>IFERROR(IF(OR(J483="",L483=""),"",IF(J483="NO","NO",L483)),"")</f>
        <v/>
      </c>
      <c r="P483" s="121" t="str">
        <f>IFERROR(IF(OR(J483="",M483=""),"",IF(J483="NO","NO",M483)),"")</f>
        <v/>
      </c>
      <c r="Q483" s="121" t="str">
        <f t="shared" si="410"/>
        <v/>
      </c>
      <c r="R483" s="103"/>
      <c r="S483" s="123"/>
      <c r="T483" s="123"/>
      <c r="U483" s="121" t="str">
        <f>IFERROR(IF(T483="","",YEAR(T483)),"")</f>
        <v/>
      </c>
      <c r="V483" s="124" t="str">
        <f>IF(U483=2023,1160000,IFERROR(INDEX(SMMLV!$B$2:$B$101,MATCH(U483,SMMLV!$A$2:$A$101,0)),""))</f>
        <v/>
      </c>
      <c r="W483" s="124"/>
      <c r="X483" s="121"/>
      <c r="Y483" s="121"/>
      <c r="Z483" s="483"/>
      <c r="AA483" s="484"/>
      <c r="AB483" s="485"/>
      <c r="AC483" s="121" t="str">
        <f>IFERROR(IF(Y483="","",IF(ISNUMBER(Y483),IF(COUNTIF(Z483,"SI")&gt;0,"SI","NO"),Y483)),"")</f>
        <v/>
      </c>
      <c r="AD483" s="124" t="str">
        <f t="shared" si="411"/>
        <v/>
      </c>
      <c r="AE483" s="117" t="str">
        <f t="shared" si="407"/>
        <v/>
      </c>
      <c r="AF483" s="124" t="str">
        <f t="shared" si="405"/>
        <v/>
      </c>
      <c r="AG483" s="486" t="str">
        <f>IFERROR(IF(COUNTIF(AF483:AF492,"")=10,"",IF(COUNTIF(E483:E492,"N/A")&gt;0,IF(SUM(CB483:CB492)&gt;=CMEM1,"CUMPLE","NO CUMPLE"),IF(SUM(AF483:AF492)&gt;=CMEM1,"CUMPLE","NO CUMPLE"))),"")</f>
        <v/>
      </c>
      <c r="AH483" s="486" t="str">
        <f>IF(COUNTIF(AF483:AF492,"")=10,"",IF(SUMIF(C483:C492,C483,AF483:AF492)&gt;=CMLM1,"CUMPLE",IF(SUMIF(C483:C492,C484,AF483:AF492)&gt;=CMLM1,"CUMPLE",IF(SUMIF(C483:C492,C485,AF483:AF492)&gt;=CMLM1,"CUMPLE",IF(SUMIF(C483:C492,C486,AF483:AF492)&gt;=CMLM1,"CUMPLE",IF(SUMIF(C483:C492,C487,AF483:AF492)&gt;=CMLM1,"CUMPLE",IF(SUMIF(C483:C492,C488,AF483:AF492)&gt;=CMLM1,"CUMPLE",IF(SUMIF(C483:C492,C489,AF483:AF492)&gt;=CMLM1,"CUMPLE",IF(SUMIF(C483:C492,C490,AF483:AF492)&gt;=CMLM1,"CUMPLE",IF(SUMIF(C483:C492,C491,AF483:AF492)&gt;=CMLM1,"CUMPLE",IF(SUMIF(C483:C492,C492,AF483:AF492)&gt;=CMLM1,"CUMPLE","NO CUMPLE")))))))))))</f>
        <v/>
      </c>
      <c r="AI483" s="121" t="str">
        <f t="shared" si="406"/>
        <v/>
      </c>
      <c r="AJ483" s="469" t="str">
        <f>IFERROR(IF(COUNTIF(AF483:AF492,"")=10,"",IF(COUNTIF(E483:E492,"N/A")&gt;0,"N/A",CJ483)),"")</f>
        <v/>
      </c>
      <c r="AK483" s="469" t="str">
        <f>IFERROR(IF(AND(COUNTIF(N483:N492,"SI")&gt;=1,COUNTIF(O483:O492,"SI")&gt;=1,COUNTIF(P483:P492,"SI")&gt;=1,COUNTIF(J483:J492,"SI")&lt;=10,CO483="CUMPLE"),"CUMPLE","NO CUMPLE"),"")</f>
        <v>NO CUMPLE</v>
      </c>
      <c r="AL483" s="472"/>
      <c r="AM483" s="495">
        <f>IFERROR(IF(B483&lt;&gt;"",IF(VLOOKUP(B483,'DESEMPATE Y DISCAPACIDAD'!$A$3:$Q$450,10,FALSE)="","",VLOOKUP(B483,'DESEMPATE Y DISCAPACIDAD'!$A$3:$Q$450,10,FALSE)+6),""),"")</f>
        <v>6</v>
      </c>
      <c r="AN483" s="181"/>
      <c r="AO483" s="490"/>
      <c r="AP483" s="181"/>
      <c r="AQ483" s="490" t="str">
        <f>IFERROR(IF(COUNTIF(AP483:AP492,"")=10,"",IF(AO483="NO",0,COUNTIF(AP483:AP492,"SI"))),"")</f>
        <v/>
      </c>
      <c r="AR483" s="521" t="str">
        <f>IFERROR(IF(COUNTIF(AF483:AF492,"")=10,"",IF(AO483="NO",0,IF(COUNTIF(E483:E492,"N/A")&gt;0,SUM(CQ483:CQ492),SUM(CR483:CR492)))),"")</f>
        <v/>
      </c>
      <c r="AS483" s="518" t="str">
        <f>IFERROR(IF(OR(COUNTIF(AF483:AF492,"")=10,AQ483="",AR483=""),"",IF(AO483="NO",0,AR483/AQ483)),"")</f>
        <v/>
      </c>
      <c r="AT483" s="207"/>
      <c r="AU483" s="698"/>
      <c r="AV483" s="701"/>
      <c r="AW483" s="707"/>
      <c r="AX483" s="707"/>
      <c r="AY483" s="19"/>
      <c r="CB483" s="29" t="str">
        <f>IFERROR(IF(COUNTIF(AF483:AF492,"")=10,"",IF(COUNTIF(E483:E492,"N/A")&gt;0,IF(AF483&gt;=CMEMM1,AF483,0),"N/A")),"")</f>
        <v/>
      </c>
      <c r="CC483" s="4"/>
      <c r="CD483" s="4" t="str">
        <f>IFERROR(IF(COUNTIF(AF483:AF492,"")=10,"",IF(AF483="","",IF(AF483&gt;=CMEMM1,1,0))),"")</f>
        <v/>
      </c>
      <c r="CE483" s="4" t="str">
        <f>B483&amp;"-0"&amp;1</f>
        <v>P49-01</v>
      </c>
      <c r="CF483" s="4">
        <f>IFERROR(INDEX('DESEMPATE Y DISCAPACIDAD'!$D$3:$D$450,MATCH(CE483,'DESEMPATE Y DISCAPACIDAD'!$C$3:$C$450,0)),"")</f>
        <v>0</v>
      </c>
      <c r="CG483" s="4">
        <f>IF(OR(CE483="",CF483=""),"",SUMIF(D483:D492,CF483,CD483:CD492))</f>
        <v>0</v>
      </c>
      <c r="CH483" s="4" t="str">
        <f t="shared" si="435"/>
        <v>NO CUMPLE</v>
      </c>
      <c r="CI483" s="4">
        <f>IF(CF483="","",IF(ISTEXT(CF483),1,0))</f>
        <v>0</v>
      </c>
      <c r="CJ483" s="4" t="str">
        <f>IF(OR(CE483="",CF483="",CG483="",CH483="",CI483=""),"",IF(COUNTIF(CH483:CH492,"CUMPLE")=COUNTIF(CI483:CI492,1),"CUMPLE","NO CUMPLE"))</f>
        <v>CUMPLE</v>
      </c>
      <c r="CK483" s="4"/>
      <c r="CL483" s="4" t="str">
        <f t="shared" si="408"/>
        <v/>
      </c>
      <c r="CM483" s="4" t="str">
        <f t="shared" si="409"/>
        <v/>
      </c>
      <c r="CN483" s="4" t="str">
        <f>IF(OR(CL483="",CM483=""),"",IF(AND(CL483=0,CM483=0),"N/A",IF(AND(CL483=1,CM483=0),"COND. A",IF(AND(CL483=0,CM483=1),"COND. B",IF(AND(CL483=1,CM483=1),"COND. A Y B","")))))</f>
        <v/>
      </c>
      <c r="CO483" s="4" t="str">
        <f>IF(COUNTIF(CN483:CN492,"N/A")=10,"NO CUMPLE",IF(COUNTIF(CN483:CN492,"COND. A Y B")&gt;1,"CUMPLE",IF(AND(COUNTIF(CN483:CN492,"COND. A")&gt;0,COUNTIF(CN483:CN492,"COND. B")&gt;0),"CUMPLE",IF(AND(COUNTIF(CN483:CN492,"COND. A Y B")&gt;0,COUNTIF(CN483:CN492,"COND. A")&gt;0),"CUMPLE",IF(AND(COUNTIF(CN483:CN492,"COND. A Y B")&gt;0,COUNTIF(CN483:CN492,"COND. B")&gt;0),"CUMPLE","NO CUMPLE")))))</f>
        <v>NO CUMPLE</v>
      </c>
      <c r="CP483" s="4"/>
      <c r="CQ483" s="29" t="str">
        <f t="shared" si="419"/>
        <v/>
      </c>
      <c r="CR483" s="29" t="str">
        <f t="shared" si="426"/>
        <v/>
      </c>
      <c r="CS483" s="4"/>
    </row>
    <row r="484" spans="1:97" ht="34.25" hidden="1" customHeight="1">
      <c r="B484" s="481"/>
      <c r="C484" s="118"/>
      <c r="D484" s="119" t="str">
        <f>+IFERROR(INDEX('DESEMPATE Y DISCAPACIDAD'!$D$3:$D$450,MATCH(C484,'DESEMPATE Y DISCAPACIDAD'!$C$3:$C$450,0)),"")</f>
        <v/>
      </c>
      <c r="E484" s="120" t="str">
        <f>IFERROR(IF(D484="","",IF(VLOOKUP(D484,'DESEMPATE Y DISCAPACIDAD'!D$3:$E$450,2,FALSE)=1,"N/A",IF(VLOOKUP(D484,'DESEMPATE Y DISCAPACIDAD'!D$3:$F$450,3,FALSE)="X","SI","NO"))),"")</f>
        <v/>
      </c>
      <c r="F484" s="181"/>
      <c r="G484" s="125"/>
      <c r="H484" s="121"/>
      <c r="I484" s="181"/>
      <c r="J484" s="121"/>
      <c r="K484" s="181"/>
      <c r="L484" s="181"/>
      <c r="M484" s="181"/>
      <c r="N484" s="121" t="str">
        <f t="shared" ref="N484:N492" si="436">IFERROR(IF(OR(J484="",K484=""),"",IF(J484="NO","NO",K484)),"")</f>
        <v/>
      </c>
      <c r="O484" s="121" t="str">
        <f>IFERROR(IF(OR(J484="",L484=""),"",IF(J484="NO","NO",L484)),"")</f>
        <v/>
      </c>
      <c r="P484" s="121" t="str">
        <f t="shared" ref="P484:P492" si="437">IFERROR(IF(OR(J484="",M484=""),"",IF(J484="NO","NO",M484)),"")</f>
        <v/>
      </c>
      <c r="Q484" s="121" t="str">
        <f t="shared" si="410"/>
        <v/>
      </c>
      <c r="R484" s="103"/>
      <c r="S484" s="123"/>
      <c r="T484" s="123"/>
      <c r="U484" s="121" t="str">
        <f t="shared" ref="U484:U492" si="438">IFERROR(IF(T484="","",YEAR(T484)),"")</f>
        <v/>
      </c>
      <c r="V484" s="124" t="str">
        <f>IF(U484=2023,1160000,IFERROR(INDEX(SMMLV!$B$2:$B$101,MATCH(U484,SMMLV!$A$2:$A$101,0)),""))</f>
        <v/>
      </c>
      <c r="W484" s="124"/>
      <c r="X484" s="125"/>
      <c r="Y484" s="125"/>
      <c r="Z484" s="474"/>
      <c r="AA484" s="475"/>
      <c r="AB484" s="476"/>
      <c r="AC484" s="125" t="str">
        <f t="shared" ref="AC484:AC492" si="439">IFERROR(IF(Y484="","",IF(ISNUMBER(Y484),IF(COUNTIF(Z484,"SI")&gt;0,"SI","NO"),Y484)),"")</f>
        <v/>
      </c>
      <c r="AD484" s="117" t="str">
        <f t="shared" si="411"/>
        <v/>
      </c>
      <c r="AE484" s="117" t="str">
        <f t="shared" si="407"/>
        <v/>
      </c>
      <c r="AF484" s="117" t="str">
        <f t="shared" si="405"/>
        <v/>
      </c>
      <c r="AG484" s="470"/>
      <c r="AH484" s="470"/>
      <c r="AI484" s="125" t="str">
        <f t="shared" si="406"/>
        <v/>
      </c>
      <c r="AJ484" s="470"/>
      <c r="AK484" s="470"/>
      <c r="AL484" s="472"/>
      <c r="AM484" s="496"/>
      <c r="AN484" s="181"/>
      <c r="AO484" s="490"/>
      <c r="AP484" s="181"/>
      <c r="AQ484" s="490"/>
      <c r="AR484" s="522"/>
      <c r="AS484" s="519"/>
      <c r="AT484" s="204"/>
      <c r="AU484" s="699"/>
      <c r="AV484" s="702"/>
      <c r="AW484" s="708"/>
      <c r="AX484" s="708"/>
      <c r="AY484" s="19"/>
      <c r="CB484" s="29" t="str">
        <f>IFERROR(IF(COUNTIF(AF483:AF492,"")=10,"",IF(COUNTIF(E483:E492,"N/A")&gt;0,IF(AF484&gt;=CMEMM1,AF484,0),"N/A")),"")</f>
        <v/>
      </c>
      <c r="CC484" s="4"/>
      <c r="CD484" s="4" t="str">
        <f>IFERROR(IF(COUNTIF(AF483:AF492,"")=10,"",IF(AF484="","",IF(AF484&gt;=CMEMM1,1,0))),"")</f>
        <v/>
      </c>
      <c r="CE484" s="4" t="str">
        <f>B483&amp;"-0"&amp;2</f>
        <v>P49-02</v>
      </c>
      <c r="CF484" s="4">
        <f>IFERROR(INDEX('DESEMPATE Y DISCAPACIDAD'!$D$3:$D$450,MATCH(CE484,'DESEMPATE Y DISCAPACIDAD'!$C$3:$C$450,0)),"")</f>
        <v>0</v>
      </c>
      <c r="CG484" s="4">
        <f>IF(OR(CE484="",CF484=""),"",SUMIF(D483:D492,CF484,CD483:CD492))</f>
        <v>0</v>
      </c>
      <c r="CH484" s="4" t="str">
        <f t="shared" si="435"/>
        <v>NO CUMPLE</v>
      </c>
      <c r="CI484" s="4">
        <f t="shared" ref="CI484:CI492" si="440">IF(CF484="","",IF(ISTEXT(CF484),1,0))</f>
        <v>0</v>
      </c>
      <c r="CJ484" s="4"/>
      <c r="CK484" s="4"/>
      <c r="CL484" s="4" t="str">
        <f t="shared" si="408"/>
        <v/>
      </c>
      <c r="CM484" s="4" t="str">
        <f t="shared" si="409"/>
        <v/>
      </c>
      <c r="CN484" s="4" t="str">
        <f t="shared" ref="CN484:CN492" si="441">IF(OR(CL484="",CM484=""),"",IF(AND(CL484=0,CM484=0),"N/A",IF(AND(CL484=1,CM484=0),"COND. A",IF(AND(CL484=0,CM484=1),"COND. B",IF(AND(CL484=1,CM484=1),"COND. A Y B","")))))</f>
        <v/>
      </c>
      <c r="CO484" s="4"/>
      <c r="CP484" s="4"/>
      <c r="CQ484" s="29" t="str">
        <f>IF(OR(AN483="",CB484=""),"",IF(AN483="NO",CB484,0))</f>
        <v/>
      </c>
      <c r="CR484" s="29" t="str">
        <f>IF(OR(AN483="",AF484=""),"",IF(AN483="NO",AF484,0))</f>
        <v/>
      </c>
      <c r="CS484" s="4"/>
    </row>
    <row r="485" spans="1:97" ht="34.25" hidden="1" customHeight="1">
      <c r="B485" s="481"/>
      <c r="C485" s="118"/>
      <c r="D485" s="126" t="str">
        <f>+IFERROR(INDEX('DESEMPATE Y DISCAPACIDAD'!$D$3:$D$450,MATCH(C485,'DESEMPATE Y DISCAPACIDAD'!$C$3:$C$450,0)),"")</f>
        <v/>
      </c>
      <c r="E485" s="127" t="str">
        <f>IFERROR(IF(D485="","",IF(VLOOKUP(D485,'DESEMPATE Y DISCAPACIDAD'!D$3:$E$450,2,FALSE)=1,"N/A",IF(VLOOKUP(D485,'DESEMPATE Y DISCAPACIDAD'!D$3:$F$450,3,FALSE)="X","SI","NO"))),"")</f>
        <v/>
      </c>
      <c r="F485" s="121"/>
      <c r="G485" s="121"/>
      <c r="H485" s="125"/>
      <c r="I485" s="128"/>
      <c r="J485" s="125"/>
      <c r="K485" s="125"/>
      <c r="L485" s="125"/>
      <c r="M485" s="125"/>
      <c r="N485" s="125" t="str">
        <f t="shared" si="436"/>
        <v/>
      </c>
      <c r="O485" s="125" t="str">
        <f>IFERROR(IF(OR(J485="",L485=""),"",IF(J485="NO","NO",L485)),"")</f>
        <v/>
      </c>
      <c r="P485" s="125" t="str">
        <f t="shared" si="437"/>
        <v/>
      </c>
      <c r="Q485" s="125" t="str">
        <f t="shared" si="410"/>
        <v/>
      </c>
      <c r="R485" s="68"/>
      <c r="S485" s="129"/>
      <c r="T485" s="129"/>
      <c r="U485" s="125" t="str">
        <f t="shared" si="438"/>
        <v/>
      </c>
      <c r="V485" s="117" t="str">
        <f>IF(U485=2023,1160000,IFERROR(INDEX(SMMLV!$B$2:$B$101,MATCH(U485,SMMLV!$A$2:$A$101,0)),""))</f>
        <v/>
      </c>
      <c r="W485" s="117"/>
      <c r="X485" s="125"/>
      <c r="Y485" s="125"/>
      <c r="Z485" s="474"/>
      <c r="AA485" s="475"/>
      <c r="AB485" s="476"/>
      <c r="AC485" s="125" t="str">
        <f t="shared" si="439"/>
        <v/>
      </c>
      <c r="AD485" s="117" t="str">
        <f t="shared" si="411"/>
        <v/>
      </c>
      <c r="AE485" s="117" t="str">
        <f t="shared" si="407"/>
        <v/>
      </c>
      <c r="AF485" s="117" t="str">
        <f t="shared" si="405"/>
        <v/>
      </c>
      <c r="AG485" s="470"/>
      <c r="AH485" s="470"/>
      <c r="AI485" s="125" t="str">
        <f t="shared" si="406"/>
        <v/>
      </c>
      <c r="AJ485" s="470"/>
      <c r="AK485" s="470"/>
      <c r="AL485" s="472"/>
      <c r="AM485" s="496"/>
      <c r="AN485" s="125"/>
      <c r="AO485" s="490"/>
      <c r="AP485" s="125"/>
      <c r="AQ485" s="490"/>
      <c r="AR485" s="522"/>
      <c r="AS485" s="519"/>
      <c r="AT485" s="204"/>
      <c r="AU485" s="699"/>
      <c r="AV485" s="702"/>
      <c r="AW485" s="708"/>
      <c r="AX485" s="708"/>
      <c r="AY485" s="19"/>
      <c r="CB485" s="29" t="str">
        <f>IFERROR(IF(COUNTIF(AF483:AF492,"")=10,"",IF(COUNTIF(E483:E492,"N/A")&gt;0,IF(AF485&gt;=CMEMM1,AF485,0),"N/A")),"")</f>
        <v/>
      </c>
      <c r="CC485" s="4"/>
      <c r="CD485" s="4" t="str">
        <f>IFERROR(IF(COUNTIF(AF483:AF492,"")=10,"",IF(AF485="","",IF(AF485&gt;=CMEMM1,1,0))),"")</f>
        <v/>
      </c>
      <c r="CE485" s="4" t="str">
        <f>B483&amp;"-0"&amp;3</f>
        <v>P49-03</v>
      </c>
      <c r="CF485" s="4">
        <f>IFERROR(INDEX('DESEMPATE Y DISCAPACIDAD'!$D$3:$D$450,MATCH(CE485,'DESEMPATE Y DISCAPACIDAD'!$C$3:$C$450,0)),"")</f>
        <v>0</v>
      </c>
      <c r="CG485" s="4">
        <f>IF(OR(CE485="",CF485=""),"",SUMIF(D483:D492,CF485,CD483:CD492))</f>
        <v>0</v>
      </c>
      <c r="CH485" s="4" t="str">
        <f t="shared" si="435"/>
        <v>NO CUMPLE</v>
      </c>
      <c r="CI485" s="4">
        <f t="shared" si="440"/>
        <v>0</v>
      </c>
      <c r="CJ485" s="4"/>
      <c r="CK485" s="4"/>
      <c r="CL485" s="4" t="str">
        <f t="shared" si="408"/>
        <v/>
      </c>
      <c r="CM485" s="4" t="str">
        <f t="shared" si="409"/>
        <v/>
      </c>
      <c r="CN485" s="4" t="str">
        <f t="shared" si="441"/>
        <v/>
      </c>
      <c r="CO485" s="4"/>
      <c r="CP485" s="4"/>
      <c r="CQ485" s="29" t="str">
        <f t="shared" si="419"/>
        <v/>
      </c>
      <c r="CR485" s="29" t="str">
        <f t="shared" si="426"/>
        <v/>
      </c>
      <c r="CS485" s="4"/>
    </row>
    <row r="486" spans="1:97" ht="34.25" hidden="1" customHeight="1">
      <c r="B486" s="481"/>
      <c r="C486" s="118"/>
      <c r="D486" s="126" t="str">
        <f>+IFERROR(INDEX('DESEMPATE Y DISCAPACIDAD'!$D$3:$D$450,MATCH(C486,'DESEMPATE Y DISCAPACIDAD'!$C$3:$C$450,0)),"")</f>
        <v/>
      </c>
      <c r="E486" s="127" t="str">
        <f>IFERROR(IF(D486="","",IF(VLOOKUP(D486,'DESEMPATE Y DISCAPACIDAD'!D$3:$E$450,2,FALSE)=1,"N/A",IF(VLOOKUP(D486,'DESEMPATE Y DISCAPACIDAD'!D$3:$F$450,3,FALSE)="X","SI","NO"))),"")</f>
        <v/>
      </c>
      <c r="F486" s="141"/>
      <c r="G486" s="125"/>
      <c r="H486" s="125"/>
      <c r="I486" s="128"/>
      <c r="J486" s="125"/>
      <c r="K486" s="125"/>
      <c r="L486" s="125"/>
      <c r="M486" s="125"/>
      <c r="N486" s="125" t="str">
        <f t="shared" si="436"/>
        <v/>
      </c>
      <c r="O486" s="125" t="str">
        <f>IFERROR(IF(OR(J486="",L486=""),"",IF(J486="NO","NO",L486)),"")</f>
        <v/>
      </c>
      <c r="P486" s="125" t="str">
        <f t="shared" si="437"/>
        <v/>
      </c>
      <c r="Q486" s="125" t="str">
        <f t="shared" si="410"/>
        <v/>
      </c>
      <c r="R486" s="68"/>
      <c r="S486" s="129"/>
      <c r="T486" s="129"/>
      <c r="U486" s="125" t="str">
        <f t="shared" si="438"/>
        <v/>
      </c>
      <c r="V486" s="117" t="str">
        <f>IF(U486=2023,1160000,IFERROR(INDEX(SMMLV!$B$2:$B$101,MATCH(U486,SMMLV!$A$2:$A$101,0)),""))</f>
        <v/>
      </c>
      <c r="W486" s="117"/>
      <c r="X486" s="125"/>
      <c r="Y486" s="125"/>
      <c r="Z486" s="474"/>
      <c r="AA486" s="475"/>
      <c r="AB486" s="476"/>
      <c r="AC486" s="125" t="str">
        <f t="shared" si="439"/>
        <v/>
      </c>
      <c r="AD486" s="117" t="str">
        <f t="shared" si="411"/>
        <v/>
      </c>
      <c r="AE486" s="117" t="str">
        <f t="shared" si="407"/>
        <v/>
      </c>
      <c r="AF486" s="117" t="str">
        <f t="shared" si="405"/>
        <v/>
      </c>
      <c r="AG486" s="470"/>
      <c r="AH486" s="470"/>
      <c r="AI486" s="125" t="str">
        <f t="shared" si="406"/>
        <v/>
      </c>
      <c r="AJ486" s="470"/>
      <c r="AK486" s="470"/>
      <c r="AL486" s="472"/>
      <c r="AM486" s="496"/>
      <c r="AN486" s="125"/>
      <c r="AO486" s="490"/>
      <c r="AP486" s="125"/>
      <c r="AQ486" s="490"/>
      <c r="AR486" s="522"/>
      <c r="AS486" s="519"/>
      <c r="AT486" s="204"/>
      <c r="AU486" s="699"/>
      <c r="AV486" s="702"/>
      <c r="AW486" s="708"/>
      <c r="AX486" s="708"/>
      <c r="AY486" s="19"/>
      <c r="CB486" s="29" t="str">
        <f>IFERROR(IF(COUNTIF(AF483:AF492,"")=10,"",IF(COUNTIF(E483:E492,"N/A")&gt;0,IF(AF486&gt;=CMEMM1,AF486,0),"N/A")),"")</f>
        <v/>
      </c>
      <c r="CC486" s="4"/>
      <c r="CD486" s="4" t="str">
        <f>IFERROR(IF(COUNTIF(AF483:AF492,"")=10,"",IF(AF486="","",IF(AF486&gt;=CMEMM1,1,0))),"")</f>
        <v/>
      </c>
      <c r="CE486" s="4" t="str">
        <f>B483&amp;"-0"&amp;4</f>
        <v>P49-04</v>
      </c>
      <c r="CF486" s="4">
        <f>IFERROR(INDEX('DESEMPATE Y DISCAPACIDAD'!$D$3:$D$450,MATCH(CE486,'DESEMPATE Y DISCAPACIDAD'!$C$3:$C$450,0)),"")</f>
        <v>0</v>
      </c>
      <c r="CG486" s="4">
        <f>IF(OR(CE486="",CF486=""),"",SUMIF(D483:D492,CF486,CD483:CD492))</f>
        <v>0</v>
      </c>
      <c r="CH486" s="4" t="str">
        <f t="shared" si="435"/>
        <v>NO CUMPLE</v>
      </c>
      <c r="CI486" s="4">
        <f t="shared" si="440"/>
        <v>0</v>
      </c>
      <c r="CJ486" s="4"/>
      <c r="CK486" s="4"/>
      <c r="CL486" s="4" t="str">
        <f t="shared" si="408"/>
        <v/>
      </c>
      <c r="CM486" s="4" t="str">
        <f t="shared" si="409"/>
        <v/>
      </c>
      <c r="CN486" s="4" t="str">
        <f t="shared" si="441"/>
        <v/>
      </c>
      <c r="CO486" s="4"/>
      <c r="CP486" s="4"/>
      <c r="CQ486" s="29" t="str">
        <f t="shared" si="419"/>
        <v/>
      </c>
      <c r="CR486" s="29" t="str">
        <f t="shared" si="426"/>
        <v/>
      </c>
      <c r="CS486" s="4"/>
    </row>
    <row r="487" spans="1:97" ht="34.25" hidden="1" customHeight="1">
      <c r="B487" s="481"/>
      <c r="C487" s="118"/>
      <c r="D487" s="126" t="str">
        <f>+IFERROR(INDEX('DESEMPATE Y DISCAPACIDAD'!$D$3:$D$450,MATCH(C487,'DESEMPATE Y DISCAPACIDAD'!$C$3:$C$450,0)),"")</f>
        <v/>
      </c>
      <c r="E487" s="127" t="str">
        <f>IFERROR(IF(D487="","",IF(VLOOKUP(D487,'DESEMPATE Y DISCAPACIDAD'!D$3:$E$450,2,FALSE)=1,"N/A",IF(VLOOKUP(D487,'DESEMPATE Y DISCAPACIDAD'!D$3:$F$450,3,FALSE)="X","SI","NO"))),"")</f>
        <v/>
      </c>
      <c r="F487" s="125"/>
      <c r="G487" s="125"/>
      <c r="H487" s="125"/>
      <c r="I487" s="128"/>
      <c r="J487" s="125"/>
      <c r="K487" s="125"/>
      <c r="L487" s="125"/>
      <c r="M487" s="125"/>
      <c r="N487" s="125" t="str">
        <f t="shared" si="436"/>
        <v/>
      </c>
      <c r="O487" s="125" t="str">
        <f t="shared" ref="O487:O492" si="442">IFERROR(IF(OR(J487="",L487=""),"",IF(J487="NO","NO",L487)),"")</f>
        <v/>
      </c>
      <c r="P487" s="125" t="str">
        <f t="shared" si="437"/>
        <v/>
      </c>
      <c r="Q487" s="125" t="str">
        <f t="shared" si="410"/>
        <v/>
      </c>
      <c r="R487" s="68"/>
      <c r="S487" s="129"/>
      <c r="T487" s="129"/>
      <c r="U487" s="125" t="str">
        <f t="shared" si="438"/>
        <v/>
      </c>
      <c r="V487" s="117" t="str">
        <f>IF(U487=2023,1160000,IFERROR(INDEX(SMMLV!$B$2:$B$101,MATCH(U487,SMMLV!$A$2:$A$101,0)),""))</f>
        <v/>
      </c>
      <c r="W487" s="117"/>
      <c r="X487" s="125"/>
      <c r="Y487" s="125"/>
      <c r="Z487" s="474"/>
      <c r="AA487" s="475"/>
      <c r="AB487" s="476"/>
      <c r="AC487" s="125" t="str">
        <f t="shared" si="439"/>
        <v/>
      </c>
      <c r="AD487" s="117" t="str">
        <f t="shared" si="411"/>
        <v/>
      </c>
      <c r="AE487" s="117" t="str">
        <f t="shared" si="407"/>
        <v/>
      </c>
      <c r="AF487" s="117" t="str">
        <f t="shared" si="405"/>
        <v/>
      </c>
      <c r="AG487" s="470"/>
      <c r="AH487" s="470"/>
      <c r="AI487" s="125" t="str">
        <f t="shared" si="406"/>
        <v/>
      </c>
      <c r="AJ487" s="470"/>
      <c r="AK487" s="470"/>
      <c r="AL487" s="472"/>
      <c r="AM487" s="496"/>
      <c r="AN487" s="125"/>
      <c r="AO487" s="490"/>
      <c r="AP487" s="125"/>
      <c r="AQ487" s="490"/>
      <c r="AR487" s="522"/>
      <c r="AS487" s="519"/>
      <c r="AT487" s="204"/>
      <c r="AU487" s="699"/>
      <c r="AV487" s="702"/>
      <c r="AW487" s="708"/>
      <c r="AX487" s="708"/>
      <c r="AY487" s="19"/>
      <c r="CB487" s="29" t="str">
        <f>IFERROR(IF(COUNTIF(AF483:AF492,"")=10,"",IF(COUNTIF(E483:E492,"N/A")&gt;0,IF(AF487&gt;=CMEMM1,AF487,0),"N/A")),"")</f>
        <v/>
      </c>
      <c r="CC487" s="4"/>
      <c r="CD487" s="4" t="str">
        <f>IFERROR(IF(COUNTIF(AF483:AF492,"")=10,"",IF(AF487="","",IF(AF487&gt;=CMEMM1,1,0))),"")</f>
        <v/>
      </c>
      <c r="CE487" s="4" t="str">
        <f>B483&amp;"-0"&amp;5</f>
        <v>P49-05</v>
      </c>
      <c r="CF487" s="4">
        <f>IFERROR(INDEX('DESEMPATE Y DISCAPACIDAD'!$D$3:$D$450,MATCH(CE487,'DESEMPATE Y DISCAPACIDAD'!$C$3:$C$450,0)),"")</f>
        <v>0</v>
      </c>
      <c r="CG487" s="4">
        <f>IF(OR(CE487="",CF487=""),"",SUMIF(D483:D492,CF487,CD483:CD492))</f>
        <v>0</v>
      </c>
      <c r="CH487" s="4" t="str">
        <f t="shared" si="435"/>
        <v>NO CUMPLE</v>
      </c>
      <c r="CI487" s="4">
        <f t="shared" si="440"/>
        <v>0</v>
      </c>
      <c r="CJ487" s="4"/>
      <c r="CK487" s="4"/>
      <c r="CL487" s="4" t="str">
        <f t="shared" si="408"/>
        <v/>
      </c>
      <c r="CM487" s="4" t="str">
        <f t="shared" si="409"/>
        <v/>
      </c>
      <c r="CN487" s="4" t="str">
        <f t="shared" si="441"/>
        <v/>
      </c>
      <c r="CO487" s="4"/>
      <c r="CP487" s="4"/>
      <c r="CQ487" s="29" t="str">
        <f t="shared" si="419"/>
        <v/>
      </c>
      <c r="CR487" s="29" t="str">
        <f t="shared" si="426"/>
        <v/>
      </c>
      <c r="CS487" s="4"/>
    </row>
    <row r="488" spans="1:97" ht="34.25" hidden="1" customHeight="1">
      <c r="B488" s="481"/>
      <c r="C488" s="118"/>
      <c r="D488" s="126" t="str">
        <f>+IFERROR(INDEX('DESEMPATE Y DISCAPACIDAD'!$D$3:$D$450,MATCH(C488,'DESEMPATE Y DISCAPACIDAD'!$C$3:$C$450,0)),"")</f>
        <v/>
      </c>
      <c r="E488" s="127" t="str">
        <f>IFERROR(IF(D488="","",IF(VLOOKUP(D488,'DESEMPATE Y DISCAPACIDAD'!D$3:$E$450,2,FALSE)=1,"N/A",IF(VLOOKUP(D488,'DESEMPATE Y DISCAPACIDAD'!D$3:$F$450,3,FALSE)="X","SI","NO"))),"")</f>
        <v/>
      </c>
      <c r="F488" s="125"/>
      <c r="G488" s="125"/>
      <c r="H488" s="125"/>
      <c r="I488" s="128"/>
      <c r="J488" s="125"/>
      <c r="K488" s="125"/>
      <c r="L488" s="125"/>
      <c r="M488" s="125"/>
      <c r="N488" s="125" t="str">
        <f t="shared" si="436"/>
        <v/>
      </c>
      <c r="O488" s="125" t="str">
        <f t="shared" si="442"/>
        <v/>
      </c>
      <c r="P488" s="125" t="str">
        <f t="shared" si="437"/>
        <v/>
      </c>
      <c r="Q488" s="125" t="str">
        <f t="shared" si="410"/>
        <v/>
      </c>
      <c r="R488" s="68"/>
      <c r="S488" s="129"/>
      <c r="T488" s="129"/>
      <c r="U488" s="125" t="str">
        <f t="shared" si="438"/>
        <v/>
      </c>
      <c r="V488" s="117" t="str">
        <f>IF(U488=2023,1160000,IFERROR(INDEX(SMMLV!$B$2:$B$101,MATCH(U488,SMMLV!$A$2:$A$101,0)),""))</f>
        <v/>
      </c>
      <c r="W488" s="117"/>
      <c r="X488" s="125"/>
      <c r="Y488" s="125"/>
      <c r="Z488" s="474"/>
      <c r="AA488" s="475"/>
      <c r="AB488" s="476"/>
      <c r="AC488" s="125" t="str">
        <f t="shared" si="439"/>
        <v/>
      </c>
      <c r="AD488" s="117" t="str">
        <f t="shared" si="411"/>
        <v/>
      </c>
      <c r="AE488" s="117" t="str">
        <f t="shared" si="407"/>
        <v/>
      </c>
      <c r="AF488" s="117" t="str">
        <f t="shared" si="405"/>
        <v/>
      </c>
      <c r="AG488" s="470"/>
      <c r="AH488" s="470"/>
      <c r="AI488" s="125" t="str">
        <f t="shared" si="406"/>
        <v/>
      </c>
      <c r="AJ488" s="470"/>
      <c r="AK488" s="470"/>
      <c r="AL488" s="472"/>
      <c r="AM488" s="496"/>
      <c r="AN488" s="125"/>
      <c r="AO488" s="490"/>
      <c r="AP488" s="125"/>
      <c r="AQ488" s="490"/>
      <c r="AR488" s="522"/>
      <c r="AS488" s="519"/>
      <c r="AT488" s="204"/>
      <c r="AU488" s="699"/>
      <c r="AV488" s="702"/>
      <c r="AW488" s="708"/>
      <c r="AX488" s="708"/>
      <c r="AY488" s="19"/>
      <c r="CB488" s="29" t="str">
        <f>IFERROR(IF(COUNTIF(AF483:AF492,"")=10,"",IF(COUNTIF(E483:E492,"N/A")&gt;0,IF(AF488&gt;=CMEMM1,AF488,0),"N/A")),"")</f>
        <v/>
      </c>
      <c r="CC488" s="4"/>
      <c r="CD488" s="4" t="str">
        <f>IFERROR(IF(COUNTIF(AF483:AF492,"")=10,"",IF(AF488="","",IF(AF488&gt;=CMEMM1,1,0))),"")</f>
        <v/>
      </c>
      <c r="CE488" s="4" t="str">
        <f>B483&amp;"-0"&amp;6</f>
        <v>P49-06</v>
      </c>
      <c r="CF488" s="4">
        <f>IFERROR(INDEX('DESEMPATE Y DISCAPACIDAD'!$D$3:$D$450,MATCH(CE488,'DESEMPATE Y DISCAPACIDAD'!$C$3:$C$450,0)),"")</f>
        <v>0</v>
      </c>
      <c r="CG488" s="4">
        <f>IF(OR(CE488="",CF488=""),"",SUMIF(D483:D492,CF488,CD483:CD492))</f>
        <v>0</v>
      </c>
      <c r="CH488" s="4" t="str">
        <f t="shared" si="435"/>
        <v>NO CUMPLE</v>
      </c>
      <c r="CI488" s="4">
        <f t="shared" si="440"/>
        <v>0</v>
      </c>
      <c r="CJ488" s="4"/>
      <c r="CK488" s="4"/>
      <c r="CL488" s="4" t="str">
        <f t="shared" si="408"/>
        <v/>
      </c>
      <c r="CM488" s="4" t="str">
        <f t="shared" si="409"/>
        <v/>
      </c>
      <c r="CN488" s="4" t="str">
        <f t="shared" si="441"/>
        <v/>
      </c>
      <c r="CO488" s="4"/>
      <c r="CP488" s="4"/>
      <c r="CQ488" s="29" t="str">
        <f t="shared" si="419"/>
        <v/>
      </c>
      <c r="CR488" s="29" t="str">
        <f t="shared" si="426"/>
        <v/>
      </c>
      <c r="CS488" s="4"/>
    </row>
    <row r="489" spans="1:97" ht="34.25" hidden="1" customHeight="1">
      <c r="B489" s="481"/>
      <c r="C489" s="118"/>
      <c r="D489" s="126" t="str">
        <f>+IFERROR(INDEX('DESEMPATE Y DISCAPACIDAD'!$D$3:$D$450,MATCH(C489,'DESEMPATE Y DISCAPACIDAD'!$C$3:$C$450,0)),"")</f>
        <v/>
      </c>
      <c r="E489" s="127" t="str">
        <f>IFERROR(IF(D489="","",IF(VLOOKUP(D489,'DESEMPATE Y DISCAPACIDAD'!D$3:$E$450,2,FALSE)=1,"N/A",IF(VLOOKUP(D489,'DESEMPATE Y DISCAPACIDAD'!D$3:$F$450,3,FALSE)="X","SI","NO"))),"")</f>
        <v/>
      </c>
      <c r="F489" s="125"/>
      <c r="G489" s="125"/>
      <c r="H489" s="125"/>
      <c r="I489" s="128"/>
      <c r="J489" s="125"/>
      <c r="K489" s="125"/>
      <c r="L489" s="125"/>
      <c r="M489" s="125"/>
      <c r="N489" s="125" t="str">
        <f t="shared" si="436"/>
        <v/>
      </c>
      <c r="O489" s="125" t="str">
        <f t="shared" si="442"/>
        <v/>
      </c>
      <c r="P489" s="125" t="str">
        <f t="shared" si="437"/>
        <v/>
      </c>
      <c r="Q489" s="125" t="str">
        <f t="shared" si="410"/>
        <v/>
      </c>
      <c r="R489" s="68"/>
      <c r="S489" s="129"/>
      <c r="T489" s="129"/>
      <c r="U489" s="125" t="str">
        <f t="shared" si="438"/>
        <v/>
      </c>
      <c r="V489" s="117" t="str">
        <f>IF(U489=2023,1160000,IFERROR(INDEX(SMMLV!$B$2:$B$101,MATCH(U489,SMMLV!$A$2:$A$101,0)),""))</f>
        <v/>
      </c>
      <c r="W489" s="117"/>
      <c r="X489" s="125"/>
      <c r="Y489" s="125"/>
      <c r="Z489" s="474"/>
      <c r="AA489" s="475"/>
      <c r="AB489" s="476"/>
      <c r="AC489" s="125" t="str">
        <f t="shared" si="439"/>
        <v/>
      </c>
      <c r="AD489" s="117" t="str">
        <f t="shared" si="411"/>
        <v/>
      </c>
      <c r="AE489" s="117" t="str">
        <f t="shared" si="407"/>
        <v/>
      </c>
      <c r="AF489" s="117" t="str">
        <f t="shared" si="405"/>
        <v/>
      </c>
      <c r="AG489" s="470"/>
      <c r="AH489" s="470"/>
      <c r="AI489" s="125" t="str">
        <f t="shared" si="406"/>
        <v/>
      </c>
      <c r="AJ489" s="470"/>
      <c r="AK489" s="470"/>
      <c r="AL489" s="472"/>
      <c r="AM489" s="496"/>
      <c r="AN489" s="125"/>
      <c r="AO489" s="490"/>
      <c r="AP489" s="125"/>
      <c r="AQ489" s="490"/>
      <c r="AR489" s="522"/>
      <c r="AS489" s="519"/>
      <c r="AT489" s="204"/>
      <c r="AU489" s="699"/>
      <c r="AV489" s="702"/>
      <c r="AW489" s="708"/>
      <c r="AX489" s="708"/>
      <c r="AY489" s="19"/>
      <c r="CB489" s="29" t="str">
        <f>IFERROR(IF(COUNTIF(AF483:AF492,"")=10,"",IF(COUNTIF(E483:E492,"N/A")&gt;0,IF(AF489&gt;=CMEMM1,AF489,0),"N/A")),"")</f>
        <v/>
      </c>
      <c r="CC489" s="4"/>
      <c r="CD489" s="4" t="str">
        <f>IFERROR(IF(COUNTIF(AF483:AF492,"")=10,"",IF(AF489="","",IF(AF489&gt;=CMEMM1,1,0))),"")</f>
        <v/>
      </c>
      <c r="CE489" s="4" t="str">
        <f>B483&amp;"-0"&amp;7</f>
        <v>P49-07</v>
      </c>
      <c r="CF489" s="4" t="str">
        <f>IFERROR(INDEX('DESEMPATE Y DISCAPACIDAD'!$D$3:$D$450,MATCH(CE489,'DESEMPATE Y DISCAPACIDAD'!$C$3:$C$450,0)),"")</f>
        <v/>
      </c>
      <c r="CG489" s="4" t="str">
        <f>IF(OR(CE489="",CF489=""),"",SUMIF(D483:D492,CF489,CD483:CD492))</f>
        <v/>
      </c>
      <c r="CH489" s="4" t="str">
        <f t="shared" si="435"/>
        <v/>
      </c>
      <c r="CI489" s="4" t="str">
        <f t="shared" si="440"/>
        <v/>
      </c>
      <c r="CJ489" s="4"/>
      <c r="CK489" s="4"/>
      <c r="CL489" s="4" t="str">
        <f t="shared" si="408"/>
        <v/>
      </c>
      <c r="CM489" s="4" t="str">
        <f t="shared" si="409"/>
        <v/>
      </c>
      <c r="CN489" s="4" t="str">
        <f t="shared" si="441"/>
        <v/>
      </c>
      <c r="CO489" s="4"/>
      <c r="CP489" s="4"/>
      <c r="CQ489" s="29" t="str">
        <f t="shared" si="419"/>
        <v/>
      </c>
      <c r="CR489" s="29" t="str">
        <f t="shared" si="426"/>
        <v/>
      </c>
      <c r="CS489" s="4"/>
    </row>
    <row r="490" spans="1:97" ht="34.25" hidden="1" customHeight="1">
      <c r="B490" s="481"/>
      <c r="C490" s="118"/>
      <c r="D490" s="126" t="str">
        <f>+IFERROR(INDEX('DESEMPATE Y DISCAPACIDAD'!$D$3:$D$450,MATCH(C490,'DESEMPATE Y DISCAPACIDAD'!$C$3:$C$450,0)),"")</f>
        <v/>
      </c>
      <c r="E490" s="127" t="str">
        <f>IFERROR(IF(D490="","",IF(VLOOKUP(D490,'DESEMPATE Y DISCAPACIDAD'!D$3:$E$450,2,FALSE)=1,"N/A",IF(VLOOKUP(D490,'DESEMPATE Y DISCAPACIDAD'!D$3:$F$450,3,FALSE)="X","SI","NO"))),"")</f>
        <v/>
      </c>
      <c r="F490" s="125"/>
      <c r="G490" s="125"/>
      <c r="H490" s="125"/>
      <c r="I490" s="128"/>
      <c r="J490" s="125"/>
      <c r="K490" s="125"/>
      <c r="L490" s="125"/>
      <c r="M490" s="125"/>
      <c r="N490" s="125" t="str">
        <f t="shared" si="436"/>
        <v/>
      </c>
      <c r="O490" s="125" t="str">
        <f t="shared" si="442"/>
        <v/>
      </c>
      <c r="P490" s="125" t="str">
        <f t="shared" si="437"/>
        <v/>
      </c>
      <c r="Q490" s="125" t="str">
        <f t="shared" si="410"/>
        <v/>
      </c>
      <c r="R490" s="68"/>
      <c r="S490" s="129"/>
      <c r="T490" s="129"/>
      <c r="U490" s="125" t="str">
        <f t="shared" si="438"/>
        <v/>
      </c>
      <c r="V490" s="117" t="str">
        <f>IF(U490=2023,1160000,IFERROR(INDEX(SMMLV!$B$2:$B$101,MATCH(U490,SMMLV!$A$2:$A$101,0)),""))</f>
        <v/>
      </c>
      <c r="W490" s="117"/>
      <c r="X490" s="125"/>
      <c r="Y490" s="125"/>
      <c r="Z490" s="474"/>
      <c r="AA490" s="475"/>
      <c r="AB490" s="476"/>
      <c r="AC490" s="125" t="str">
        <f t="shared" si="439"/>
        <v/>
      </c>
      <c r="AD490" s="117" t="str">
        <f t="shared" si="411"/>
        <v/>
      </c>
      <c r="AE490" s="117" t="str">
        <f t="shared" si="407"/>
        <v/>
      </c>
      <c r="AF490" s="117" t="str">
        <f t="shared" si="405"/>
        <v/>
      </c>
      <c r="AG490" s="470"/>
      <c r="AH490" s="470"/>
      <c r="AI490" s="125" t="str">
        <f t="shared" si="406"/>
        <v/>
      </c>
      <c r="AJ490" s="470"/>
      <c r="AK490" s="470"/>
      <c r="AL490" s="472"/>
      <c r="AM490" s="496"/>
      <c r="AN490" s="125"/>
      <c r="AO490" s="490"/>
      <c r="AP490" s="125"/>
      <c r="AQ490" s="490"/>
      <c r="AR490" s="522"/>
      <c r="AS490" s="519"/>
      <c r="AT490" s="204"/>
      <c r="AU490" s="699"/>
      <c r="AV490" s="702"/>
      <c r="AW490" s="708"/>
      <c r="AX490" s="708"/>
      <c r="AY490" s="19"/>
      <c r="CB490" s="29" t="str">
        <f>IFERROR(IF(COUNTIF(AF483:AF492,"")=10,"",IF(COUNTIF(E483:E492,"N/A")&gt;0,IF(AF490&gt;=CMEMM1,AF490,0),"N/A")),"")</f>
        <v/>
      </c>
      <c r="CC490" s="4"/>
      <c r="CD490" s="4" t="str">
        <f>IFERROR(IF(COUNTIF(AF483:AF492,"")=10,"",IF(AF490="","",IF(AF490&gt;=CMEMM1,1,0))),"")</f>
        <v/>
      </c>
      <c r="CE490" s="4" t="str">
        <f>B483&amp;"-0"&amp;8</f>
        <v>P49-08</v>
      </c>
      <c r="CF490" s="4" t="str">
        <f>IFERROR(INDEX('DESEMPATE Y DISCAPACIDAD'!$D$3:$D$450,MATCH(CE490,'DESEMPATE Y DISCAPACIDAD'!$C$3:$C$450,0)),"")</f>
        <v/>
      </c>
      <c r="CG490" s="4" t="str">
        <f>IF(OR(CE490="",CF490=""),"",SUMIF(D483:D492,CF490,CD483:CD492))</f>
        <v/>
      </c>
      <c r="CH490" s="4" t="str">
        <f t="shared" si="435"/>
        <v/>
      </c>
      <c r="CI490" s="4" t="str">
        <f t="shared" si="440"/>
        <v/>
      </c>
      <c r="CJ490" s="4"/>
      <c r="CK490" s="4"/>
      <c r="CL490" s="4" t="str">
        <f t="shared" si="408"/>
        <v/>
      </c>
      <c r="CM490" s="4" t="str">
        <f t="shared" si="409"/>
        <v/>
      </c>
      <c r="CN490" s="4" t="str">
        <f t="shared" si="441"/>
        <v/>
      </c>
      <c r="CO490" s="4"/>
      <c r="CP490" s="4"/>
      <c r="CQ490" s="29" t="str">
        <f t="shared" si="419"/>
        <v/>
      </c>
      <c r="CR490" s="29" t="str">
        <f t="shared" si="426"/>
        <v/>
      </c>
      <c r="CS490" s="4"/>
    </row>
    <row r="491" spans="1:97" ht="34.25" hidden="1" customHeight="1">
      <c r="B491" s="481"/>
      <c r="C491" s="118"/>
      <c r="D491" s="126" t="str">
        <f>+IFERROR(INDEX('DESEMPATE Y DISCAPACIDAD'!$D$3:$D$450,MATCH(C491,'DESEMPATE Y DISCAPACIDAD'!$C$3:$C$450,0)),"")</f>
        <v/>
      </c>
      <c r="E491" s="127" t="str">
        <f>IFERROR(IF(D491="","",IF(VLOOKUP(D491,'DESEMPATE Y DISCAPACIDAD'!D$3:$E$450,2,FALSE)=1,"N/A",IF(VLOOKUP(D491,'DESEMPATE Y DISCAPACIDAD'!D$3:$F$450,3,FALSE)="X","SI","NO"))),"")</f>
        <v/>
      </c>
      <c r="F491" s="125"/>
      <c r="G491" s="125"/>
      <c r="H491" s="125"/>
      <c r="I491" s="128"/>
      <c r="J491" s="125"/>
      <c r="K491" s="125"/>
      <c r="L491" s="125"/>
      <c r="M491" s="125"/>
      <c r="N491" s="125" t="str">
        <f t="shared" si="436"/>
        <v/>
      </c>
      <c r="O491" s="125" t="str">
        <f t="shared" si="442"/>
        <v/>
      </c>
      <c r="P491" s="125" t="str">
        <f t="shared" si="437"/>
        <v/>
      </c>
      <c r="Q491" s="125" t="str">
        <f t="shared" si="410"/>
        <v/>
      </c>
      <c r="R491" s="68"/>
      <c r="S491" s="129"/>
      <c r="T491" s="129"/>
      <c r="U491" s="125" t="str">
        <f t="shared" si="438"/>
        <v/>
      </c>
      <c r="V491" s="117" t="str">
        <f>IF(U491=2023,1160000,IFERROR(INDEX(SMMLV!$B$2:$B$101,MATCH(U491,SMMLV!$A$2:$A$101,0)),""))</f>
        <v/>
      </c>
      <c r="W491" s="117"/>
      <c r="X491" s="125"/>
      <c r="Y491" s="125"/>
      <c r="Z491" s="474"/>
      <c r="AA491" s="475"/>
      <c r="AB491" s="476"/>
      <c r="AC491" s="125" t="str">
        <f t="shared" si="439"/>
        <v/>
      </c>
      <c r="AD491" s="117" t="str">
        <f t="shared" si="411"/>
        <v/>
      </c>
      <c r="AE491" s="117" t="str">
        <f t="shared" si="407"/>
        <v/>
      </c>
      <c r="AF491" s="117" t="str">
        <f t="shared" si="405"/>
        <v/>
      </c>
      <c r="AG491" s="470"/>
      <c r="AH491" s="470"/>
      <c r="AI491" s="125" t="str">
        <f t="shared" si="406"/>
        <v/>
      </c>
      <c r="AJ491" s="470"/>
      <c r="AK491" s="470"/>
      <c r="AL491" s="472"/>
      <c r="AM491" s="496"/>
      <c r="AN491" s="125"/>
      <c r="AO491" s="490"/>
      <c r="AP491" s="125"/>
      <c r="AQ491" s="490"/>
      <c r="AR491" s="522"/>
      <c r="AS491" s="519"/>
      <c r="AT491" s="204"/>
      <c r="AU491" s="699"/>
      <c r="AV491" s="702"/>
      <c r="AW491" s="708"/>
      <c r="AX491" s="708"/>
      <c r="AY491" s="19"/>
      <c r="CB491" s="29" t="str">
        <f>IFERROR(IF(COUNTIF(AF483:AF492,"")=10,"",IF(COUNTIF(E483:E492,"N/A")&gt;0,IF(AF491&gt;=CMEMM1,AF491,0),"N/A")),"")</f>
        <v/>
      </c>
      <c r="CC491" s="4"/>
      <c r="CD491" s="4" t="str">
        <f>IFERROR(IF(COUNTIF(AF483:AF492,"")=10,"",IF(AF491="","",IF(AF491&gt;=CMEMM1,1,0))),"")</f>
        <v/>
      </c>
      <c r="CE491" s="4" t="str">
        <f>B483&amp;"-0"&amp;9</f>
        <v>P49-09</v>
      </c>
      <c r="CF491" s="4" t="str">
        <f>IFERROR(INDEX('DESEMPATE Y DISCAPACIDAD'!$D$3:$D$450,MATCH(CE491,'DESEMPATE Y DISCAPACIDAD'!$C$3:$C$450,0)),"")</f>
        <v/>
      </c>
      <c r="CG491" s="4" t="str">
        <f>IF(OR(CE491="",CF491=""),"",SUMIF(D483:D492,CF491,CD483:CD492))</f>
        <v/>
      </c>
      <c r="CH491" s="4" t="str">
        <f t="shared" si="435"/>
        <v/>
      </c>
      <c r="CI491" s="4" t="str">
        <f t="shared" si="440"/>
        <v/>
      </c>
      <c r="CJ491" s="4"/>
      <c r="CK491" s="4"/>
      <c r="CL491" s="4" t="str">
        <f t="shared" si="408"/>
        <v/>
      </c>
      <c r="CM491" s="4" t="str">
        <f t="shared" si="409"/>
        <v/>
      </c>
      <c r="CN491" s="4" t="str">
        <f t="shared" si="441"/>
        <v/>
      </c>
      <c r="CO491" s="4"/>
      <c r="CP491" s="4"/>
      <c r="CQ491" s="29" t="str">
        <f t="shared" si="419"/>
        <v/>
      </c>
      <c r="CR491" s="29" t="str">
        <f t="shared" si="426"/>
        <v/>
      </c>
      <c r="CS491" s="4"/>
    </row>
    <row r="492" spans="1:97" ht="34.25" hidden="1" customHeight="1" thickBot="1">
      <c r="B492" s="482"/>
      <c r="C492" s="130"/>
      <c r="D492" s="131" t="str">
        <f>+IFERROR(INDEX('DESEMPATE Y DISCAPACIDAD'!$D$3:$D$450,MATCH(C492,'DESEMPATE Y DISCAPACIDAD'!$C$3:$C$450,0)),"")</f>
        <v/>
      </c>
      <c r="E492" s="132" t="str">
        <f>IFERROR(IF(D492="","",IF(VLOOKUP(D492,'DESEMPATE Y DISCAPACIDAD'!D$3:$E$450,2,FALSE)=1,"N/A",IF(VLOOKUP(D492,'DESEMPATE Y DISCAPACIDAD'!D$3:$F$450,3,FALSE)="X","SI","NO"))),"")</f>
        <v/>
      </c>
      <c r="F492" s="133"/>
      <c r="G492" s="133"/>
      <c r="H492" s="133"/>
      <c r="I492" s="134"/>
      <c r="J492" s="133"/>
      <c r="K492" s="133"/>
      <c r="L492" s="133"/>
      <c r="M492" s="133"/>
      <c r="N492" s="133" t="str">
        <f t="shared" si="436"/>
        <v/>
      </c>
      <c r="O492" s="133" t="str">
        <f t="shared" si="442"/>
        <v/>
      </c>
      <c r="P492" s="133" t="str">
        <f t="shared" si="437"/>
        <v/>
      </c>
      <c r="Q492" s="133" t="str">
        <f t="shared" si="410"/>
        <v/>
      </c>
      <c r="R492" s="104"/>
      <c r="S492" s="135"/>
      <c r="T492" s="135"/>
      <c r="U492" s="133" t="str">
        <f t="shared" si="438"/>
        <v/>
      </c>
      <c r="V492" s="136" t="str">
        <f>IF(U492=2023,1160000,IFERROR(INDEX(SMMLV!$B$2:$B$101,MATCH(U492,SMMLV!$A$2:$A$101,0)),""))</f>
        <v/>
      </c>
      <c r="W492" s="136"/>
      <c r="X492" s="133"/>
      <c r="Y492" s="133"/>
      <c r="Z492" s="487"/>
      <c r="AA492" s="488"/>
      <c r="AB492" s="489"/>
      <c r="AC492" s="133" t="str">
        <f t="shared" si="439"/>
        <v/>
      </c>
      <c r="AD492" s="136" t="str">
        <f t="shared" si="411"/>
        <v/>
      </c>
      <c r="AE492" s="117" t="str">
        <f t="shared" si="407"/>
        <v/>
      </c>
      <c r="AF492" s="136" t="str">
        <f t="shared" si="405"/>
        <v/>
      </c>
      <c r="AG492" s="471"/>
      <c r="AH492" s="471"/>
      <c r="AI492" s="133" t="str">
        <f t="shared" si="406"/>
        <v/>
      </c>
      <c r="AJ492" s="471"/>
      <c r="AK492" s="471"/>
      <c r="AL492" s="473"/>
      <c r="AM492" s="497"/>
      <c r="AN492" s="133"/>
      <c r="AO492" s="491"/>
      <c r="AP492" s="133"/>
      <c r="AQ492" s="491"/>
      <c r="AR492" s="523"/>
      <c r="AS492" s="520"/>
      <c r="AT492" s="206"/>
      <c r="AU492" s="700"/>
      <c r="AV492" s="703"/>
      <c r="AW492" s="709"/>
      <c r="AX492" s="709"/>
      <c r="AY492" s="19"/>
      <c r="CB492" s="29" t="str">
        <f>IFERROR(IF(COUNTIF(AF483:AF492,"")=10,"",IF(COUNTIF(E483:E492,"N/A")&gt;0,IF(AF492&gt;=CMEMM1,AF492,0),"N/A")),"")</f>
        <v/>
      </c>
      <c r="CC492" s="4"/>
      <c r="CD492" s="4" t="str">
        <f>IFERROR(IF(COUNTIF(AF483:AF492,"")=10,"",IF(AF492="","",IF(AF492&gt;=CMEMM1,1,0))),"")</f>
        <v/>
      </c>
      <c r="CE492" s="4" t="str">
        <f>B483&amp;"-"&amp;10</f>
        <v>P49-10</v>
      </c>
      <c r="CF492" s="4" t="str">
        <f>IFERROR(INDEX('DESEMPATE Y DISCAPACIDAD'!$D$3:$D$450,MATCH(CE492,'DESEMPATE Y DISCAPACIDAD'!$C$3:$C$450,0)),"")</f>
        <v/>
      </c>
      <c r="CG492" s="4" t="str">
        <f>IF(OR(CE492="",CF492=""),"",SUMIF(D483:D492,CF492,CD483:CD492))</f>
        <v/>
      </c>
      <c r="CH492" s="4" t="str">
        <f t="shared" si="435"/>
        <v/>
      </c>
      <c r="CI492" s="4" t="str">
        <f t="shared" si="440"/>
        <v/>
      </c>
      <c r="CJ492" s="4"/>
      <c r="CK492" s="4"/>
      <c r="CL492" s="4" t="str">
        <f t="shared" si="408"/>
        <v/>
      </c>
      <c r="CM492" s="4" t="str">
        <f t="shared" si="409"/>
        <v/>
      </c>
      <c r="CN492" s="4" t="str">
        <f t="shared" si="441"/>
        <v/>
      </c>
      <c r="CO492" s="4"/>
      <c r="CP492" s="4"/>
      <c r="CQ492" s="29" t="str">
        <f t="shared" si="419"/>
        <v/>
      </c>
      <c r="CR492" s="29" t="str">
        <f t="shared" si="426"/>
        <v/>
      </c>
      <c r="CS492" s="4"/>
    </row>
    <row r="493" spans="1:97" ht="34.25" hidden="1" customHeight="1">
      <c r="A493" s="4" t="str">
        <f>"A"&amp;B493</f>
        <v>AP50</v>
      </c>
      <c r="B493" s="480" t="s">
        <v>311</v>
      </c>
      <c r="C493" s="108"/>
      <c r="D493" s="119" t="str">
        <f>+IFERROR(INDEX('DESEMPATE Y DISCAPACIDAD'!$D$3:$D$450,MATCH(C493,'DESEMPATE Y DISCAPACIDAD'!$C$3:$C$450,0)),"")</f>
        <v/>
      </c>
      <c r="E493" s="120" t="str">
        <f>IFERROR(IF(D493="","",IF(VLOOKUP(D493,'DESEMPATE Y DISCAPACIDAD'!D$3:$E$450,2,FALSE)=1,"N/A",IF(VLOOKUP(D493,'DESEMPATE Y DISCAPACIDAD'!D$3:$F$450,3,FALSE)="X","SI","NO"))),"")</f>
        <v/>
      </c>
      <c r="F493" s="125"/>
      <c r="G493" s="125"/>
      <c r="H493" s="121"/>
      <c r="I493" s="122"/>
      <c r="J493" s="121"/>
      <c r="K493" s="125"/>
      <c r="L493" s="125"/>
      <c r="M493" s="125"/>
      <c r="N493" s="121" t="str">
        <f>IFERROR(IF(OR(J493="",K493=""),"",IF(J493="NO","NO",K493)),"")</f>
        <v/>
      </c>
      <c r="O493" s="121" t="str">
        <f>IFERROR(IF(OR(J493="",L493=""),"",IF(J493="NO","NO",L493)),"")</f>
        <v/>
      </c>
      <c r="P493" s="121" t="str">
        <f>IFERROR(IF(OR(J493="",M493=""),"",IF(J493="NO","NO",M493)),"")</f>
        <v/>
      </c>
      <c r="Q493" s="121" t="str">
        <f t="shared" si="410"/>
        <v/>
      </c>
      <c r="R493" s="103"/>
      <c r="S493" s="123"/>
      <c r="T493" s="123"/>
      <c r="U493" s="121" t="str">
        <f>IFERROR(IF(T493="","",YEAR(T493)),"")</f>
        <v/>
      </c>
      <c r="V493" s="124" t="str">
        <f>IF(U493=2023,1160000,IFERROR(INDEX(SMMLV!$B$2:$B$101,MATCH(U493,SMMLV!$A$2:$A$101,0)),""))</f>
        <v/>
      </c>
      <c r="W493" s="124"/>
      <c r="X493" s="121"/>
      <c r="Y493" s="121"/>
      <c r="Z493" s="483"/>
      <c r="AA493" s="484"/>
      <c r="AB493" s="485"/>
      <c r="AC493" s="121" t="str">
        <f>IFERROR(IF(Y493="","",IF(ISNUMBER(Y493),IF(COUNTIF(Z493,"SI")&gt;0,"SI","NO"),Y493)),"")</f>
        <v/>
      </c>
      <c r="AD493" s="124" t="str">
        <f t="shared" si="411"/>
        <v/>
      </c>
      <c r="AE493" s="117" t="str">
        <f t="shared" si="407"/>
        <v/>
      </c>
      <c r="AF493" s="124" t="str">
        <f t="shared" si="405"/>
        <v/>
      </c>
      <c r="AG493" s="486" t="str">
        <f>IFERROR(IF(COUNTIF(AF493:AF502,"")=10,"",IF(COUNTIF(E493:E502,"N/A")&gt;0,IF(SUM(CB493:CB502)&gt;=CMEM1,"CUMPLE","NO CUMPLE"),IF(SUM(AF493:AF502)&gt;=CMEM1,"CUMPLE","NO CUMPLE"))),"")</f>
        <v/>
      </c>
      <c r="AH493" s="486" t="str">
        <f>IF(COUNTIF(AF493:AF502,"")=10,"",IF(SUMIF(C493:C502,C493,AF493:AF502)&gt;=CMLM1,"CUMPLE",IF(SUMIF(C493:C502,C494,AF493:AF502)&gt;=CMLM1,"CUMPLE",IF(SUMIF(C493:C502,C495,AF493:AF502)&gt;=CMLM1,"CUMPLE",IF(SUMIF(C493:C502,C496,AF493:AF502)&gt;=CMLM1,"CUMPLE",IF(SUMIF(C493:C502,C497,AF493:AF502)&gt;=CMLM1,"CUMPLE",IF(SUMIF(C493:C502,C498,AF493:AF502)&gt;=CMLM1,"CUMPLE",IF(SUMIF(C493:C502,C499,AF493:AF502)&gt;=CMLM1,"CUMPLE",IF(SUMIF(C493:C502,C500,AF493:AF502)&gt;=CMLM1,"CUMPLE",IF(SUMIF(C493:C502,C501,AF493:AF502)&gt;=CMLM1,"CUMPLE",IF(SUMIF(C493:C502,C502,AF493:AF502)&gt;=CMLM1,"CUMPLE","NO CUMPLE")))))))))))</f>
        <v/>
      </c>
      <c r="AI493" s="121" t="str">
        <f t="shared" si="406"/>
        <v/>
      </c>
      <c r="AJ493" s="469" t="str">
        <f>IFERROR(IF(COUNTIF(AF493:AF502,"")=10,"",IF(COUNTIF(E493:E502,"N/A")&gt;0,"N/A",CJ493)),"")</f>
        <v/>
      </c>
      <c r="AK493" s="469" t="str">
        <f>IFERROR(IF(AND(COUNTIF(N493:N502,"SI")&gt;=1,COUNTIF(O493:O502,"SI")&gt;=1,COUNTIF(P493:P502,"SI")&gt;=1,COUNTIF(J493:J502,"SI")&lt;=10,CO493="CUMPLE"),"CUMPLE","NO CUMPLE"),"")</f>
        <v>NO CUMPLE</v>
      </c>
      <c r="AL493" s="472"/>
      <c r="AM493" s="495">
        <f>IFERROR(IF(B493&lt;&gt;"",IF(VLOOKUP(B493,'DESEMPATE Y DISCAPACIDAD'!$A$3:$Q$450,10,FALSE)="","",VLOOKUP(B493,'DESEMPATE Y DISCAPACIDAD'!$A$3:$Q$450,10,FALSE)+6),""),"")</f>
        <v>6</v>
      </c>
      <c r="AN493" s="121"/>
      <c r="AO493" s="490"/>
      <c r="AP493" s="125"/>
      <c r="AQ493" s="490" t="str">
        <f>IFERROR(IF(COUNTIF(AP493:AP502,"")=10,"",IF(AO493="NO",0,COUNTIF(AP493:AP502,"SI"))),"")</f>
        <v/>
      </c>
      <c r="AR493" s="521" t="str">
        <f>IFERROR(IF(COUNTIF(AF493:AF502,"")=10,"",IF(AO493="NO",0,IF(COUNTIF(E493:E502,"N/A")&gt;0,SUM(CQ493:CQ502),SUM(CR493:CR502)))),"")</f>
        <v/>
      </c>
      <c r="AS493" s="518" t="str">
        <f>IFERROR(IF(OR(COUNTIF(AF493:AF502,"")=10,AQ493="",AR493=""),"",IF(AO493="NO",0,AR493/AQ493)),"")</f>
        <v/>
      </c>
      <c r="AT493" s="207"/>
      <c r="AU493" s="698"/>
      <c r="AV493" s="701"/>
      <c r="AW493" s="707"/>
      <c r="AX493" s="719"/>
      <c r="AY493" s="19"/>
      <c r="CB493" s="29" t="str">
        <f>IFERROR(IF(COUNTIF(AF493:AF502,"")=10,"",IF(COUNTIF(E493:E502,"N/A")&gt;0,IF(AF493&gt;=CMEMM1,AF493,0),"N/A")),"")</f>
        <v/>
      </c>
      <c r="CC493" s="4"/>
      <c r="CD493" s="4" t="str">
        <f>IFERROR(IF(COUNTIF(AF493:AF502,"")=10,"",IF(AF493="","",IF(AF493&gt;=CMEMM1,1,0))),"")</f>
        <v/>
      </c>
      <c r="CE493" s="4" t="str">
        <f>B493&amp;"-0"&amp;1</f>
        <v>P50-01</v>
      </c>
      <c r="CF493" s="4">
        <f>IFERROR(INDEX('DESEMPATE Y DISCAPACIDAD'!$D$3:$D$450,MATCH(CE493,'DESEMPATE Y DISCAPACIDAD'!$C$3:$C$450,0)),"")</f>
        <v>0</v>
      </c>
      <c r="CG493" s="4">
        <f>IF(OR(CE493="",CF493=""),"",SUMIF(D493:D502,CF493,CD493:CD502))</f>
        <v>0</v>
      </c>
      <c r="CH493" s="4" t="str">
        <f t="shared" si="435"/>
        <v>NO CUMPLE</v>
      </c>
      <c r="CI493" s="4">
        <f>IF(CF493="","",IF(ISTEXT(CF493),1,0))</f>
        <v>0</v>
      </c>
      <c r="CJ493" s="4" t="str">
        <f>IF(OR(CD493="",CE493="",CF493="",CG493="",CH493="",CI493=""),"",IF(COUNTIF(CH493:CH502,"CUMPLE")=COUNTIF(CI493:CI502,1),"CUMPLE","NO CUMPLE"))</f>
        <v/>
      </c>
      <c r="CK493" s="4"/>
      <c r="CL493" s="4" t="str">
        <f t="shared" si="408"/>
        <v/>
      </c>
      <c r="CM493" s="4" t="str">
        <f t="shared" si="409"/>
        <v/>
      </c>
      <c r="CN493" s="4" t="str">
        <f>IF(OR(CL493="",CM493=""),"",IF(AND(CL493=0,CM493=0),"N/A",IF(AND(CL493=1,CM493=0),"COND. A",IF(AND(CL493=0,CM493=1),"COND. B",IF(AND(CL493=1,CM493=1),"COND. A Y B","")))))</f>
        <v/>
      </c>
      <c r="CO493" s="4" t="str">
        <f>IF(COUNTIF(CN493:CN502,"N/A")=10,"NO CUMPLE",IF(COUNTIF(CN493:CN502,"COND. A Y B")&gt;1,"CUMPLE",IF(AND(COUNTIF(CN493:CN502,"COND. A")&gt;0,COUNTIF(CN493:CN502,"COND. B")&gt;0),"CUMPLE",IF(AND(COUNTIF(CN493:CN502,"COND. A Y B")&gt;0,COUNTIF(CN493:CN502,"COND. A")&gt;0),"CUMPLE",IF(AND(COUNTIF(CN493:CN502,"COND. A Y B")&gt;0,COUNTIF(CN493:CN502,"COND. B")&gt;0),"CUMPLE","NO CUMPLE")))))</f>
        <v>NO CUMPLE</v>
      </c>
      <c r="CP493" s="4"/>
      <c r="CQ493" s="29" t="str">
        <f t="shared" si="419"/>
        <v/>
      </c>
      <c r="CR493" s="29" t="str">
        <f t="shared" si="426"/>
        <v/>
      </c>
      <c r="CS493" s="4"/>
    </row>
    <row r="494" spans="1:97" ht="34.25" hidden="1" customHeight="1">
      <c r="B494" s="481"/>
      <c r="C494" s="118"/>
      <c r="D494" s="119" t="str">
        <f>+IFERROR(INDEX('DESEMPATE Y DISCAPACIDAD'!$D$3:$D$450,MATCH(C494,'DESEMPATE Y DISCAPACIDAD'!$C$3:$C$450,0)),"")</f>
        <v/>
      </c>
      <c r="E494" s="120" t="str">
        <f>IFERROR(IF(D494="","",IF(VLOOKUP(D494,'DESEMPATE Y DISCAPACIDAD'!D$3:$E$450,2,FALSE)=1,"N/A",IF(VLOOKUP(D494,'DESEMPATE Y DISCAPACIDAD'!D$3:$F$450,3,FALSE)="X","SI","NO"))),"")</f>
        <v/>
      </c>
      <c r="F494" s="125"/>
      <c r="G494" s="125"/>
      <c r="H494" s="121"/>
      <c r="I494" s="122"/>
      <c r="J494" s="121"/>
      <c r="K494" s="125"/>
      <c r="L494" s="125"/>
      <c r="M494" s="125"/>
      <c r="N494" s="121" t="str">
        <f t="shared" ref="N494:N502" si="443">IFERROR(IF(OR(J494="",K494=""),"",IF(J494="NO","NO",K494)),"")</f>
        <v/>
      </c>
      <c r="O494" s="121" t="str">
        <f>IFERROR(IF(OR(J494="",L494=""),"",IF(J494="NO","NO",L494)),"")</f>
        <v/>
      </c>
      <c r="P494" s="121" t="str">
        <f t="shared" ref="P494:P502" si="444">IFERROR(IF(OR(J494="",M494=""),"",IF(J494="NO","NO",M494)),"")</f>
        <v/>
      </c>
      <c r="Q494" s="121" t="str">
        <f t="shared" si="410"/>
        <v/>
      </c>
      <c r="R494" s="103"/>
      <c r="S494" s="123"/>
      <c r="T494" s="123"/>
      <c r="U494" s="121" t="str">
        <f t="shared" ref="U494:U502" si="445">IFERROR(IF(T494="","",YEAR(T494)),"")</f>
        <v/>
      </c>
      <c r="V494" s="124" t="str">
        <f>IF(U494=2023,1160000,IFERROR(INDEX(SMMLV!$B$2:$B$101,MATCH(U494,SMMLV!$A$2:$A$101,0)),""))</f>
        <v/>
      </c>
      <c r="W494" s="124"/>
      <c r="X494" s="125"/>
      <c r="Y494" s="125"/>
      <c r="Z494" s="474"/>
      <c r="AA494" s="475"/>
      <c r="AB494" s="476"/>
      <c r="AC494" s="125" t="str">
        <f t="shared" ref="AC494:AC502" si="446">IFERROR(IF(Y494="","",IF(ISNUMBER(Y494),IF(COUNTIF(Z494,"SI")&gt;0,"SI","NO"),Y494)),"")</f>
        <v/>
      </c>
      <c r="AD494" s="117" t="str">
        <f t="shared" si="411"/>
        <v/>
      </c>
      <c r="AE494" s="117" t="str">
        <f t="shared" si="407"/>
        <v/>
      </c>
      <c r="AF494" s="117" t="str">
        <f t="shared" si="405"/>
        <v/>
      </c>
      <c r="AG494" s="470"/>
      <c r="AH494" s="470"/>
      <c r="AI494" s="125" t="str">
        <f t="shared" si="406"/>
        <v/>
      </c>
      <c r="AJ494" s="470"/>
      <c r="AK494" s="470"/>
      <c r="AL494" s="472"/>
      <c r="AM494" s="496"/>
      <c r="AN494" s="121"/>
      <c r="AO494" s="490"/>
      <c r="AP494" s="125"/>
      <c r="AQ494" s="490"/>
      <c r="AR494" s="522"/>
      <c r="AS494" s="519"/>
      <c r="AT494" s="204"/>
      <c r="AU494" s="699"/>
      <c r="AV494" s="702"/>
      <c r="AW494" s="708"/>
      <c r="AX494" s="720"/>
      <c r="AY494" s="19"/>
      <c r="CB494" s="29" t="str">
        <f>IFERROR(IF(COUNTIF(AF493:AF502,"")=10,"",IF(COUNTIF(E493:E502,"N/A")&gt;0,IF(AF494&gt;=CMEMM1,AF494,0),"N/A")),"")</f>
        <v/>
      </c>
      <c r="CC494" s="4"/>
      <c r="CD494" s="4" t="str">
        <f>IFERROR(IF(COUNTIF(AF493:AF502,"")=10,"",IF(AF494="","",IF(AF494&gt;=CMEMM1,1,0))),"")</f>
        <v/>
      </c>
      <c r="CE494" s="4" t="str">
        <f>B493&amp;"-0"&amp;2</f>
        <v>P50-02</v>
      </c>
      <c r="CF494" s="4">
        <f>IFERROR(INDEX('DESEMPATE Y DISCAPACIDAD'!$D$3:$D$450,MATCH(CE494,'DESEMPATE Y DISCAPACIDAD'!$C$3:$C$450,0)),"")</f>
        <v>0</v>
      </c>
      <c r="CG494" s="4">
        <f>IF(OR(CE494="",CF494=""),"",SUMIF(D493:D502,CF494,CD493:CD502))</f>
        <v>0</v>
      </c>
      <c r="CH494" s="4" t="str">
        <f t="shared" si="435"/>
        <v>NO CUMPLE</v>
      </c>
      <c r="CI494" s="4">
        <f t="shared" ref="CI494:CI502" si="447">IF(CF494="","",IF(ISTEXT(CF494),1,0))</f>
        <v>0</v>
      </c>
      <c r="CJ494" s="4"/>
      <c r="CK494" s="4"/>
      <c r="CL494" s="4" t="str">
        <f t="shared" si="408"/>
        <v/>
      </c>
      <c r="CM494" s="4" t="str">
        <f t="shared" si="409"/>
        <v/>
      </c>
      <c r="CN494" s="4" t="str">
        <f t="shared" ref="CN494:CN502" si="448">IF(OR(CL494="",CM494=""),"",IF(AND(CL494=0,CM494=0),"N/A",IF(AND(CL494=1,CM494=0),"COND. A",IF(AND(CL494=0,CM494=1),"COND. B",IF(AND(CL494=1,CM494=1),"COND. A Y B","")))))</f>
        <v/>
      </c>
      <c r="CO494" s="4"/>
      <c r="CP494" s="4"/>
      <c r="CQ494" s="29" t="str">
        <f>IF(OR(AN493="",CB494=""),"",IF(AN493="NO",CB494,0))</f>
        <v/>
      </c>
      <c r="CR494" s="29" t="str">
        <f>IF(OR(AN493="",AF494=""),"",IF(AN493="NO",AF494,0))</f>
        <v/>
      </c>
      <c r="CS494" s="4"/>
    </row>
    <row r="495" spans="1:97" ht="34.25" hidden="1" customHeight="1">
      <c r="B495" s="481"/>
      <c r="C495" s="118"/>
      <c r="D495" s="126" t="str">
        <f>+IFERROR(INDEX('DESEMPATE Y DISCAPACIDAD'!$D$3:$D$450,MATCH(C495,'DESEMPATE Y DISCAPACIDAD'!$C$3:$C$450,0)),"")</f>
        <v/>
      </c>
      <c r="E495" s="127" t="str">
        <f>IFERROR(IF(D495="","",IF(VLOOKUP(D495,'DESEMPATE Y DISCAPACIDAD'!D$3:$E$450,2,FALSE)=1,"N/A",IF(VLOOKUP(D495,'DESEMPATE Y DISCAPACIDAD'!D$3:$F$450,3,FALSE)="X","SI","NO"))),"")</f>
        <v/>
      </c>
      <c r="F495" s="121"/>
      <c r="G495" s="121"/>
      <c r="H495" s="125"/>
      <c r="I495" s="128"/>
      <c r="J495" s="121"/>
      <c r="K495" s="125"/>
      <c r="L495" s="125"/>
      <c r="M495" s="125"/>
      <c r="N495" s="125" t="str">
        <f t="shared" si="443"/>
        <v/>
      </c>
      <c r="O495" s="125" t="str">
        <f>IFERROR(IF(OR(J495="",L495=""),"",IF(J495="NO","NO",L495)),"")</f>
        <v/>
      </c>
      <c r="P495" s="125" t="str">
        <f t="shared" si="444"/>
        <v/>
      </c>
      <c r="Q495" s="125" t="str">
        <f t="shared" si="410"/>
        <v/>
      </c>
      <c r="R495" s="68"/>
      <c r="S495" s="129"/>
      <c r="T495" s="129"/>
      <c r="U495" s="125" t="str">
        <f t="shared" si="445"/>
        <v/>
      </c>
      <c r="V495" s="117" t="str">
        <f>IF(U495=2023,1160000,IFERROR(INDEX(SMMLV!$B$2:$B$101,MATCH(U495,SMMLV!$A$2:$A$101,0)),""))</f>
        <v/>
      </c>
      <c r="W495" s="117"/>
      <c r="X495" s="125"/>
      <c r="Y495" s="125"/>
      <c r="Z495" s="474"/>
      <c r="AA495" s="475"/>
      <c r="AB495" s="476"/>
      <c r="AC495" s="125" t="str">
        <f t="shared" si="446"/>
        <v/>
      </c>
      <c r="AD495" s="117" t="str">
        <f t="shared" si="411"/>
        <v/>
      </c>
      <c r="AE495" s="117" t="str">
        <f t="shared" si="407"/>
        <v/>
      </c>
      <c r="AF495" s="117" t="str">
        <f t="shared" si="405"/>
        <v/>
      </c>
      <c r="AG495" s="470"/>
      <c r="AH495" s="470"/>
      <c r="AI495" s="125" t="str">
        <f t="shared" si="406"/>
        <v/>
      </c>
      <c r="AJ495" s="470"/>
      <c r="AK495" s="470"/>
      <c r="AL495" s="472"/>
      <c r="AM495" s="496"/>
      <c r="AN495" s="121"/>
      <c r="AO495" s="490"/>
      <c r="AP495" s="125"/>
      <c r="AQ495" s="490"/>
      <c r="AR495" s="522"/>
      <c r="AS495" s="519"/>
      <c r="AT495" s="204"/>
      <c r="AU495" s="699"/>
      <c r="AV495" s="702"/>
      <c r="AW495" s="708"/>
      <c r="AX495" s="720"/>
      <c r="AY495" s="19"/>
      <c r="CB495" s="29" t="str">
        <f>IFERROR(IF(COUNTIF(AF493:AF502,"")=10,"",IF(COUNTIF(E493:E502,"N/A")&gt;0,IF(AF495&gt;=CMEMM1,AF495,0),"N/A")),"")</f>
        <v/>
      </c>
      <c r="CC495" s="4"/>
      <c r="CD495" s="4" t="str">
        <f>IFERROR(IF(COUNTIF(AF493:AF502,"")=10,"",IF(AF495="","",IF(AF495&gt;=CMEMM1,1,0))),"")</f>
        <v/>
      </c>
      <c r="CE495" s="4" t="str">
        <f>B493&amp;"-0"&amp;3</f>
        <v>P50-03</v>
      </c>
      <c r="CF495" s="4">
        <f>IFERROR(INDEX('DESEMPATE Y DISCAPACIDAD'!$D$3:$D$450,MATCH(CE495,'DESEMPATE Y DISCAPACIDAD'!$C$3:$C$450,0)),"")</f>
        <v>0</v>
      </c>
      <c r="CG495" s="4">
        <f>IF(OR(CE495="",CF495=""),"",SUMIF(D493:D502,CF495,CD493:CD502))</f>
        <v>0</v>
      </c>
      <c r="CH495" s="4" t="str">
        <f t="shared" si="435"/>
        <v>NO CUMPLE</v>
      </c>
      <c r="CI495" s="4">
        <f t="shared" si="447"/>
        <v>0</v>
      </c>
      <c r="CJ495" s="4"/>
      <c r="CK495" s="4"/>
      <c r="CL495" s="4" t="str">
        <f t="shared" si="408"/>
        <v/>
      </c>
      <c r="CM495" s="4" t="str">
        <f t="shared" si="409"/>
        <v/>
      </c>
      <c r="CN495" s="4" t="str">
        <f t="shared" si="448"/>
        <v/>
      </c>
      <c r="CO495" s="4"/>
      <c r="CP495" s="4"/>
      <c r="CQ495" s="29" t="str">
        <f>IF(OR(AN493="",CB495=""),"",IF(AN493="NO",CB495,0))</f>
        <v/>
      </c>
      <c r="CR495" s="29" t="str">
        <f>IF(OR(AN493="",AF495=""),"",IF(AN493="NO",AF495,0))</f>
        <v/>
      </c>
      <c r="CS495" s="4"/>
    </row>
    <row r="496" spans="1:97" ht="34.25" hidden="1" customHeight="1">
      <c r="B496" s="481"/>
      <c r="C496" s="118"/>
      <c r="D496" s="126" t="str">
        <f>+IFERROR(INDEX('DESEMPATE Y DISCAPACIDAD'!$D$3:$D$450,MATCH(C496,'DESEMPATE Y DISCAPACIDAD'!$C$3:$C$450,0)),"")</f>
        <v/>
      </c>
      <c r="E496" s="127" t="str">
        <f>IFERROR(IF(D496="","",IF(VLOOKUP(D496,'DESEMPATE Y DISCAPACIDAD'!D$3:$E$450,2,FALSE)=1,"N/A",IF(VLOOKUP(D496,'DESEMPATE Y DISCAPACIDAD'!D$3:$F$450,3,FALSE)="X","SI","NO"))),"")</f>
        <v/>
      </c>
      <c r="F496" s="141"/>
      <c r="G496" s="125"/>
      <c r="H496" s="125"/>
      <c r="I496" s="128"/>
      <c r="J496" s="125"/>
      <c r="K496" s="125"/>
      <c r="L496" s="125"/>
      <c r="M496" s="125"/>
      <c r="N496" s="125" t="str">
        <f t="shared" si="443"/>
        <v/>
      </c>
      <c r="O496" s="125" t="str">
        <f>IFERROR(IF(OR(J496="",L496=""),"",IF(J496="NO","NO",L496)),"")</f>
        <v/>
      </c>
      <c r="P496" s="125" t="str">
        <f t="shared" si="444"/>
        <v/>
      </c>
      <c r="Q496" s="125" t="str">
        <f t="shared" si="410"/>
        <v/>
      </c>
      <c r="R496" s="68"/>
      <c r="S496" s="129"/>
      <c r="T496" s="129"/>
      <c r="U496" s="125" t="str">
        <f t="shared" si="445"/>
        <v/>
      </c>
      <c r="V496" s="117" t="str">
        <f>IF(U496=2023,1160000,IFERROR(INDEX(SMMLV!$B$2:$B$101,MATCH(U496,SMMLV!$A$2:$A$101,0)),""))</f>
        <v/>
      </c>
      <c r="W496" s="117"/>
      <c r="X496" s="125"/>
      <c r="Y496" s="125"/>
      <c r="Z496" s="477"/>
      <c r="AA496" s="478"/>
      <c r="AB496" s="479"/>
      <c r="AC496" s="125" t="str">
        <f t="shared" si="446"/>
        <v/>
      </c>
      <c r="AD496" s="117" t="str">
        <f t="shared" si="411"/>
        <v/>
      </c>
      <c r="AE496" s="117" t="str">
        <f t="shared" si="407"/>
        <v/>
      </c>
      <c r="AF496" s="117" t="str">
        <f t="shared" si="405"/>
        <v/>
      </c>
      <c r="AG496" s="470"/>
      <c r="AH496" s="470"/>
      <c r="AI496" s="125" t="str">
        <f t="shared" si="406"/>
        <v/>
      </c>
      <c r="AJ496" s="470"/>
      <c r="AK496" s="470"/>
      <c r="AL496" s="472"/>
      <c r="AM496" s="496"/>
      <c r="AN496" s="121"/>
      <c r="AO496" s="490"/>
      <c r="AP496" s="125"/>
      <c r="AQ496" s="490"/>
      <c r="AR496" s="522"/>
      <c r="AS496" s="519"/>
      <c r="AT496" s="204"/>
      <c r="AU496" s="699"/>
      <c r="AV496" s="702"/>
      <c r="AW496" s="708"/>
      <c r="AX496" s="720"/>
      <c r="AY496" s="19"/>
      <c r="CB496" s="29" t="str">
        <f>IFERROR(IF(COUNTIF(AF493:AF502,"")=10,"",IF(COUNTIF(E493:E502,"N/A")&gt;0,IF(AF496&gt;=CMEMM1,AF496,0),"N/A")),"")</f>
        <v/>
      </c>
      <c r="CC496" s="4"/>
      <c r="CD496" s="4" t="str">
        <f>IFERROR(IF(COUNTIF(AF493:AF502,"")=10,"",IF(AF496="","",IF(AF496&gt;=CMEMM1,1,0))),"")</f>
        <v/>
      </c>
      <c r="CE496" s="4" t="str">
        <f>B493&amp;"-0"&amp;4</f>
        <v>P50-04</v>
      </c>
      <c r="CF496" s="4">
        <f>IFERROR(INDEX('DESEMPATE Y DISCAPACIDAD'!$D$3:$D$450,MATCH(CE496,'DESEMPATE Y DISCAPACIDAD'!$C$3:$C$450,0)),"")</f>
        <v>0</v>
      </c>
      <c r="CG496" s="4">
        <f>IF(OR(CE496="",CF496=""),"",SUMIF(D493:D502,CF496,CD493:CD502))</f>
        <v>0</v>
      </c>
      <c r="CH496" s="4" t="str">
        <f t="shared" si="435"/>
        <v>NO CUMPLE</v>
      </c>
      <c r="CI496" s="4">
        <f t="shared" si="447"/>
        <v>0</v>
      </c>
      <c r="CJ496" s="4"/>
      <c r="CK496" s="4"/>
      <c r="CL496" s="4" t="str">
        <f t="shared" si="408"/>
        <v/>
      </c>
      <c r="CM496" s="4" t="str">
        <f t="shared" si="409"/>
        <v/>
      </c>
      <c r="CN496" s="4" t="str">
        <f t="shared" si="448"/>
        <v/>
      </c>
      <c r="CO496" s="4"/>
      <c r="CP496" s="4"/>
      <c r="CQ496" s="29" t="str">
        <f t="shared" ref="CQ496:CQ507" si="449">IF(OR(AN496="",CB496=""),"",IF(AN496="NO",CB496,0))</f>
        <v/>
      </c>
      <c r="CR496" s="29" t="str">
        <f t="shared" ref="CR496:CR507" si="450">IF(OR(AN496="",AF496=""),"",IF(AN496="NO",AF496,0))</f>
        <v/>
      </c>
      <c r="CS496" s="4"/>
    </row>
    <row r="497" spans="1:97" ht="34.25" hidden="1" customHeight="1">
      <c r="B497" s="481"/>
      <c r="C497" s="118"/>
      <c r="D497" s="126" t="str">
        <f>+IFERROR(INDEX('DESEMPATE Y DISCAPACIDAD'!$D$3:$D$450,MATCH(C497,'DESEMPATE Y DISCAPACIDAD'!$C$3:$C$450,0)),"")</f>
        <v/>
      </c>
      <c r="E497" s="127" t="str">
        <f>IFERROR(IF(D497="","",IF(VLOOKUP(D497,'DESEMPATE Y DISCAPACIDAD'!D$3:$E$450,2,FALSE)=1,"N/A",IF(VLOOKUP(D497,'DESEMPATE Y DISCAPACIDAD'!D$3:$F$450,3,FALSE)="X","SI","NO"))),"")</f>
        <v/>
      </c>
      <c r="F497" s="125"/>
      <c r="G497" s="125"/>
      <c r="H497" s="125"/>
      <c r="I497" s="128"/>
      <c r="J497" s="125"/>
      <c r="K497" s="125"/>
      <c r="L497" s="125"/>
      <c r="M497" s="125"/>
      <c r="N497" s="125" t="str">
        <f t="shared" si="443"/>
        <v/>
      </c>
      <c r="O497" s="125" t="str">
        <f t="shared" ref="O497:O502" si="451">IFERROR(IF(OR(J497="",L497=""),"",IF(J497="NO","NO",L497)),"")</f>
        <v/>
      </c>
      <c r="P497" s="125" t="str">
        <f t="shared" si="444"/>
        <v/>
      </c>
      <c r="Q497" s="125" t="str">
        <f t="shared" si="410"/>
        <v/>
      </c>
      <c r="R497" s="68"/>
      <c r="S497" s="129"/>
      <c r="T497" s="129"/>
      <c r="U497" s="125" t="str">
        <f t="shared" si="445"/>
        <v/>
      </c>
      <c r="V497" s="117" t="str">
        <f>IF(U497=2023,1160000,IFERROR(INDEX(SMMLV!$B$2:$B$101,MATCH(U497,SMMLV!$A$2:$A$101,0)),""))</f>
        <v/>
      </c>
      <c r="W497" s="117"/>
      <c r="X497" s="125"/>
      <c r="Y497" s="125"/>
      <c r="Z497" s="474"/>
      <c r="AA497" s="475"/>
      <c r="AB497" s="476"/>
      <c r="AC497" s="125" t="str">
        <f t="shared" si="446"/>
        <v/>
      </c>
      <c r="AD497" s="117" t="str">
        <f t="shared" si="411"/>
        <v/>
      </c>
      <c r="AE497" s="117" t="str">
        <f t="shared" si="407"/>
        <v/>
      </c>
      <c r="AF497" s="117" t="str">
        <f t="shared" si="405"/>
        <v/>
      </c>
      <c r="AG497" s="470"/>
      <c r="AH497" s="470"/>
      <c r="AI497" s="125" t="str">
        <f t="shared" si="406"/>
        <v/>
      </c>
      <c r="AJ497" s="470"/>
      <c r="AK497" s="470"/>
      <c r="AL497" s="472"/>
      <c r="AM497" s="496"/>
      <c r="AN497" s="121"/>
      <c r="AO497" s="490"/>
      <c r="AP497" s="125"/>
      <c r="AQ497" s="490"/>
      <c r="AR497" s="522"/>
      <c r="AS497" s="519"/>
      <c r="AT497" s="204"/>
      <c r="AU497" s="699"/>
      <c r="AV497" s="702"/>
      <c r="AW497" s="708"/>
      <c r="AX497" s="720"/>
      <c r="AY497" s="19"/>
      <c r="CB497" s="29" t="str">
        <f>IFERROR(IF(COUNTIF(AF493:AF502,"")=10,"",IF(COUNTIF(E493:E502,"N/A")&gt;0,IF(AF497&gt;=CMEMM1,AF497,0),"N/A")),"")</f>
        <v/>
      </c>
      <c r="CC497" s="4"/>
      <c r="CD497" s="4" t="str">
        <f>IFERROR(IF(COUNTIF(AF493:AF502,"")=10,"",IF(AF497="","",IF(AF497&gt;=CMEMM1,1,0))),"")</f>
        <v/>
      </c>
      <c r="CE497" s="4" t="str">
        <f>B493&amp;"-0"&amp;5</f>
        <v>P50-05</v>
      </c>
      <c r="CF497" s="4">
        <f>IFERROR(INDEX('DESEMPATE Y DISCAPACIDAD'!$D$3:$D$450,MATCH(CE497,'DESEMPATE Y DISCAPACIDAD'!$C$3:$C$450,0)),"")</f>
        <v>0</v>
      </c>
      <c r="CG497" s="4">
        <f>IF(OR(CE497="",CF497=""),"",SUMIF(D493:D502,CF497,CD493:CD502))</f>
        <v>0</v>
      </c>
      <c r="CH497" s="4" t="str">
        <f t="shared" si="435"/>
        <v>NO CUMPLE</v>
      </c>
      <c r="CI497" s="4">
        <f t="shared" si="447"/>
        <v>0</v>
      </c>
      <c r="CJ497" s="4"/>
      <c r="CK497" s="4"/>
      <c r="CL497" s="4" t="str">
        <f t="shared" si="408"/>
        <v/>
      </c>
      <c r="CM497" s="4" t="str">
        <f t="shared" si="409"/>
        <v/>
      </c>
      <c r="CN497" s="4" t="str">
        <f t="shared" si="448"/>
        <v/>
      </c>
      <c r="CO497" s="4"/>
      <c r="CP497" s="4"/>
      <c r="CQ497" s="29" t="str">
        <f t="shared" si="449"/>
        <v/>
      </c>
      <c r="CR497" s="29" t="str">
        <f t="shared" si="450"/>
        <v/>
      </c>
      <c r="CS497" s="4"/>
    </row>
    <row r="498" spans="1:97" ht="34.25" hidden="1" customHeight="1">
      <c r="B498" s="481"/>
      <c r="C498" s="118"/>
      <c r="D498" s="126" t="str">
        <f>+IFERROR(INDEX('DESEMPATE Y DISCAPACIDAD'!$D$3:$D$450,MATCH(C498,'DESEMPATE Y DISCAPACIDAD'!$C$3:$C$450,0)),"")</f>
        <v/>
      </c>
      <c r="E498" s="127" t="str">
        <f>IFERROR(IF(D498="","",IF(VLOOKUP(D498,'DESEMPATE Y DISCAPACIDAD'!D$3:$E$450,2,FALSE)=1,"N/A",IF(VLOOKUP(D498,'DESEMPATE Y DISCAPACIDAD'!D$3:$F$450,3,FALSE)="X","SI","NO"))),"")</f>
        <v/>
      </c>
      <c r="F498" s="125"/>
      <c r="G498" s="125"/>
      <c r="H498" s="125"/>
      <c r="I498" s="128"/>
      <c r="J498" s="125"/>
      <c r="K498" s="125"/>
      <c r="L498" s="125"/>
      <c r="M498" s="125"/>
      <c r="N498" s="125" t="str">
        <f t="shared" si="443"/>
        <v/>
      </c>
      <c r="O498" s="125" t="str">
        <f t="shared" si="451"/>
        <v/>
      </c>
      <c r="P498" s="125" t="str">
        <f t="shared" si="444"/>
        <v/>
      </c>
      <c r="Q498" s="125" t="str">
        <f t="shared" si="410"/>
        <v/>
      </c>
      <c r="R498" s="68"/>
      <c r="S498" s="129"/>
      <c r="T498" s="129"/>
      <c r="U498" s="125" t="str">
        <f t="shared" si="445"/>
        <v/>
      </c>
      <c r="V498" s="117" t="str">
        <f>IF(U498=2023,1160000,IFERROR(INDEX(SMMLV!$B$2:$B$101,MATCH(U498,SMMLV!$A$2:$A$101,0)),""))</f>
        <v/>
      </c>
      <c r="W498" s="117"/>
      <c r="X498" s="125"/>
      <c r="Y498" s="125"/>
      <c r="Z498" s="474"/>
      <c r="AA498" s="475"/>
      <c r="AB498" s="476"/>
      <c r="AC498" s="125" t="str">
        <f t="shared" si="446"/>
        <v/>
      </c>
      <c r="AD498" s="117" t="str">
        <f t="shared" si="411"/>
        <v/>
      </c>
      <c r="AE498" s="117" t="str">
        <f t="shared" si="407"/>
        <v/>
      </c>
      <c r="AF498" s="117" t="str">
        <f t="shared" si="405"/>
        <v/>
      </c>
      <c r="AG498" s="470"/>
      <c r="AH498" s="470"/>
      <c r="AI498" s="125" t="str">
        <f t="shared" si="406"/>
        <v/>
      </c>
      <c r="AJ498" s="470"/>
      <c r="AK498" s="470"/>
      <c r="AL498" s="472"/>
      <c r="AM498" s="496"/>
      <c r="AN498" s="121"/>
      <c r="AO498" s="490"/>
      <c r="AP498" s="125"/>
      <c r="AQ498" s="490"/>
      <c r="AR498" s="522"/>
      <c r="AS498" s="519"/>
      <c r="AT498" s="204"/>
      <c r="AU498" s="699"/>
      <c r="AV498" s="702"/>
      <c r="AW498" s="708"/>
      <c r="AX498" s="720"/>
      <c r="AY498" s="19"/>
      <c r="CB498" s="29" t="str">
        <f>IFERROR(IF(COUNTIF(AF493:AF502,"")=10,"",IF(COUNTIF(E493:E502,"N/A")&gt;0,IF(AF498&gt;=CMEMM1,AF498,0),"N/A")),"")</f>
        <v/>
      </c>
      <c r="CC498" s="4"/>
      <c r="CD498" s="4" t="str">
        <f>IFERROR(IF(COUNTIF(AF493:AF502,"")=10,"",IF(AF498="","",IF(AF498&gt;=CMEMM1,1,0))),"")</f>
        <v/>
      </c>
      <c r="CE498" s="4" t="str">
        <f>B493&amp;"-0"&amp;6</f>
        <v>P50-06</v>
      </c>
      <c r="CF498" s="4">
        <f>IFERROR(INDEX('DESEMPATE Y DISCAPACIDAD'!$D$3:$D$450,MATCH(CE498,'DESEMPATE Y DISCAPACIDAD'!$C$3:$C$450,0)),"")</f>
        <v>0</v>
      </c>
      <c r="CG498" s="4">
        <f>IF(OR(CE498="",CF498=""),"",SUMIF(D493:D502,CF498,CD493:CD502))</f>
        <v>0</v>
      </c>
      <c r="CH498" s="4" t="str">
        <f t="shared" si="435"/>
        <v>NO CUMPLE</v>
      </c>
      <c r="CI498" s="4">
        <f t="shared" si="447"/>
        <v>0</v>
      </c>
      <c r="CJ498" s="4"/>
      <c r="CK498" s="4"/>
      <c r="CL498" s="4" t="str">
        <f t="shared" si="408"/>
        <v/>
      </c>
      <c r="CM498" s="4" t="str">
        <f t="shared" si="409"/>
        <v/>
      </c>
      <c r="CN498" s="4" t="str">
        <f t="shared" si="448"/>
        <v/>
      </c>
      <c r="CO498" s="4"/>
      <c r="CP498" s="4"/>
      <c r="CQ498" s="29" t="str">
        <f t="shared" si="449"/>
        <v/>
      </c>
      <c r="CR498" s="29" t="str">
        <f t="shared" si="450"/>
        <v/>
      </c>
      <c r="CS498" s="4"/>
    </row>
    <row r="499" spans="1:97" ht="34.25" hidden="1" customHeight="1">
      <c r="B499" s="481"/>
      <c r="C499" s="118"/>
      <c r="D499" s="126" t="str">
        <f>+IFERROR(INDEX('DESEMPATE Y DISCAPACIDAD'!$D$3:$D$450,MATCH(C499,'DESEMPATE Y DISCAPACIDAD'!$C$3:$C$450,0)),"")</f>
        <v/>
      </c>
      <c r="E499" s="127" t="str">
        <f>IFERROR(IF(D499="","",IF(VLOOKUP(D499,'DESEMPATE Y DISCAPACIDAD'!D$3:$E$450,2,FALSE)=1,"N/A",IF(VLOOKUP(D499,'DESEMPATE Y DISCAPACIDAD'!D$3:$F$450,3,FALSE)="X","SI","NO"))),"")</f>
        <v/>
      </c>
      <c r="F499" s="125"/>
      <c r="G499" s="125"/>
      <c r="H499" s="125"/>
      <c r="I499" s="128"/>
      <c r="J499" s="125"/>
      <c r="K499" s="125"/>
      <c r="L499" s="125"/>
      <c r="M499" s="125"/>
      <c r="N499" s="125" t="str">
        <f t="shared" si="443"/>
        <v/>
      </c>
      <c r="O499" s="125" t="str">
        <f t="shared" si="451"/>
        <v/>
      </c>
      <c r="P499" s="125" t="str">
        <f t="shared" si="444"/>
        <v/>
      </c>
      <c r="Q499" s="125" t="str">
        <f t="shared" si="410"/>
        <v/>
      </c>
      <c r="R499" s="68"/>
      <c r="S499" s="129"/>
      <c r="T499" s="129"/>
      <c r="U499" s="125" t="str">
        <f t="shared" si="445"/>
        <v/>
      </c>
      <c r="V499" s="117" t="str">
        <f>IF(U499=2023,1160000,IFERROR(INDEX(SMMLV!$B$2:$B$101,MATCH(U499,SMMLV!$A$2:$A$101,0)),""))</f>
        <v/>
      </c>
      <c r="W499" s="117"/>
      <c r="X499" s="125"/>
      <c r="Y499" s="125"/>
      <c r="Z499" s="474"/>
      <c r="AA499" s="475"/>
      <c r="AB499" s="476"/>
      <c r="AC499" s="125" t="str">
        <f t="shared" si="446"/>
        <v/>
      </c>
      <c r="AD499" s="117" t="str">
        <f t="shared" si="411"/>
        <v/>
      </c>
      <c r="AE499" s="117" t="str">
        <f t="shared" si="407"/>
        <v/>
      </c>
      <c r="AF499" s="117" t="str">
        <f t="shared" si="405"/>
        <v/>
      </c>
      <c r="AG499" s="470"/>
      <c r="AH499" s="470"/>
      <c r="AI499" s="125" t="str">
        <f t="shared" si="406"/>
        <v/>
      </c>
      <c r="AJ499" s="470"/>
      <c r="AK499" s="470"/>
      <c r="AL499" s="472"/>
      <c r="AM499" s="496"/>
      <c r="AN499" s="121"/>
      <c r="AO499" s="490"/>
      <c r="AP499" s="125"/>
      <c r="AQ499" s="490"/>
      <c r="AR499" s="522"/>
      <c r="AS499" s="519"/>
      <c r="AT499" s="204"/>
      <c r="AU499" s="699"/>
      <c r="AV499" s="702"/>
      <c r="AW499" s="708"/>
      <c r="AX499" s="720"/>
      <c r="AY499" s="19"/>
      <c r="CB499" s="29" t="str">
        <f>IFERROR(IF(COUNTIF(AF493:AF502,"")=10,"",IF(COUNTIF(E493:E502,"N/A")&gt;0,IF(AF499&gt;=CMEMM1,AF499,0),"N/A")),"")</f>
        <v/>
      </c>
      <c r="CC499" s="4"/>
      <c r="CD499" s="4" t="str">
        <f>IFERROR(IF(COUNTIF(AF493:AF502,"")=10,"",IF(AF499="","",IF(AF499&gt;=CMEMM1,1,0))),"")</f>
        <v/>
      </c>
      <c r="CE499" s="4" t="str">
        <f>B493&amp;"-0"&amp;7</f>
        <v>P50-07</v>
      </c>
      <c r="CF499" s="4" t="str">
        <f>IFERROR(INDEX('DESEMPATE Y DISCAPACIDAD'!$D$3:$D$450,MATCH(CE499,'DESEMPATE Y DISCAPACIDAD'!$C$3:$C$450,0)),"")</f>
        <v/>
      </c>
      <c r="CG499" s="4" t="str">
        <f>IF(OR(CE499="",CF499=""),"",SUMIF(D493:D502,CF499,CD493:CD502))</f>
        <v/>
      </c>
      <c r="CH499" s="4" t="str">
        <f t="shared" si="435"/>
        <v/>
      </c>
      <c r="CI499" s="4" t="str">
        <f t="shared" si="447"/>
        <v/>
      </c>
      <c r="CJ499" s="4"/>
      <c r="CK499" s="4"/>
      <c r="CL499" s="4" t="str">
        <f t="shared" si="408"/>
        <v/>
      </c>
      <c r="CM499" s="4" t="str">
        <f t="shared" si="409"/>
        <v/>
      </c>
      <c r="CN499" s="4" t="str">
        <f t="shared" si="448"/>
        <v/>
      </c>
      <c r="CO499" s="4"/>
      <c r="CP499" s="4"/>
      <c r="CQ499" s="29" t="str">
        <f t="shared" si="449"/>
        <v/>
      </c>
      <c r="CR499" s="29" t="str">
        <f t="shared" si="450"/>
        <v/>
      </c>
      <c r="CS499" s="4"/>
    </row>
    <row r="500" spans="1:97" ht="34.25" hidden="1" customHeight="1">
      <c r="B500" s="481"/>
      <c r="C500" s="118"/>
      <c r="D500" s="126" t="str">
        <f>+IFERROR(INDEX('DESEMPATE Y DISCAPACIDAD'!$D$3:$D$450,MATCH(C500,'DESEMPATE Y DISCAPACIDAD'!$C$3:$C$450,0)),"")</f>
        <v/>
      </c>
      <c r="E500" s="127" t="str">
        <f>IFERROR(IF(D500="","",IF(VLOOKUP(D500,'DESEMPATE Y DISCAPACIDAD'!D$3:$E$450,2,FALSE)=1,"N/A",IF(VLOOKUP(D500,'DESEMPATE Y DISCAPACIDAD'!D$3:$F$450,3,FALSE)="X","SI","NO"))),"")</f>
        <v/>
      </c>
      <c r="F500" s="125"/>
      <c r="G500" s="125"/>
      <c r="H500" s="125"/>
      <c r="I500" s="128"/>
      <c r="J500" s="125"/>
      <c r="K500" s="125"/>
      <c r="L500" s="125"/>
      <c r="M500" s="125"/>
      <c r="N500" s="125" t="str">
        <f t="shared" si="443"/>
        <v/>
      </c>
      <c r="O500" s="125" t="str">
        <f t="shared" si="451"/>
        <v/>
      </c>
      <c r="P500" s="125" t="str">
        <f t="shared" si="444"/>
        <v/>
      </c>
      <c r="Q500" s="125" t="str">
        <f t="shared" si="410"/>
        <v/>
      </c>
      <c r="R500" s="68"/>
      <c r="S500" s="129"/>
      <c r="T500" s="129"/>
      <c r="U500" s="125" t="str">
        <f t="shared" si="445"/>
        <v/>
      </c>
      <c r="V500" s="117" t="str">
        <f>IF(U500=2023,1160000,IFERROR(INDEX(SMMLV!$B$2:$B$101,MATCH(U500,SMMLV!$A$2:$A$101,0)),""))</f>
        <v/>
      </c>
      <c r="W500" s="117"/>
      <c r="X500" s="125"/>
      <c r="Y500" s="125"/>
      <c r="Z500" s="474"/>
      <c r="AA500" s="475"/>
      <c r="AB500" s="476"/>
      <c r="AC500" s="125" t="str">
        <f t="shared" si="446"/>
        <v/>
      </c>
      <c r="AD500" s="117" t="str">
        <f t="shared" si="411"/>
        <v/>
      </c>
      <c r="AE500" s="117" t="str">
        <f t="shared" si="407"/>
        <v/>
      </c>
      <c r="AF500" s="117" t="str">
        <f t="shared" si="405"/>
        <v/>
      </c>
      <c r="AG500" s="470"/>
      <c r="AH500" s="470"/>
      <c r="AI500" s="125" t="str">
        <f t="shared" si="406"/>
        <v/>
      </c>
      <c r="AJ500" s="470"/>
      <c r="AK500" s="470"/>
      <c r="AL500" s="472"/>
      <c r="AM500" s="496"/>
      <c r="AN500" s="121"/>
      <c r="AO500" s="490"/>
      <c r="AP500" s="125"/>
      <c r="AQ500" s="490"/>
      <c r="AR500" s="522"/>
      <c r="AS500" s="519"/>
      <c r="AT500" s="204"/>
      <c r="AU500" s="699"/>
      <c r="AV500" s="702"/>
      <c r="AW500" s="708"/>
      <c r="AX500" s="720"/>
      <c r="AY500" s="19"/>
      <c r="CB500" s="29" t="str">
        <f>IFERROR(IF(COUNTIF(AF493:AF502,"")=10,"",IF(COUNTIF(E493:E502,"N/A")&gt;0,IF(AF500&gt;=CMEMM1,AF500,0),"N/A")),"")</f>
        <v/>
      </c>
      <c r="CC500" s="4"/>
      <c r="CD500" s="4" t="str">
        <f>IFERROR(IF(COUNTIF(AF493:AF502,"")=10,"",IF(AF500="","",IF(AF500&gt;=CMEMM1,1,0))),"")</f>
        <v/>
      </c>
      <c r="CE500" s="4" t="str">
        <f>B493&amp;"-0"&amp;8</f>
        <v>P50-08</v>
      </c>
      <c r="CF500" s="4" t="str">
        <f>IFERROR(INDEX('DESEMPATE Y DISCAPACIDAD'!$D$3:$D$450,MATCH(CE500,'DESEMPATE Y DISCAPACIDAD'!$C$3:$C$450,0)),"")</f>
        <v/>
      </c>
      <c r="CG500" s="4" t="str">
        <f>IF(OR(CE500="",CF500=""),"",SUMIF(D493:D502,CF500,CD493:CD502))</f>
        <v/>
      </c>
      <c r="CH500" s="4" t="str">
        <f t="shared" si="435"/>
        <v/>
      </c>
      <c r="CI500" s="4" t="str">
        <f t="shared" si="447"/>
        <v/>
      </c>
      <c r="CJ500" s="4"/>
      <c r="CK500" s="4"/>
      <c r="CL500" s="4" t="str">
        <f t="shared" si="408"/>
        <v/>
      </c>
      <c r="CM500" s="4" t="str">
        <f t="shared" si="409"/>
        <v/>
      </c>
      <c r="CN500" s="4" t="str">
        <f t="shared" si="448"/>
        <v/>
      </c>
      <c r="CO500" s="4"/>
      <c r="CP500" s="4"/>
      <c r="CQ500" s="29" t="str">
        <f t="shared" si="449"/>
        <v/>
      </c>
      <c r="CR500" s="29" t="str">
        <f t="shared" si="450"/>
        <v/>
      </c>
      <c r="CS500" s="4"/>
    </row>
    <row r="501" spans="1:97" ht="34.25" hidden="1" customHeight="1">
      <c r="B501" s="481"/>
      <c r="C501" s="118"/>
      <c r="D501" s="126" t="str">
        <f>+IFERROR(INDEX('DESEMPATE Y DISCAPACIDAD'!$D$3:$D$450,MATCH(C501,'DESEMPATE Y DISCAPACIDAD'!$C$3:$C$450,0)),"")</f>
        <v/>
      </c>
      <c r="E501" s="127" t="str">
        <f>IFERROR(IF(D501="","",IF(VLOOKUP(D501,'DESEMPATE Y DISCAPACIDAD'!D$3:$E$450,2,FALSE)=1,"N/A",IF(VLOOKUP(D501,'DESEMPATE Y DISCAPACIDAD'!D$3:$F$450,3,FALSE)="X","SI","NO"))),"")</f>
        <v/>
      </c>
      <c r="F501" s="125"/>
      <c r="G501" s="125"/>
      <c r="H501" s="125"/>
      <c r="I501" s="128"/>
      <c r="J501" s="125"/>
      <c r="K501" s="125"/>
      <c r="L501" s="125"/>
      <c r="M501" s="125"/>
      <c r="N501" s="125" t="str">
        <f t="shared" si="443"/>
        <v/>
      </c>
      <c r="O501" s="125" t="str">
        <f t="shared" si="451"/>
        <v/>
      </c>
      <c r="P501" s="125" t="str">
        <f t="shared" si="444"/>
        <v/>
      </c>
      <c r="Q501" s="125" t="str">
        <f t="shared" si="410"/>
        <v/>
      </c>
      <c r="R501" s="68"/>
      <c r="S501" s="129"/>
      <c r="T501" s="129"/>
      <c r="U501" s="125" t="str">
        <f t="shared" si="445"/>
        <v/>
      </c>
      <c r="V501" s="117" t="str">
        <f>IF(U501=2023,1160000,IFERROR(INDEX(SMMLV!$B$2:$B$101,MATCH(U501,SMMLV!$A$2:$A$101,0)),""))</f>
        <v/>
      </c>
      <c r="W501" s="117"/>
      <c r="X501" s="125"/>
      <c r="Y501" s="125"/>
      <c r="Z501" s="474"/>
      <c r="AA501" s="475"/>
      <c r="AB501" s="476"/>
      <c r="AC501" s="125" t="str">
        <f t="shared" si="446"/>
        <v/>
      </c>
      <c r="AD501" s="117" t="str">
        <f t="shared" si="411"/>
        <v/>
      </c>
      <c r="AE501" s="117" t="str">
        <f t="shared" si="407"/>
        <v/>
      </c>
      <c r="AF501" s="117" t="str">
        <f t="shared" si="405"/>
        <v/>
      </c>
      <c r="AG501" s="470"/>
      <c r="AH501" s="470"/>
      <c r="AI501" s="125" t="str">
        <f t="shared" si="406"/>
        <v/>
      </c>
      <c r="AJ501" s="470"/>
      <c r="AK501" s="470"/>
      <c r="AL501" s="472"/>
      <c r="AM501" s="496"/>
      <c r="AN501" s="125"/>
      <c r="AO501" s="490"/>
      <c r="AP501" s="125"/>
      <c r="AQ501" s="490"/>
      <c r="AR501" s="522"/>
      <c r="AS501" s="519"/>
      <c r="AT501" s="204"/>
      <c r="AU501" s="699"/>
      <c r="AV501" s="702"/>
      <c r="AW501" s="708"/>
      <c r="AX501" s="720"/>
      <c r="AY501" s="19"/>
      <c r="CB501" s="29" t="str">
        <f>IFERROR(IF(COUNTIF(AF493:AF502,"")=10,"",IF(COUNTIF(E493:E502,"N/A")&gt;0,IF(AF501&gt;=CMEMM1,AF501,0),"N/A")),"")</f>
        <v/>
      </c>
      <c r="CC501" s="4"/>
      <c r="CD501" s="4" t="str">
        <f>IFERROR(IF(COUNTIF(AF493:AF502,"")=10,"",IF(AF501="","",IF(AF501&gt;=CMEMM1,1,0))),"")</f>
        <v/>
      </c>
      <c r="CE501" s="4" t="str">
        <f>B493&amp;"-0"&amp;9</f>
        <v>P50-09</v>
      </c>
      <c r="CF501" s="4" t="str">
        <f>IFERROR(INDEX('DESEMPATE Y DISCAPACIDAD'!$D$3:$D$450,MATCH(CE501,'DESEMPATE Y DISCAPACIDAD'!$C$3:$C$450,0)),"")</f>
        <v/>
      </c>
      <c r="CG501" s="4" t="str">
        <f>IF(OR(CE501="",CF501=""),"",SUMIF(D493:D502,CF501,CD493:CD502))</f>
        <v/>
      </c>
      <c r="CH501" s="4" t="str">
        <f t="shared" si="435"/>
        <v/>
      </c>
      <c r="CI501" s="4" t="str">
        <f t="shared" si="447"/>
        <v/>
      </c>
      <c r="CJ501" s="4"/>
      <c r="CK501" s="4"/>
      <c r="CL501" s="4" t="str">
        <f t="shared" si="408"/>
        <v/>
      </c>
      <c r="CM501" s="4" t="str">
        <f t="shared" si="409"/>
        <v/>
      </c>
      <c r="CN501" s="4" t="str">
        <f t="shared" si="448"/>
        <v/>
      </c>
      <c r="CO501" s="4"/>
      <c r="CP501" s="4"/>
      <c r="CQ501" s="29" t="str">
        <f t="shared" si="449"/>
        <v/>
      </c>
      <c r="CR501" s="29" t="str">
        <f t="shared" si="450"/>
        <v/>
      </c>
      <c r="CS501" s="4"/>
    </row>
    <row r="502" spans="1:97" ht="34.25" hidden="1" customHeight="1" thickBot="1">
      <c r="B502" s="482"/>
      <c r="C502" s="130"/>
      <c r="D502" s="131" t="str">
        <f>+IFERROR(INDEX('DESEMPATE Y DISCAPACIDAD'!$D$3:$D$450,MATCH(C502,'DESEMPATE Y DISCAPACIDAD'!$C$3:$C$450,0)),"")</f>
        <v/>
      </c>
      <c r="E502" s="132" t="str">
        <f>IFERROR(IF(D502="","",IF(VLOOKUP(D502,'DESEMPATE Y DISCAPACIDAD'!D$3:$E$450,2,FALSE)=1,"N/A",IF(VLOOKUP(D502,'DESEMPATE Y DISCAPACIDAD'!D$3:$F$450,3,FALSE)="X","SI","NO"))),"")</f>
        <v/>
      </c>
      <c r="F502" s="133"/>
      <c r="G502" s="133"/>
      <c r="H502" s="133"/>
      <c r="I502" s="134"/>
      <c r="J502" s="133"/>
      <c r="K502" s="133"/>
      <c r="L502" s="133"/>
      <c r="M502" s="133"/>
      <c r="N502" s="133" t="str">
        <f t="shared" si="443"/>
        <v/>
      </c>
      <c r="O502" s="133" t="str">
        <f t="shared" si="451"/>
        <v/>
      </c>
      <c r="P502" s="133" t="str">
        <f t="shared" si="444"/>
        <v/>
      </c>
      <c r="Q502" s="133" t="str">
        <f t="shared" si="410"/>
        <v/>
      </c>
      <c r="R502" s="104"/>
      <c r="S502" s="135"/>
      <c r="T502" s="135"/>
      <c r="U502" s="133" t="str">
        <f t="shared" si="445"/>
        <v/>
      </c>
      <c r="V502" s="136" t="str">
        <f>IF(U502=2023,1160000,IFERROR(INDEX(SMMLV!$B$2:$B$101,MATCH(U502,SMMLV!$A$2:$A$101,0)),""))</f>
        <v/>
      </c>
      <c r="W502" s="136"/>
      <c r="X502" s="133"/>
      <c r="Y502" s="133"/>
      <c r="Z502" s="487"/>
      <c r="AA502" s="488"/>
      <c r="AB502" s="489"/>
      <c r="AC502" s="133" t="str">
        <f t="shared" si="446"/>
        <v/>
      </c>
      <c r="AD502" s="136" t="str">
        <f t="shared" si="411"/>
        <v/>
      </c>
      <c r="AE502" s="117" t="str">
        <f t="shared" si="407"/>
        <v/>
      </c>
      <c r="AF502" s="136" t="str">
        <f t="shared" si="405"/>
        <v/>
      </c>
      <c r="AG502" s="471"/>
      <c r="AH502" s="471"/>
      <c r="AI502" s="133" t="str">
        <f t="shared" si="406"/>
        <v/>
      </c>
      <c r="AJ502" s="471"/>
      <c r="AK502" s="471"/>
      <c r="AL502" s="473"/>
      <c r="AM502" s="497"/>
      <c r="AN502" s="133"/>
      <c r="AO502" s="491"/>
      <c r="AP502" s="133"/>
      <c r="AQ502" s="491"/>
      <c r="AR502" s="523"/>
      <c r="AS502" s="520"/>
      <c r="AT502" s="206"/>
      <c r="AU502" s="700"/>
      <c r="AV502" s="703"/>
      <c r="AW502" s="709"/>
      <c r="AX502" s="721"/>
      <c r="AY502" s="19"/>
      <c r="CB502" s="29" t="str">
        <f>IFERROR(IF(COUNTIF(AF493:AF502,"")=10,"",IF(COUNTIF(E493:E502,"N/A")&gt;0,IF(AF502&gt;=CMEMM1,AF502,0),"N/A")),"")</f>
        <v/>
      </c>
      <c r="CC502" s="4"/>
      <c r="CD502" s="4" t="str">
        <f>IFERROR(IF(COUNTIF(AF493:AF502,"")=10,"",IF(AF502="","",IF(AF502&gt;=CMEMM1,1,0))),"")</f>
        <v/>
      </c>
      <c r="CE502" s="4" t="str">
        <f>B493&amp;"-"&amp;10</f>
        <v>P50-10</v>
      </c>
      <c r="CF502" s="4" t="str">
        <f>IFERROR(INDEX('DESEMPATE Y DISCAPACIDAD'!$D$3:$D$450,MATCH(CE502,'DESEMPATE Y DISCAPACIDAD'!$C$3:$C$450,0)),"")</f>
        <v/>
      </c>
      <c r="CG502" s="4" t="str">
        <f>IF(OR(CE502="",CF502=""),"",SUMIF(D493:D502,CF502,CD493:CD502))</f>
        <v/>
      </c>
      <c r="CH502" s="4" t="str">
        <f t="shared" si="435"/>
        <v/>
      </c>
      <c r="CI502" s="4" t="str">
        <f t="shared" si="447"/>
        <v/>
      </c>
      <c r="CJ502" s="4"/>
      <c r="CK502" s="4"/>
      <c r="CL502" s="4" t="str">
        <f t="shared" si="408"/>
        <v/>
      </c>
      <c r="CM502" s="4" t="str">
        <f t="shared" si="409"/>
        <v/>
      </c>
      <c r="CN502" s="4" t="str">
        <f t="shared" si="448"/>
        <v/>
      </c>
      <c r="CO502" s="4"/>
      <c r="CP502" s="4"/>
      <c r="CQ502" s="29" t="str">
        <f t="shared" si="449"/>
        <v/>
      </c>
      <c r="CR502" s="29" t="str">
        <f t="shared" si="450"/>
        <v/>
      </c>
      <c r="CS502" s="4"/>
    </row>
    <row r="503" spans="1:97" ht="34.25" hidden="1" customHeight="1">
      <c r="A503" s="4" t="str">
        <f>"A"&amp;B503</f>
        <v>AP51</v>
      </c>
      <c r="B503" s="480" t="s">
        <v>312</v>
      </c>
      <c r="C503" s="108"/>
      <c r="D503" s="119" t="str">
        <f>+IFERROR(INDEX('DESEMPATE Y DISCAPACIDAD'!$D$3:$D$450,MATCH(C503,'DESEMPATE Y DISCAPACIDAD'!$C$3:$C$450,0)),"")</f>
        <v/>
      </c>
      <c r="E503" s="120" t="str">
        <f>IFERROR(IF(D503="","",IF(VLOOKUP(D503,'DESEMPATE Y DISCAPACIDAD'!D$3:$E$450,2,FALSE)=1,"N/A",IF(VLOOKUP(D503,'DESEMPATE Y DISCAPACIDAD'!D$3:$F$450,3,FALSE)="X","SI","NO"))),"")</f>
        <v/>
      </c>
      <c r="F503" s="125"/>
      <c r="G503" s="125"/>
      <c r="H503" s="121"/>
      <c r="I503" s="122"/>
      <c r="J503" s="121"/>
      <c r="K503" s="121"/>
      <c r="L503" s="121"/>
      <c r="M503" s="121"/>
      <c r="N503" s="121" t="str">
        <f>IFERROR(IF(OR(J503="",K503=""),"",IF(J503="NO","NO",K503)),"")</f>
        <v/>
      </c>
      <c r="O503" s="121" t="str">
        <f>IFERROR(IF(OR(J503="",L503=""),"",IF(J503="NO","NO",L503)),"")</f>
        <v/>
      </c>
      <c r="P503" s="121" t="str">
        <f>IFERROR(IF(OR(J503="",M503=""),"",IF(J503="NO","NO",M503)),"")</f>
        <v/>
      </c>
      <c r="Q503" s="121" t="str">
        <f t="shared" si="410"/>
        <v/>
      </c>
      <c r="R503" s="103"/>
      <c r="S503" s="123"/>
      <c r="T503" s="123"/>
      <c r="U503" s="121" t="str">
        <f>IFERROR(IF(T503="","",YEAR(T503)),"")</f>
        <v/>
      </c>
      <c r="V503" s="124" t="str">
        <f>IF(U503=2023,1160000,IFERROR(INDEX(SMMLV!$B$2:$B$101,MATCH(U503,SMMLV!$A$2:$A$101,0)),""))</f>
        <v/>
      </c>
      <c r="W503" s="124"/>
      <c r="X503" s="121"/>
      <c r="Y503" s="121"/>
      <c r="Z503" s="483"/>
      <c r="AA503" s="484"/>
      <c r="AB503" s="485"/>
      <c r="AC503" s="121" t="str">
        <f>IFERROR(IF(Y503="","",IF(ISNUMBER(Y503),IF(COUNTIF(Z503,"SI")&gt;0,"SI","NO"),Y503)),"")</f>
        <v/>
      </c>
      <c r="AD503" s="124" t="str">
        <f t="shared" si="411"/>
        <v/>
      </c>
      <c r="AE503" s="117" t="str">
        <f t="shared" si="407"/>
        <v/>
      </c>
      <c r="AF503" s="124" t="str">
        <f t="shared" si="405"/>
        <v/>
      </c>
      <c r="AG503" s="486" t="str">
        <f>IFERROR(IF(COUNTIF(AF503:AF512,"")=10,"",IF(COUNTIF(E503:E512,"N/A")&gt;0,IF(SUM(CB503:CB512)&gt;=CMEM1,"CUMPLE","NO CUMPLE"),IF(SUM(AF503:AF512)&gt;=CMEM1,"CUMPLE","NO CUMPLE"))),"")</f>
        <v/>
      </c>
      <c r="AH503" s="486" t="str">
        <f>IF(COUNTIF(AF503:AF512,"")=10,"",IF(SUMIF(C503:C512,C503,AF503:AF512)&gt;=CMLM1,"CUMPLE",IF(SUMIF(C503:C512,C504,AF503:AF512)&gt;=CMLM1,"CUMPLE",IF(SUMIF(C503:C512,C505,AF503:AF512)&gt;=CMLM1,"CUMPLE",IF(SUMIF(C503:C512,C506,AF503:AF512)&gt;=CMLM1,"CUMPLE",IF(SUMIF(C503:C512,C507,AF503:AF512)&gt;=CMLM1,"CUMPLE",IF(SUMIF(C503:C512,C508,AF503:AF512)&gt;=CMLM1,"CUMPLE",IF(SUMIF(C503:C512,C509,AF503:AF512)&gt;=CMLM1,"CUMPLE",IF(SUMIF(C503:C512,C510,AF503:AF512)&gt;=CMLM1,"CUMPLE",IF(SUMIF(C503:C512,C511,AF503:AF512)&gt;=CMLM1,"CUMPLE",IF(SUMIF(C503:C512,C512,AF503:AF512)&gt;=CMLM1,"CUMPLE","NO CUMPLE")))))))))))</f>
        <v/>
      </c>
      <c r="AI503" s="121" t="str">
        <f t="shared" si="406"/>
        <v/>
      </c>
      <c r="AJ503" s="469" t="str">
        <f>IFERROR(IF(COUNTIF(AF503:AF512,"")=10,"",IF(COUNTIF(E503:E512,"N/A")&gt;0,"N/A",CJ503)),"")</f>
        <v/>
      </c>
      <c r="AK503" s="469" t="str">
        <f>IFERROR(IF(AND(COUNTIF(N503:N512,"SI")&gt;=1,COUNTIF(O503:O512,"SI")&gt;=1,COUNTIF(P503:P512,"SI")&gt;=1,COUNTIF(J503:J512,"SI")&lt;=10,CO503="CUMPLE"),"CUMPLE","NO CUMPLE"),"")</f>
        <v>NO CUMPLE</v>
      </c>
      <c r="AL503" s="472"/>
      <c r="AM503" s="495">
        <f>IFERROR(IF(B503&lt;&gt;"",IF(VLOOKUP(B503,'DESEMPATE Y DISCAPACIDAD'!$A$3:$Q$450,10,FALSE)="","",VLOOKUP(B503,'DESEMPATE Y DISCAPACIDAD'!$A$3:$Q$450,10,FALSE)+6),""),"")</f>
        <v>6</v>
      </c>
      <c r="AN503" s="121"/>
      <c r="AO503" s="490"/>
      <c r="AP503" s="121"/>
      <c r="AQ503" s="490" t="str">
        <f>IFERROR(IF(COUNTIF(AP503:AP512,"")=10,"",IF(AO503="NO",0,COUNTIF(AP503:AP512,"SI"))),"")</f>
        <v/>
      </c>
      <c r="AR503" s="521" t="str">
        <f>IFERROR(IF(COUNTIF(AF503:AF512,"")=10,"",IF(AO503="NO",0,IF(COUNTIF(E503:E512,"N/A")&gt;0,SUM(CQ503:CQ512),SUM(CR503:CR512)))),"")</f>
        <v/>
      </c>
      <c r="AS503" s="518" t="str">
        <f>IFERROR(IF(OR(COUNTIF(AF503:AF512,"")=10,AQ503="",AR503=""),"",IF(AO503="NO",0,AR503/AQ503)),"")</f>
        <v/>
      </c>
      <c r="AT503" s="207"/>
      <c r="AU503" s="722"/>
      <c r="AV503" s="701"/>
      <c r="AW503" s="704"/>
      <c r="AX503" s="704"/>
      <c r="AY503" s="19"/>
      <c r="CB503" s="29" t="str">
        <f>IFERROR(IF(COUNTIF(AF503:AF512,"")=10,"",IF(COUNTIF(E503:E512,"N/A")&gt;0,IF(AF503&gt;=CMEMM1,AF503,0),"N/A")),"")</f>
        <v/>
      </c>
      <c r="CC503" s="4"/>
      <c r="CD503" s="4" t="str">
        <f>IFERROR(IF(COUNTIF(AF503:AF512,"")=10,"",IF(AF503="","",IF(AF503&gt;=CMEMM1,1,0))),"")</f>
        <v/>
      </c>
      <c r="CE503" s="4" t="str">
        <f>B503&amp;"-0"&amp;1</f>
        <v>P51-01</v>
      </c>
      <c r="CF503" s="4">
        <f>IFERROR(INDEX('DESEMPATE Y DISCAPACIDAD'!$D$3:$D$450,MATCH(CE503,'DESEMPATE Y DISCAPACIDAD'!$C$3:$C$450,0)),"")</f>
        <v>0</v>
      </c>
      <c r="CG503" s="4">
        <f>IF(OR(CE503="",CF503=""),"",SUMIF(D503:D512,CF503,CD503:CD512))</f>
        <v>0</v>
      </c>
      <c r="CH503" s="4" t="str">
        <f t="shared" si="435"/>
        <v>NO CUMPLE</v>
      </c>
      <c r="CI503" s="4">
        <f>IF(CF503="","",IF(ISTEXT(CF503),1,0))</f>
        <v>0</v>
      </c>
      <c r="CJ503" s="4" t="str">
        <f>IF(OR(CD503="",CE503="",CF503="",CG503="",CH503="",CI503=""),"",IF(COUNTIF(CH503:CH512,"CUMPLE")=COUNTIF(CI503:CI512,1),"CUMPLE","NO CUMPLE"))</f>
        <v/>
      </c>
      <c r="CK503" s="4"/>
      <c r="CL503" s="4" t="str">
        <f t="shared" si="408"/>
        <v/>
      </c>
      <c r="CM503" s="4" t="str">
        <f t="shared" si="409"/>
        <v/>
      </c>
      <c r="CN503" s="4" t="str">
        <f>IF(OR(CL503="",CM503=""),"",IF(AND(CL503=0,CM503=0),"N/A",IF(AND(CL503=1,CM503=0),"COND. A",IF(AND(CL503=0,CM503=1),"COND. B",IF(AND(CL503=1,CM503=1),"COND. A Y B","")))))</f>
        <v/>
      </c>
      <c r="CO503" s="4" t="str">
        <f>IF(COUNTIF(CN503:CN512,"N/A")=10,"NO CUMPLE",IF(COUNTIF(CN503:CN512,"COND. A Y B")&gt;1,"CUMPLE",IF(AND(COUNTIF(CN503:CN512,"COND. A")&gt;0,COUNTIF(CN503:CN512,"COND. B")&gt;0),"CUMPLE",IF(AND(COUNTIF(CN503:CN512,"COND. A Y B")&gt;0,COUNTIF(CN503:CN512,"COND. A")&gt;0),"CUMPLE",IF(AND(COUNTIF(CN503:CN512,"COND. A Y B")&gt;0,COUNTIF(CN503:CN512,"COND. B")&gt;0),"CUMPLE","NO CUMPLE")))))</f>
        <v>NO CUMPLE</v>
      </c>
      <c r="CP503" s="4"/>
      <c r="CQ503" s="29" t="str">
        <f t="shared" si="449"/>
        <v/>
      </c>
      <c r="CR503" s="29" t="str">
        <f t="shared" si="450"/>
        <v/>
      </c>
      <c r="CS503" s="4"/>
    </row>
    <row r="504" spans="1:97" ht="34.25" hidden="1" customHeight="1">
      <c r="B504" s="481"/>
      <c r="C504" s="118"/>
      <c r="D504" s="119" t="str">
        <f>+IFERROR(INDEX('DESEMPATE Y DISCAPACIDAD'!$D$3:$D$450,MATCH(C504,'DESEMPATE Y DISCAPACIDAD'!$C$3:$C$450,0)),"")</f>
        <v/>
      </c>
      <c r="E504" s="120" t="str">
        <f>IFERROR(IF(D504="","",IF(VLOOKUP(D504,'DESEMPATE Y DISCAPACIDAD'!D$3:$E$450,2,FALSE)=1,"N/A",IF(VLOOKUP(D504,'DESEMPATE Y DISCAPACIDAD'!D$3:$F$450,3,FALSE)="X","SI","NO"))),"")</f>
        <v/>
      </c>
      <c r="F504" s="125"/>
      <c r="G504" s="125"/>
      <c r="H504" s="121"/>
      <c r="I504" s="122"/>
      <c r="J504" s="121"/>
      <c r="K504" s="121"/>
      <c r="L504" s="179"/>
      <c r="M504" s="121"/>
      <c r="N504" s="121" t="str">
        <f t="shared" ref="N504:N512" si="452">IFERROR(IF(OR(J504="",K504=""),"",IF(J504="NO","NO",K504)),"")</f>
        <v/>
      </c>
      <c r="O504" s="121" t="str">
        <f>IFERROR(IF(OR(J504="",L504=""),"",IF(J504="NO","NO",L504)),"")</f>
        <v/>
      </c>
      <c r="P504" s="121" t="str">
        <f t="shared" ref="P504:P512" si="453">IFERROR(IF(OR(J504="",M504=""),"",IF(J504="NO","NO",M504)),"")</f>
        <v/>
      </c>
      <c r="Q504" s="121" t="str">
        <f t="shared" si="410"/>
        <v/>
      </c>
      <c r="R504" s="103"/>
      <c r="S504" s="123"/>
      <c r="T504" s="123"/>
      <c r="U504" s="121" t="str">
        <f t="shared" ref="U504:U512" si="454">IFERROR(IF(T504="","",YEAR(T504)),"")</f>
        <v/>
      </c>
      <c r="V504" s="124" t="str">
        <f>IF(U504=2023,1160000,IFERROR(INDEX(SMMLV!$B$2:$B$101,MATCH(U504,SMMLV!$A$2:$A$101,0)),""))</f>
        <v/>
      </c>
      <c r="W504" s="124"/>
      <c r="X504" s="125"/>
      <c r="Y504" s="125"/>
      <c r="Z504" s="474"/>
      <c r="AA504" s="475"/>
      <c r="AB504" s="476"/>
      <c r="AC504" s="125" t="str">
        <f t="shared" ref="AC504:AC512" si="455">IFERROR(IF(Y504="","",IF(ISNUMBER(Y504),IF(COUNTIF(Z504,"SI")&gt;0,"SI","NO"),Y504)),"")</f>
        <v/>
      </c>
      <c r="AD504" s="117" t="str">
        <f t="shared" si="411"/>
        <v/>
      </c>
      <c r="AE504" s="117" t="str">
        <f t="shared" si="407"/>
        <v/>
      </c>
      <c r="AF504" s="117" t="str">
        <f t="shared" si="405"/>
        <v/>
      </c>
      <c r="AG504" s="470"/>
      <c r="AH504" s="470"/>
      <c r="AI504" s="125" t="str">
        <f t="shared" si="406"/>
        <v/>
      </c>
      <c r="AJ504" s="470"/>
      <c r="AK504" s="470"/>
      <c r="AL504" s="472"/>
      <c r="AM504" s="496"/>
      <c r="AN504" s="125"/>
      <c r="AO504" s="490"/>
      <c r="AP504" s="125"/>
      <c r="AQ504" s="490"/>
      <c r="AR504" s="522"/>
      <c r="AS504" s="519"/>
      <c r="AT504" s="204"/>
      <c r="AU504" s="723"/>
      <c r="AV504" s="702"/>
      <c r="AW504" s="705"/>
      <c r="AX504" s="705"/>
      <c r="AY504" s="19"/>
      <c r="CB504" s="29" t="str">
        <f>IFERROR(IF(COUNTIF(AF503:AF512,"")=10,"",IF(COUNTIF(E503:E512,"N/A")&gt;0,IF(AF504&gt;=CMEMM1,AF504,0),"N/A")),"")</f>
        <v/>
      </c>
      <c r="CC504" s="4"/>
      <c r="CD504" s="4" t="str">
        <f>IFERROR(IF(COUNTIF(AF503:AF512,"")=10,"",IF(AF504="","",IF(AF504&gt;=CMEMM1,1,0))),"")</f>
        <v/>
      </c>
      <c r="CE504" s="4" t="str">
        <f>B503&amp;"-0"&amp;2</f>
        <v>P51-02</v>
      </c>
      <c r="CF504" s="4">
        <f>IFERROR(INDEX('DESEMPATE Y DISCAPACIDAD'!$D$3:$D$450,MATCH(CE504,'DESEMPATE Y DISCAPACIDAD'!$C$3:$C$450,0)),"")</f>
        <v>0</v>
      </c>
      <c r="CG504" s="4">
        <f>IF(OR(CE504="",CF504=""),"",SUMIF(D503:D512,CF504,CD503:CD512))</f>
        <v>0</v>
      </c>
      <c r="CH504" s="4" t="str">
        <f t="shared" si="435"/>
        <v>NO CUMPLE</v>
      </c>
      <c r="CI504" s="4">
        <f t="shared" ref="CI504:CI512" si="456">IF(CF504="","",IF(ISTEXT(CF504),1,0))</f>
        <v>0</v>
      </c>
      <c r="CJ504" s="4"/>
      <c r="CK504" s="4"/>
      <c r="CL504" s="4" t="str">
        <f t="shared" si="408"/>
        <v/>
      </c>
      <c r="CM504" s="4" t="str">
        <f t="shared" si="409"/>
        <v/>
      </c>
      <c r="CN504" s="4" t="str">
        <f t="shared" ref="CN504:CN512" si="457">IF(OR(CL504="",CM504=""),"",IF(AND(CL504=0,CM504=0),"N/A",IF(AND(CL504=1,CM504=0),"COND. A",IF(AND(CL504=0,CM504=1),"COND. B",IF(AND(CL504=1,CM504=1),"COND. A Y B","")))))</f>
        <v/>
      </c>
      <c r="CO504" s="4"/>
      <c r="CP504" s="4"/>
      <c r="CQ504" s="29" t="str">
        <f t="shared" si="449"/>
        <v/>
      </c>
      <c r="CR504" s="29" t="str">
        <f t="shared" si="450"/>
        <v/>
      </c>
      <c r="CS504" s="4"/>
    </row>
    <row r="505" spans="1:97" ht="34.25" hidden="1" customHeight="1">
      <c r="B505" s="481"/>
      <c r="C505" s="118"/>
      <c r="D505" s="126" t="str">
        <f>+IFERROR(INDEX('DESEMPATE Y DISCAPACIDAD'!$D$3:$D$450,MATCH(C505,'DESEMPATE Y DISCAPACIDAD'!$C$3:$C$450,0)),"")</f>
        <v/>
      </c>
      <c r="E505" s="127" t="str">
        <f>IFERROR(IF(D505="","",IF(VLOOKUP(D505,'DESEMPATE Y DISCAPACIDAD'!D$3:$E$450,2,FALSE)=1,"N/A",IF(VLOOKUP(D505,'DESEMPATE Y DISCAPACIDAD'!D$3:$F$450,3,FALSE)="X","SI","NO"))),"")</f>
        <v/>
      </c>
      <c r="F505" s="121"/>
      <c r="G505" s="121"/>
      <c r="H505" s="125"/>
      <c r="I505" s="128"/>
      <c r="J505" s="125"/>
      <c r="K505" s="121"/>
      <c r="L505" s="179"/>
      <c r="M505" s="121"/>
      <c r="N505" s="125" t="str">
        <f t="shared" si="452"/>
        <v/>
      </c>
      <c r="O505" s="125" t="str">
        <f>IFERROR(IF(OR(J505="",L505=""),"",IF(J505="NO","NO",L505)),"")</f>
        <v/>
      </c>
      <c r="P505" s="125" t="str">
        <f t="shared" si="453"/>
        <v/>
      </c>
      <c r="Q505" s="125" t="str">
        <f t="shared" si="410"/>
        <v/>
      </c>
      <c r="R505" s="68"/>
      <c r="S505" s="129"/>
      <c r="T505" s="129"/>
      <c r="U505" s="125" t="str">
        <f t="shared" si="454"/>
        <v/>
      </c>
      <c r="V505" s="117" t="str">
        <f>IF(U505=2023,1160000,IFERROR(INDEX(SMMLV!$B$2:$B$101,MATCH(U505,SMMLV!$A$2:$A$101,0)),""))</f>
        <v/>
      </c>
      <c r="W505" s="117"/>
      <c r="X505" s="125"/>
      <c r="Y505" s="125"/>
      <c r="Z505" s="474"/>
      <c r="AA505" s="475"/>
      <c r="AB505" s="476"/>
      <c r="AC505" s="125" t="str">
        <f t="shared" si="455"/>
        <v/>
      </c>
      <c r="AD505" s="117" t="str">
        <f t="shared" si="411"/>
        <v/>
      </c>
      <c r="AE505" s="117" t="str">
        <f t="shared" si="407"/>
        <v/>
      </c>
      <c r="AF505" s="117" t="str">
        <f t="shared" si="405"/>
        <v/>
      </c>
      <c r="AG505" s="470"/>
      <c r="AH505" s="470"/>
      <c r="AI505" s="125" t="str">
        <f t="shared" si="406"/>
        <v/>
      </c>
      <c r="AJ505" s="470"/>
      <c r="AK505" s="470"/>
      <c r="AL505" s="472"/>
      <c r="AM505" s="496"/>
      <c r="AN505" s="125"/>
      <c r="AO505" s="490"/>
      <c r="AP505" s="125"/>
      <c r="AQ505" s="490"/>
      <c r="AR505" s="522"/>
      <c r="AS505" s="519"/>
      <c r="AT505" s="204"/>
      <c r="AU505" s="723"/>
      <c r="AV505" s="702"/>
      <c r="AW505" s="705"/>
      <c r="AX505" s="705"/>
      <c r="AY505" s="19"/>
      <c r="CB505" s="29" t="str">
        <f>IFERROR(IF(COUNTIF(AF503:AF512,"")=10,"",IF(COUNTIF(E503:E512,"N/A")&gt;0,IF(AF505&gt;=CMEMM1,AF505,0),"N/A")),"")</f>
        <v/>
      </c>
      <c r="CC505" s="4"/>
      <c r="CD505" s="4" t="str">
        <f>IFERROR(IF(COUNTIF(AF503:AF512,"")=10,"",IF(AF505="","",IF(AF505&gt;=CMEMM1,1,0))),"")</f>
        <v/>
      </c>
      <c r="CE505" s="4" t="str">
        <f>B503&amp;"-0"&amp;3</f>
        <v>P51-03</v>
      </c>
      <c r="CF505" s="4">
        <f>IFERROR(INDEX('DESEMPATE Y DISCAPACIDAD'!$D$3:$D$450,MATCH(CE505,'DESEMPATE Y DISCAPACIDAD'!$C$3:$C$450,0)),"")</f>
        <v>0</v>
      </c>
      <c r="CG505" s="4">
        <f>IF(OR(CE505="",CF505=""),"",SUMIF(D503:D512,CF505,CD503:CD512))</f>
        <v>0</v>
      </c>
      <c r="CH505" s="4" t="str">
        <f t="shared" si="435"/>
        <v>NO CUMPLE</v>
      </c>
      <c r="CI505" s="4">
        <f t="shared" si="456"/>
        <v>0</v>
      </c>
      <c r="CJ505" s="4"/>
      <c r="CK505" s="4"/>
      <c r="CL505" s="4" t="str">
        <f t="shared" si="408"/>
        <v/>
      </c>
      <c r="CM505" s="4" t="str">
        <f t="shared" si="409"/>
        <v/>
      </c>
      <c r="CN505" s="4" t="str">
        <f t="shared" si="457"/>
        <v/>
      </c>
      <c r="CO505" s="4"/>
      <c r="CP505" s="4"/>
      <c r="CQ505" s="29" t="str">
        <f t="shared" si="449"/>
        <v/>
      </c>
      <c r="CR505" s="29" t="str">
        <f t="shared" si="450"/>
        <v/>
      </c>
      <c r="CS505" s="4"/>
    </row>
    <row r="506" spans="1:97" ht="34.25" hidden="1" customHeight="1">
      <c r="B506" s="481"/>
      <c r="C506" s="118"/>
      <c r="D506" s="126" t="str">
        <f>+IFERROR(INDEX('DESEMPATE Y DISCAPACIDAD'!$D$3:$D$450,MATCH(C506,'DESEMPATE Y DISCAPACIDAD'!$C$3:$C$450,0)),"")</f>
        <v/>
      </c>
      <c r="E506" s="127" t="str">
        <f>IFERROR(IF(D506="","",IF(VLOOKUP(D506,'DESEMPATE Y DISCAPACIDAD'!D$3:$E$450,2,FALSE)=1,"N/A",IF(VLOOKUP(D506,'DESEMPATE Y DISCAPACIDAD'!D$3:$F$450,3,FALSE)="X","SI","NO"))),"")</f>
        <v/>
      </c>
      <c r="F506" s="141"/>
      <c r="G506" s="125"/>
      <c r="H506" s="125"/>
      <c r="I506" s="128"/>
      <c r="J506" s="125"/>
      <c r="K506" s="121"/>
      <c r="L506" s="179"/>
      <c r="M506" s="121"/>
      <c r="N506" s="125" t="str">
        <f t="shared" si="452"/>
        <v/>
      </c>
      <c r="O506" s="125" t="str">
        <f>IFERROR(IF(OR(J506="",L506=""),"",IF(J506="NO","NO",L506)),"")</f>
        <v/>
      </c>
      <c r="P506" s="125" t="str">
        <f t="shared" si="453"/>
        <v/>
      </c>
      <c r="Q506" s="125" t="str">
        <f t="shared" si="410"/>
        <v/>
      </c>
      <c r="R506" s="68"/>
      <c r="S506" s="129"/>
      <c r="T506" s="129"/>
      <c r="U506" s="125" t="str">
        <f t="shared" si="454"/>
        <v/>
      </c>
      <c r="V506" s="117" t="str">
        <f>IF(U506=2023,1160000,IFERROR(INDEX(SMMLV!$B$2:$B$101,MATCH(U506,SMMLV!$A$2:$A$101,0)),""))</f>
        <v/>
      </c>
      <c r="W506" s="117"/>
      <c r="X506" s="125"/>
      <c r="Y506" s="125"/>
      <c r="Z506" s="474"/>
      <c r="AA506" s="475"/>
      <c r="AB506" s="476"/>
      <c r="AC506" s="125" t="str">
        <f t="shared" si="455"/>
        <v/>
      </c>
      <c r="AD506" s="117" t="str">
        <f t="shared" si="411"/>
        <v/>
      </c>
      <c r="AE506" s="117" t="str">
        <f t="shared" si="407"/>
        <v/>
      </c>
      <c r="AF506" s="117" t="str">
        <f t="shared" si="405"/>
        <v/>
      </c>
      <c r="AG506" s="470"/>
      <c r="AH506" s="470"/>
      <c r="AI506" s="125" t="str">
        <f t="shared" si="406"/>
        <v/>
      </c>
      <c r="AJ506" s="470"/>
      <c r="AK506" s="470"/>
      <c r="AL506" s="472"/>
      <c r="AM506" s="496"/>
      <c r="AN506" s="125"/>
      <c r="AO506" s="490"/>
      <c r="AP506" s="125"/>
      <c r="AQ506" s="490"/>
      <c r="AR506" s="522"/>
      <c r="AS506" s="519"/>
      <c r="AT506" s="204"/>
      <c r="AU506" s="723"/>
      <c r="AV506" s="702"/>
      <c r="AW506" s="705"/>
      <c r="AX506" s="705"/>
      <c r="AY506" s="19"/>
      <c r="CB506" s="29" t="str">
        <f>IFERROR(IF(COUNTIF(AF503:AF512,"")=10,"",IF(COUNTIF(E503:E512,"N/A")&gt;0,IF(AF506&gt;=CMEMM1,AF506,0),"N/A")),"")</f>
        <v/>
      </c>
      <c r="CC506" s="4"/>
      <c r="CD506" s="4" t="str">
        <f>IFERROR(IF(COUNTIF(AF503:AF512,"")=10,"",IF(AF506="","",IF(AF506&gt;=CMEMM1,1,0))),"")</f>
        <v/>
      </c>
      <c r="CE506" s="4" t="str">
        <f>B503&amp;"-0"&amp;4</f>
        <v>P51-04</v>
      </c>
      <c r="CF506" s="4">
        <f>IFERROR(INDEX('DESEMPATE Y DISCAPACIDAD'!$D$3:$D$450,MATCH(CE506,'DESEMPATE Y DISCAPACIDAD'!$C$3:$C$450,0)),"")</f>
        <v>0</v>
      </c>
      <c r="CG506" s="4">
        <f>IF(OR(CE506="",CF506=""),"",SUMIF(D503:D512,CF506,CD503:CD512))</f>
        <v>0</v>
      </c>
      <c r="CH506" s="4" t="str">
        <f t="shared" si="435"/>
        <v>NO CUMPLE</v>
      </c>
      <c r="CI506" s="4">
        <f t="shared" si="456"/>
        <v>0</v>
      </c>
      <c r="CJ506" s="4"/>
      <c r="CK506" s="4"/>
      <c r="CL506" s="4" t="str">
        <f t="shared" si="408"/>
        <v/>
      </c>
      <c r="CM506" s="4" t="str">
        <f t="shared" si="409"/>
        <v/>
      </c>
      <c r="CN506" s="4" t="str">
        <f t="shared" si="457"/>
        <v/>
      </c>
      <c r="CO506" s="4"/>
      <c r="CP506" s="4"/>
      <c r="CQ506" s="29" t="str">
        <f t="shared" si="449"/>
        <v/>
      </c>
      <c r="CR506" s="29" t="str">
        <f t="shared" si="450"/>
        <v/>
      </c>
      <c r="CS506" s="4"/>
    </row>
    <row r="507" spans="1:97" ht="34.25" hidden="1" customHeight="1">
      <c r="B507" s="481"/>
      <c r="C507" s="118"/>
      <c r="D507" s="126" t="str">
        <f>+IFERROR(INDEX('DESEMPATE Y DISCAPACIDAD'!$D$3:$D$450,MATCH(C507,'DESEMPATE Y DISCAPACIDAD'!$C$3:$C$450,0)),"")</f>
        <v/>
      </c>
      <c r="E507" s="127" t="str">
        <f>IFERROR(IF(D507="","",IF(VLOOKUP(D507,'DESEMPATE Y DISCAPACIDAD'!D$3:$E$450,2,FALSE)=1,"N/A",IF(VLOOKUP(D507,'DESEMPATE Y DISCAPACIDAD'!D$3:$F$450,3,FALSE)="X","SI","NO"))),"")</f>
        <v/>
      </c>
      <c r="F507" s="125"/>
      <c r="G507" s="125"/>
      <c r="H507" s="125"/>
      <c r="I507" s="128"/>
      <c r="J507" s="125"/>
      <c r="K507" s="121"/>
      <c r="L507" s="179"/>
      <c r="M507" s="121"/>
      <c r="N507" s="125" t="str">
        <f t="shared" si="452"/>
        <v/>
      </c>
      <c r="O507" s="125" t="str">
        <f t="shared" ref="O507:O512" si="458">IFERROR(IF(OR(J507="",L507=""),"",IF(J507="NO","NO",L507)),"")</f>
        <v/>
      </c>
      <c r="P507" s="125" t="str">
        <f t="shared" si="453"/>
        <v/>
      </c>
      <c r="Q507" s="125" t="str">
        <f t="shared" si="410"/>
        <v/>
      </c>
      <c r="R507" s="68"/>
      <c r="S507" s="129"/>
      <c r="T507" s="129"/>
      <c r="U507" s="125" t="str">
        <f t="shared" si="454"/>
        <v/>
      </c>
      <c r="V507" s="117" t="str">
        <f>IF(U507=2023,1160000,IFERROR(INDEX(SMMLV!$B$2:$B$101,MATCH(U507,SMMLV!$A$2:$A$101,0)),""))</f>
        <v/>
      </c>
      <c r="W507" s="117"/>
      <c r="X507" s="125"/>
      <c r="Y507" s="125"/>
      <c r="Z507" s="474"/>
      <c r="AA507" s="475"/>
      <c r="AB507" s="476"/>
      <c r="AC507" s="125" t="str">
        <f t="shared" si="455"/>
        <v/>
      </c>
      <c r="AD507" s="117" t="str">
        <f t="shared" si="411"/>
        <v/>
      </c>
      <c r="AE507" s="117" t="str">
        <f t="shared" si="407"/>
        <v/>
      </c>
      <c r="AF507" s="117" t="str">
        <f t="shared" si="405"/>
        <v/>
      </c>
      <c r="AG507" s="470"/>
      <c r="AH507" s="470"/>
      <c r="AI507" s="125" t="str">
        <f t="shared" si="406"/>
        <v/>
      </c>
      <c r="AJ507" s="470"/>
      <c r="AK507" s="470"/>
      <c r="AL507" s="472"/>
      <c r="AM507" s="496"/>
      <c r="AN507" s="125"/>
      <c r="AO507" s="490"/>
      <c r="AP507" s="125"/>
      <c r="AQ507" s="490"/>
      <c r="AR507" s="522"/>
      <c r="AS507" s="519"/>
      <c r="AT507" s="204"/>
      <c r="AU507" s="723"/>
      <c r="AV507" s="702"/>
      <c r="AW507" s="705"/>
      <c r="AX507" s="705"/>
      <c r="AY507" s="19"/>
      <c r="CB507" s="29" t="str">
        <f>IFERROR(IF(COUNTIF(AF503:AF512,"")=10,"",IF(COUNTIF(E503:E512,"N/A")&gt;0,IF(AF507&gt;=CMEMM1,AF507,0),"N/A")),"")</f>
        <v/>
      </c>
      <c r="CC507" s="4"/>
      <c r="CD507" s="4" t="str">
        <f>IFERROR(IF(COUNTIF(AF503:AF512,"")=10,"",IF(AF507="","",IF(AF507&gt;=CMEMM1,1,0))),"")</f>
        <v/>
      </c>
      <c r="CE507" s="4" t="str">
        <f>B503&amp;"-0"&amp;5</f>
        <v>P51-05</v>
      </c>
      <c r="CF507" s="4">
        <f>IFERROR(INDEX('DESEMPATE Y DISCAPACIDAD'!$D$3:$D$450,MATCH(CE507,'DESEMPATE Y DISCAPACIDAD'!$C$3:$C$450,0)),"")</f>
        <v>0</v>
      </c>
      <c r="CG507" s="4">
        <f>IF(OR(CE507="",CF507=""),"",SUMIF(D503:D512,CF507,CD503:CD512))</f>
        <v>0</v>
      </c>
      <c r="CH507" s="4" t="str">
        <f t="shared" si="435"/>
        <v>NO CUMPLE</v>
      </c>
      <c r="CI507" s="4">
        <f t="shared" si="456"/>
        <v>0</v>
      </c>
      <c r="CJ507" s="4"/>
      <c r="CK507" s="4"/>
      <c r="CL507" s="4" t="str">
        <f t="shared" si="408"/>
        <v/>
      </c>
      <c r="CM507" s="4" t="str">
        <f t="shared" si="409"/>
        <v/>
      </c>
      <c r="CN507" s="4" t="str">
        <f t="shared" si="457"/>
        <v/>
      </c>
      <c r="CO507" s="4"/>
      <c r="CP507" s="4"/>
      <c r="CQ507" s="29" t="str">
        <f t="shared" si="449"/>
        <v/>
      </c>
      <c r="CR507" s="29" t="str">
        <f t="shared" si="450"/>
        <v/>
      </c>
      <c r="CS507" s="4"/>
    </row>
    <row r="508" spans="1:97" ht="34.25" hidden="1" customHeight="1">
      <c r="B508" s="481"/>
      <c r="C508" s="118"/>
      <c r="D508" s="126" t="str">
        <f>+IFERROR(INDEX('DESEMPATE Y DISCAPACIDAD'!$D$3:$D$450,MATCH(C508,'DESEMPATE Y DISCAPACIDAD'!$C$3:$C$450,0)),"")</f>
        <v/>
      </c>
      <c r="E508" s="127" t="str">
        <f>IFERROR(IF(D508="","",IF(VLOOKUP(D508,'DESEMPATE Y DISCAPACIDAD'!D$3:$E$450,2,FALSE)=1,"N/A",IF(VLOOKUP(D508,'DESEMPATE Y DISCAPACIDAD'!D$3:$F$450,3,FALSE)="X","SI","NO"))),"")</f>
        <v/>
      </c>
      <c r="F508" s="125"/>
      <c r="G508" s="125"/>
      <c r="H508" s="125"/>
      <c r="I508" s="128"/>
      <c r="J508" s="125"/>
      <c r="K508" s="121"/>
      <c r="L508" s="179"/>
      <c r="M508" s="121"/>
      <c r="N508" s="125" t="str">
        <f t="shared" si="452"/>
        <v/>
      </c>
      <c r="O508" s="125" t="str">
        <f t="shared" si="458"/>
        <v/>
      </c>
      <c r="P508" s="125" t="str">
        <f t="shared" si="453"/>
        <v/>
      </c>
      <c r="Q508" s="125" t="str">
        <f t="shared" si="410"/>
        <v/>
      </c>
      <c r="R508" s="68"/>
      <c r="S508" s="129"/>
      <c r="T508" s="129"/>
      <c r="U508" s="125" t="str">
        <f t="shared" si="454"/>
        <v/>
      </c>
      <c r="V508" s="117" t="str">
        <f>IF(U508=2023,1160000,IFERROR(INDEX(SMMLV!$B$2:$B$101,MATCH(U508,SMMLV!$A$2:$A$101,0)),""))</f>
        <v/>
      </c>
      <c r="W508" s="117"/>
      <c r="X508" s="125"/>
      <c r="Y508" s="125"/>
      <c r="Z508" s="474"/>
      <c r="AA508" s="475"/>
      <c r="AB508" s="476"/>
      <c r="AC508" s="125" t="str">
        <f t="shared" si="455"/>
        <v/>
      </c>
      <c r="AD508" s="117" t="str">
        <f t="shared" si="411"/>
        <v/>
      </c>
      <c r="AE508" s="117" t="str">
        <f t="shared" si="407"/>
        <v/>
      </c>
      <c r="AF508" s="117" t="str">
        <f t="shared" si="405"/>
        <v/>
      </c>
      <c r="AG508" s="470"/>
      <c r="AH508" s="470"/>
      <c r="AI508" s="125" t="str">
        <f t="shared" si="406"/>
        <v/>
      </c>
      <c r="AJ508" s="470"/>
      <c r="AK508" s="470"/>
      <c r="AL508" s="472"/>
      <c r="AM508" s="496"/>
      <c r="AN508" s="125"/>
      <c r="AO508" s="490"/>
      <c r="AP508" s="125"/>
      <c r="AQ508" s="490"/>
      <c r="AR508" s="522"/>
      <c r="AS508" s="519"/>
      <c r="AT508" s="204"/>
      <c r="AU508" s="723"/>
      <c r="AV508" s="702"/>
      <c r="AW508" s="705"/>
      <c r="AX508" s="705"/>
      <c r="AY508" s="19"/>
      <c r="CB508" s="29" t="str">
        <f>IFERROR(IF(COUNTIF(AF503:AF512,"")=10,"",IF(COUNTIF(E503:E512,"N/A")&gt;0,IF(AF508&gt;=CMEMM1,AF508,0),"N/A")),"")</f>
        <v/>
      </c>
      <c r="CC508" s="4"/>
      <c r="CD508" s="4" t="str">
        <f>IFERROR(IF(COUNTIF(AF503:AF512,"")=10,"",IF(AF508="","",IF(AF508&gt;=CMEMM1,1,0))),"")</f>
        <v/>
      </c>
      <c r="CE508" s="4" t="str">
        <f>B503&amp;"-0"&amp;6</f>
        <v>P51-06</v>
      </c>
      <c r="CF508" s="4">
        <f>IFERROR(INDEX('DESEMPATE Y DISCAPACIDAD'!$D$3:$D$450,MATCH(CE508,'DESEMPATE Y DISCAPACIDAD'!$C$3:$C$450,0)),"")</f>
        <v>0</v>
      </c>
      <c r="CG508" s="4">
        <f>IF(OR(CE508="",CF508=""),"",SUMIF(D503:D512,CF508,CD503:CD512))</f>
        <v>0</v>
      </c>
      <c r="CH508" s="4" t="str">
        <f t="shared" si="435"/>
        <v>NO CUMPLE</v>
      </c>
      <c r="CI508" s="4">
        <f t="shared" si="456"/>
        <v>0</v>
      </c>
      <c r="CJ508" s="4"/>
      <c r="CK508" s="4"/>
      <c r="CL508" s="4" t="str">
        <f t="shared" si="408"/>
        <v/>
      </c>
      <c r="CM508" s="4" t="str">
        <f t="shared" si="409"/>
        <v/>
      </c>
      <c r="CN508" s="4" t="str">
        <f t="shared" si="457"/>
        <v/>
      </c>
      <c r="CO508" s="4"/>
      <c r="CP508" s="4"/>
      <c r="CQ508" s="29" t="str">
        <f>IF(OR(AN507="",CB508=""),"",IF(AN507="NO",CB508,0))</f>
        <v/>
      </c>
      <c r="CR508" s="29" t="str">
        <f>IF(OR(AN507="",AF508=""),"",IF(AN507="NO",AF508,0))</f>
        <v/>
      </c>
      <c r="CS508" s="4"/>
    </row>
    <row r="509" spans="1:97" ht="34.25" hidden="1" customHeight="1">
      <c r="B509" s="481"/>
      <c r="C509" s="118"/>
      <c r="D509" s="126" t="str">
        <f>+IFERROR(INDEX('DESEMPATE Y DISCAPACIDAD'!$D$3:$D$450,MATCH(C509,'DESEMPATE Y DISCAPACIDAD'!$C$3:$C$450,0)),"")</f>
        <v/>
      </c>
      <c r="E509" s="127" t="str">
        <f>IFERROR(IF(D509="","",IF(VLOOKUP(D509,'DESEMPATE Y DISCAPACIDAD'!D$3:$E$450,2,FALSE)=1,"N/A",IF(VLOOKUP(D509,'DESEMPATE Y DISCAPACIDAD'!D$3:$F$450,3,FALSE)="X","SI","NO"))),"")</f>
        <v/>
      </c>
      <c r="F509" s="125"/>
      <c r="G509" s="125"/>
      <c r="H509" s="125"/>
      <c r="I509" s="128"/>
      <c r="J509" s="125"/>
      <c r="K509" s="125"/>
      <c r="L509" s="3"/>
      <c r="M509" s="125"/>
      <c r="N509" s="125" t="str">
        <f t="shared" si="452"/>
        <v/>
      </c>
      <c r="O509" s="125" t="str">
        <f t="shared" si="458"/>
        <v/>
      </c>
      <c r="P509" s="125" t="str">
        <f t="shared" si="453"/>
        <v/>
      </c>
      <c r="Q509" s="125" t="str">
        <f t="shared" si="410"/>
        <v/>
      </c>
      <c r="R509" s="68"/>
      <c r="S509" s="129"/>
      <c r="T509" s="129"/>
      <c r="U509" s="125" t="str">
        <f t="shared" si="454"/>
        <v/>
      </c>
      <c r="V509" s="117" t="str">
        <f>IF(U509=2023,1160000,IFERROR(INDEX(SMMLV!$B$2:$B$101,MATCH(U509,SMMLV!$A$2:$A$101,0)),""))</f>
        <v/>
      </c>
      <c r="W509" s="117"/>
      <c r="X509" s="125"/>
      <c r="Y509" s="125"/>
      <c r="Z509" s="474"/>
      <c r="AA509" s="475"/>
      <c r="AB509" s="476"/>
      <c r="AC509" s="125" t="str">
        <f t="shared" si="455"/>
        <v/>
      </c>
      <c r="AD509" s="117" t="str">
        <f t="shared" si="411"/>
        <v/>
      </c>
      <c r="AE509" s="117" t="str">
        <f t="shared" si="407"/>
        <v/>
      </c>
      <c r="AF509" s="117" t="str">
        <f t="shared" si="405"/>
        <v/>
      </c>
      <c r="AG509" s="470"/>
      <c r="AH509" s="470"/>
      <c r="AI509" s="125" t="str">
        <f t="shared" si="406"/>
        <v/>
      </c>
      <c r="AJ509" s="470"/>
      <c r="AK509" s="470"/>
      <c r="AL509" s="472"/>
      <c r="AM509" s="496"/>
      <c r="AN509" s="125"/>
      <c r="AO509" s="490"/>
      <c r="AP509" s="125"/>
      <c r="AQ509" s="490"/>
      <c r="AR509" s="522"/>
      <c r="AS509" s="519"/>
      <c r="AT509" s="204"/>
      <c r="AU509" s="723"/>
      <c r="AV509" s="702"/>
      <c r="AW509" s="705"/>
      <c r="AX509" s="705"/>
      <c r="AY509" s="19"/>
      <c r="CB509" s="29" t="str">
        <f>IFERROR(IF(COUNTIF(AF503:AF512,"")=10,"",IF(COUNTIF(E503:E512,"N/A")&gt;0,IF(AF509&gt;=CMEMM1,AF509,0),"N/A")),"")</f>
        <v/>
      </c>
      <c r="CC509" s="4"/>
      <c r="CD509" s="4" t="str">
        <f>IFERROR(IF(COUNTIF(AF503:AF512,"")=10,"",IF(AF509="","",IF(AF509&gt;=CMEMM1,1,0))),"")</f>
        <v/>
      </c>
      <c r="CE509" s="4" t="str">
        <f>B503&amp;"-0"&amp;7</f>
        <v>P51-07</v>
      </c>
      <c r="CF509" s="4" t="str">
        <f>IFERROR(INDEX('DESEMPATE Y DISCAPACIDAD'!$D$3:$D$450,MATCH(CE509,'DESEMPATE Y DISCAPACIDAD'!$C$3:$C$450,0)),"")</f>
        <v/>
      </c>
      <c r="CG509" s="4" t="str">
        <f>IF(OR(CE509="",CF509=""),"",SUMIF(D503:D512,CF509,CD503:CD512))</f>
        <v/>
      </c>
      <c r="CH509" s="4" t="str">
        <f t="shared" si="435"/>
        <v/>
      </c>
      <c r="CI509" s="4" t="str">
        <f t="shared" si="456"/>
        <v/>
      </c>
      <c r="CJ509" s="4"/>
      <c r="CK509" s="4"/>
      <c r="CL509" s="4" t="str">
        <f t="shared" si="408"/>
        <v/>
      </c>
      <c r="CM509" s="4" t="str">
        <f t="shared" si="409"/>
        <v/>
      </c>
      <c r="CN509" s="4" t="str">
        <f t="shared" si="457"/>
        <v/>
      </c>
      <c r="CO509" s="4"/>
      <c r="CP509" s="4"/>
      <c r="CQ509" s="29" t="str">
        <f t="shared" ref="CQ509:CQ540" si="459">IF(OR(AN509="",CB509=""),"",IF(AN509="NO",CB509,0))</f>
        <v/>
      </c>
      <c r="CR509" s="29" t="str">
        <f t="shared" ref="CR509:CR540" si="460">IF(OR(AN509="",AF509=""),"",IF(AN509="NO",AF509,0))</f>
        <v/>
      </c>
      <c r="CS509" s="4"/>
    </row>
    <row r="510" spans="1:97" ht="34.25" hidden="1" customHeight="1">
      <c r="B510" s="481"/>
      <c r="C510" s="118"/>
      <c r="D510" s="126" t="str">
        <f>+IFERROR(INDEX('DESEMPATE Y DISCAPACIDAD'!$D$3:$D$450,MATCH(C510,'DESEMPATE Y DISCAPACIDAD'!$C$3:$C$450,0)),"")</f>
        <v/>
      </c>
      <c r="E510" s="127" t="str">
        <f>IFERROR(IF(D510="","",IF(VLOOKUP(D510,'DESEMPATE Y DISCAPACIDAD'!D$3:$E$450,2,FALSE)=1,"N/A",IF(VLOOKUP(D510,'DESEMPATE Y DISCAPACIDAD'!D$3:$F$450,3,FALSE)="X","SI","NO"))),"")</f>
        <v/>
      </c>
      <c r="F510" s="125"/>
      <c r="G510" s="125"/>
      <c r="H510" s="125"/>
      <c r="I510" s="128"/>
      <c r="J510" s="125"/>
      <c r="K510" s="125"/>
      <c r="L510" s="3"/>
      <c r="M510" s="125"/>
      <c r="N510" s="125" t="str">
        <f t="shared" si="452"/>
        <v/>
      </c>
      <c r="O510" s="125" t="str">
        <f t="shared" si="458"/>
        <v/>
      </c>
      <c r="P510" s="125" t="str">
        <f t="shared" si="453"/>
        <v/>
      </c>
      <c r="Q510" s="125" t="str">
        <f t="shared" si="410"/>
        <v/>
      </c>
      <c r="R510" s="68"/>
      <c r="S510" s="129"/>
      <c r="T510" s="129"/>
      <c r="U510" s="125" t="str">
        <f t="shared" si="454"/>
        <v/>
      </c>
      <c r="V510" s="117" t="str">
        <f>IF(U510=2023,1160000,IFERROR(INDEX(SMMLV!$B$2:$B$101,MATCH(U510,SMMLV!$A$2:$A$101,0)),""))</f>
        <v/>
      </c>
      <c r="W510" s="117"/>
      <c r="X510" s="125"/>
      <c r="Y510" s="125"/>
      <c r="Z510" s="474"/>
      <c r="AA510" s="475"/>
      <c r="AB510" s="476"/>
      <c r="AC510" s="125" t="str">
        <f t="shared" si="455"/>
        <v/>
      </c>
      <c r="AD510" s="117" t="str">
        <f t="shared" si="411"/>
        <v/>
      </c>
      <c r="AE510" s="117" t="str">
        <f t="shared" si="407"/>
        <v/>
      </c>
      <c r="AF510" s="117" t="str">
        <f t="shared" si="405"/>
        <v/>
      </c>
      <c r="AG510" s="470"/>
      <c r="AH510" s="470"/>
      <c r="AI510" s="125" t="str">
        <f t="shared" si="406"/>
        <v/>
      </c>
      <c r="AJ510" s="470"/>
      <c r="AK510" s="470"/>
      <c r="AL510" s="472"/>
      <c r="AM510" s="496"/>
      <c r="AN510" s="125"/>
      <c r="AO510" s="490"/>
      <c r="AP510" s="125"/>
      <c r="AQ510" s="490"/>
      <c r="AR510" s="522"/>
      <c r="AS510" s="519"/>
      <c r="AT510" s="204"/>
      <c r="AU510" s="723"/>
      <c r="AV510" s="702"/>
      <c r="AW510" s="705"/>
      <c r="AX510" s="705"/>
      <c r="AY510" s="19"/>
      <c r="CB510" s="29" t="str">
        <f>IFERROR(IF(COUNTIF(AF503:AF512,"")=10,"",IF(COUNTIF(E503:E512,"N/A")&gt;0,IF(AF510&gt;=CMEMM1,AF510,0),"N/A")),"")</f>
        <v/>
      </c>
      <c r="CC510" s="4"/>
      <c r="CD510" s="4" t="str">
        <f>IFERROR(IF(COUNTIF(AF503:AF512,"")=10,"",IF(AF510="","",IF(AF510&gt;=CMEMM1,1,0))),"")</f>
        <v/>
      </c>
      <c r="CE510" s="4" t="str">
        <f>B503&amp;"-0"&amp;8</f>
        <v>P51-08</v>
      </c>
      <c r="CF510" s="4" t="str">
        <f>IFERROR(INDEX('DESEMPATE Y DISCAPACIDAD'!$D$3:$D$450,MATCH(CE510,'DESEMPATE Y DISCAPACIDAD'!$C$3:$C$450,0)),"")</f>
        <v/>
      </c>
      <c r="CG510" s="4" t="str">
        <f>IF(OR(CE510="",CF510=""),"",SUMIF(D503:D512,CF510,CD503:CD512))</f>
        <v/>
      </c>
      <c r="CH510" s="4" t="str">
        <f t="shared" si="435"/>
        <v/>
      </c>
      <c r="CI510" s="4" t="str">
        <f t="shared" si="456"/>
        <v/>
      </c>
      <c r="CJ510" s="4"/>
      <c r="CK510" s="4"/>
      <c r="CL510" s="4" t="str">
        <f t="shared" si="408"/>
        <v/>
      </c>
      <c r="CM510" s="4" t="str">
        <f t="shared" si="409"/>
        <v/>
      </c>
      <c r="CN510" s="4" t="str">
        <f t="shared" si="457"/>
        <v/>
      </c>
      <c r="CO510" s="4"/>
      <c r="CP510" s="4"/>
      <c r="CQ510" s="29" t="str">
        <f t="shared" si="459"/>
        <v/>
      </c>
      <c r="CR510" s="29" t="str">
        <f t="shared" si="460"/>
        <v/>
      </c>
      <c r="CS510" s="4"/>
    </row>
    <row r="511" spans="1:97" ht="34.25" hidden="1" customHeight="1">
      <c r="B511" s="481"/>
      <c r="C511" s="118"/>
      <c r="D511" s="126" t="str">
        <f>+IFERROR(INDEX('DESEMPATE Y DISCAPACIDAD'!$D$3:$D$450,MATCH(C511,'DESEMPATE Y DISCAPACIDAD'!$C$3:$C$450,0)),"")</f>
        <v/>
      </c>
      <c r="E511" s="127" t="str">
        <f>IFERROR(IF(D511="","",IF(VLOOKUP(D511,'DESEMPATE Y DISCAPACIDAD'!D$3:$E$450,2,FALSE)=1,"N/A",IF(VLOOKUP(D511,'DESEMPATE Y DISCAPACIDAD'!D$3:$F$450,3,FALSE)="X","SI","NO"))),"")</f>
        <v/>
      </c>
      <c r="F511" s="125"/>
      <c r="G511" s="125"/>
      <c r="H511" s="125"/>
      <c r="I511" s="128"/>
      <c r="J511" s="125"/>
      <c r="K511" s="125"/>
      <c r="L511" s="3"/>
      <c r="M511" s="125"/>
      <c r="N511" s="125" t="str">
        <f t="shared" si="452"/>
        <v/>
      </c>
      <c r="O511" s="125" t="str">
        <f t="shared" si="458"/>
        <v/>
      </c>
      <c r="P511" s="125" t="str">
        <f t="shared" si="453"/>
        <v/>
      </c>
      <c r="Q511" s="125" t="str">
        <f t="shared" si="410"/>
        <v/>
      </c>
      <c r="R511" s="68"/>
      <c r="S511" s="129"/>
      <c r="T511" s="129"/>
      <c r="U511" s="125" t="str">
        <f t="shared" si="454"/>
        <v/>
      </c>
      <c r="V511" s="117" t="str">
        <f>IF(U511=2023,1160000,IFERROR(INDEX(SMMLV!$B$2:$B$101,MATCH(U511,SMMLV!$A$2:$A$101,0)),""))</f>
        <v/>
      </c>
      <c r="W511" s="117"/>
      <c r="X511" s="125"/>
      <c r="Y511" s="125"/>
      <c r="Z511" s="474"/>
      <c r="AA511" s="475"/>
      <c r="AB511" s="476"/>
      <c r="AC511" s="125" t="str">
        <f t="shared" si="455"/>
        <v/>
      </c>
      <c r="AD511" s="117" t="str">
        <f t="shared" si="411"/>
        <v/>
      </c>
      <c r="AE511" s="117" t="str">
        <f t="shared" si="407"/>
        <v/>
      </c>
      <c r="AF511" s="117" t="str">
        <f t="shared" si="405"/>
        <v/>
      </c>
      <c r="AG511" s="470"/>
      <c r="AH511" s="470"/>
      <c r="AI511" s="125" t="str">
        <f t="shared" si="406"/>
        <v/>
      </c>
      <c r="AJ511" s="470"/>
      <c r="AK511" s="470"/>
      <c r="AL511" s="472"/>
      <c r="AM511" s="496"/>
      <c r="AN511" s="125"/>
      <c r="AO511" s="490"/>
      <c r="AP511" s="125"/>
      <c r="AQ511" s="490"/>
      <c r="AR511" s="522"/>
      <c r="AS511" s="519"/>
      <c r="AT511" s="204"/>
      <c r="AU511" s="723"/>
      <c r="AV511" s="702"/>
      <c r="AW511" s="705"/>
      <c r="AX511" s="705"/>
      <c r="AY511" s="19"/>
      <c r="CB511" s="29" t="str">
        <f>IFERROR(IF(COUNTIF(AF503:AF512,"")=10,"",IF(COUNTIF(E503:E512,"N/A")&gt;0,IF(AF511&gt;=CMEMM1,AF511,0),"N/A")),"")</f>
        <v/>
      </c>
      <c r="CC511" s="4"/>
      <c r="CD511" s="4" t="str">
        <f>IFERROR(IF(COUNTIF(AF503:AF512,"")=10,"",IF(AF511="","",IF(AF511&gt;=CMEMM1,1,0))),"")</f>
        <v/>
      </c>
      <c r="CE511" s="4" t="str">
        <f>B503&amp;"-0"&amp;9</f>
        <v>P51-09</v>
      </c>
      <c r="CF511" s="4" t="str">
        <f>IFERROR(INDEX('DESEMPATE Y DISCAPACIDAD'!$D$3:$D$450,MATCH(CE511,'DESEMPATE Y DISCAPACIDAD'!$C$3:$C$450,0)),"")</f>
        <v/>
      </c>
      <c r="CG511" s="4" t="str">
        <f>IF(OR(CE511="",CF511=""),"",SUMIF(D503:D512,CF511,CD503:CD512))</f>
        <v/>
      </c>
      <c r="CH511" s="4" t="str">
        <f t="shared" si="435"/>
        <v/>
      </c>
      <c r="CI511" s="4" t="str">
        <f t="shared" si="456"/>
        <v/>
      </c>
      <c r="CJ511" s="4"/>
      <c r="CK511" s="4"/>
      <c r="CL511" s="4" t="str">
        <f t="shared" si="408"/>
        <v/>
      </c>
      <c r="CM511" s="4" t="str">
        <f t="shared" si="409"/>
        <v/>
      </c>
      <c r="CN511" s="4" t="str">
        <f t="shared" si="457"/>
        <v/>
      </c>
      <c r="CO511" s="4"/>
      <c r="CP511" s="4"/>
      <c r="CQ511" s="29" t="str">
        <f t="shared" si="459"/>
        <v/>
      </c>
      <c r="CR511" s="29" t="str">
        <f t="shared" si="460"/>
        <v/>
      </c>
      <c r="CS511" s="4"/>
    </row>
    <row r="512" spans="1:97" ht="34.25" hidden="1" customHeight="1" thickBot="1">
      <c r="B512" s="482"/>
      <c r="C512" s="130"/>
      <c r="D512" s="131" t="str">
        <f>+IFERROR(INDEX('DESEMPATE Y DISCAPACIDAD'!$D$3:$D$450,MATCH(C512,'DESEMPATE Y DISCAPACIDAD'!$C$3:$C$450,0)),"")</f>
        <v/>
      </c>
      <c r="E512" s="132" t="str">
        <f>IFERROR(IF(D512="","",IF(VLOOKUP(D512,'DESEMPATE Y DISCAPACIDAD'!D$3:$E$450,2,FALSE)=1,"N/A",IF(VLOOKUP(D512,'DESEMPATE Y DISCAPACIDAD'!D$3:$F$450,3,FALSE)="X","SI","NO"))),"")</f>
        <v/>
      </c>
      <c r="F512" s="133"/>
      <c r="G512" s="133"/>
      <c r="H512" s="133"/>
      <c r="I512" s="134"/>
      <c r="J512" s="133"/>
      <c r="K512" s="133"/>
      <c r="L512" s="5"/>
      <c r="M512" s="133"/>
      <c r="N512" s="133" t="str">
        <f t="shared" si="452"/>
        <v/>
      </c>
      <c r="O512" s="133" t="str">
        <f t="shared" si="458"/>
        <v/>
      </c>
      <c r="P512" s="133" t="str">
        <f t="shared" si="453"/>
        <v/>
      </c>
      <c r="Q512" s="133" t="str">
        <f t="shared" si="410"/>
        <v/>
      </c>
      <c r="R512" s="104"/>
      <c r="S512" s="135"/>
      <c r="T512" s="135"/>
      <c r="U512" s="133" t="str">
        <f t="shared" si="454"/>
        <v/>
      </c>
      <c r="V512" s="136" t="str">
        <f>IF(U512=2023,1160000,IFERROR(INDEX(SMMLV!$B$2:$B$101,MATCH(U512,SMMLV!$A$2:$A$101,0)),""))</f>
        <v/>
      </c>
      <c r="W512" s="136"/>
      <c r="X512" s="133"/>
      <c r="Y512" s="133"/>
      <c r="Z512" s="487"/>
      <c r="AA512" s="488"/>
      <c r="AB512" s="489"/>
      <c r="AC512" s="133" t="str">
        <f t="shared" si="455"/>
        <v/>
      </c>
      <c r="AD512" s="136" t="str">
        <f t="shared" si="411"/>
        <v/>
      </c>
      <c r="AE512" s="117" t="str">
        <f t="shared" si="407"/>
        <v/>
      </c>
      <c r="AF512" s="136" t="str">
        <f t="shared" si="405"/>
        <v/>
      </c>
      <c r="AG512" s="471"/>
      <c r="AH512" s="471"/>
      <c r="AI512" s="133" t="str">
        <f t="shared" si="406"/>
        <v/>
      </c>
      <c r="AJ512" s="471"/>
      <c r="AK512" s="471"/>
      <c r="AL512" s="473"/>
      <c r="AM512" s="497"/>
      <c r="AN512" s="133"/>
      <c r="AO512" s="491"/>
      <c r="AP512" s="133"/>
      <c r="AQ512" s="491"/>
      <c r="AR512" s="523"/>
      <c r="AS512" s="520"/>
      <c r="AT512" s="206"/>
      <c r="AU512" s="724"/>
      <c r="AV512" s="703"/>
      <c r="AW512" s="706"/>
      <c r="AX512" s="706"/>
      <c r="AY512" s="19"/>
      <c r="CB512" s="29" t="str">
        <f>IFERROR(IF(COUNTIF(AF503:AF512,"")=10,"",IF(COUNTIF(E503:E512,"N/A")&gt;0,IF(AF512&gt;=CMEMM1,AF512,0),"N/A")),"")</f>
        <v/>
      </c>
      <c r="CC512" s="4"/>
      <c r="CD512" s="4" t="str">
        <f>IFERROR(IF(COUNTIF(AF503:AF512,"")=10,"",IF(AF512="","",IF(AF512&gt;=CMEMM1,1,0))),"")</f>
        <v/>
      </c>
      <c r="CE512" s="4" t="str">
        <f>B503&amp;"-"&amp;10</f>
        <v>P51-10</v>
      </c>
      <c r="CF512" s="4" t="str">
        <f>IFERROR(INDEX('DESEMPATE Y DISCAPACIDAD'!$D$3:$D$450,MATCH(CE512,'DESEMPATE Y DISCAPACIDAD'!$C$3:$C$450,0)),"")</f>
        <v/>
      </c>
      <c r="CG512" s="4" t="str">
        <f>IF(OR(CE512="",CF512=""),"",SUMIF(D503:D512,CF512,CD503:CD512))</f>
        <v/>
      </c>
      <c r="CH512" s="4" t="str">
        <f t="shared" si="435"/>
        <v/>
      </c>
      <c r="CI512" s="4" t="str">
        <f t="shared" si="456"/>
        <v/>
      </c>
      <c r="CJ512" s="4"/>
      <c r="CK512" s="4"/>
      <c r="CL512" s="4" t="str">
        <f t="shared" si="408"/>
        <v/>
      </c>
      <c r="CM512" s="4" t="str">
        <f t="shared" si="409"/>
        <v/>
      </c>
      <c r="CN512" s="4" t="str">
        <f t="shared" si="457"/>
        <v/>
      </c>
      <c r="CO512" s="4"/>
      <c r="CP512" s="4"/>
      <c r="CQ512" s="29" t="str">
        <f t="shared" si="459"/>
        <v/>
      </c>
      <c r="CR512" s="29" t="str">
        <f t="shared" si="460"/>
        <v/>
      </c>
      <c r="CS512" s="4"/>
    </row>
    <row r="513" spans="1:97" ht="34.25" hidden="1" customHeight="1">
      <c r="A513" s="4" t="str">
        <f>"A"&amp;B513</f>
        <v>AP52</v>
      </c>
      <c r="B513" s="480" t="s">
        <v>313</v>
      </c>
      <c r="C513" s="108"/>
      <c r="D513" s="119" t="str">
        <f>+IFERROR(INDEX('DESEMPATE Y DISCAPACIDAD'!$D$3:$D$450,MATCH(C513,'DESEMPATE Y DISCAPACIDAD'!$C$3:$C$450,0)),"")</f>
        <v/>
      </c>
      <c r="E513" s="120" t="str">
        <f>IFERROR(IF(D513="","",IF(VLOOKUP(D513,'DESEMPATE Y DISCAPACIDAD'!D$3:$E$450,2,FALSE)=1,"N/A",IF(VLOOKUP(D513,'DESEMPATE Y DISCAPACIDAD'!D$3:$F$450,3,FALSE)="X","SI","NO"))),"")</f>
        <v/>
      </c>
      <c r="F513" s="125"/>
      <c r="G513" s="125"/>
      <c r="H513" s="121"/>
      <c r="I513" s="122"/>
      <c r="J513" s="121"/>
      <c r="K513" s="121"/>
      <c r="L513" s="179"/>
      <c r="M513" s="121"/>
      <c r="N513" s="121" t="str">
        <f>IFERROR(IF(OR(J513="",K513=""),"",IF(J513="NO","NO",K513)),"")</f>
        <v/>
      </c>
      <c r="O513" s="121" t="str">
        <f>IFERROR(IF(OR(J513="",L513=""),"",IF(J513="NO","NO",L513)),"")</f>
        <v/>
      </c>
      <c r="P513" s="121" t="str">
        <f>IFERROR(IF(OR(J513="",M513=""),"",IF(J513="NO","NO",M513)),"")</f>
        <v/>
      </c>
      <c r="Q513" s="121" t="str">
        <f t="shared" si="410"/>
        <v/>
      </c>
      <c r="R513" s="103"/>
      <c r="S513" s="123"/>
      <c r="T513" s="123"/>
      <c r="U513" s="121" t="str">
        <f>IFERROR(IF(T513="","",YEAR(T513)),"")</f>
        <v/>
      </c>
      <c r="V513" s="124" t="str">
        <f>IF(U513=2023,1160000,IFERROR(INDEX(SMMLV!$B$2:$B$101,MATCH(U513,SMMLV!$A$2:$A$101,0)),""))</f>
        <v/>
      </c>
      <c r="W513" s="124"/>
      <c r="X513" s="121"/>
      <c r="Y513" s="121"/>
      <c r="Z513" s="483"/>
      <c r="AA513" s="484"/>
      <c r="AB513" s="485"/>
      <c r="AC513" s="121" t="str">
        <f>IFERROR(IF(Y513="","",IF(ISNUMBER(Y513),IF(COUNTIF(Z513,"SI")&gt;0,"SI","NO"),Y513)),"")</f>
        <v/>
      </c>
      <c r="AD513" s="124" t="str">
        <f t="shared" si="411"/>
        <v/>
      </c>
      <c r="AE513" s="117" t="str">
        <f t="shared" si="407"/>
        <v/>
      </c>
      <c r="AF513" s="124" t="str">
        <f t="shared" ref="AF513:AF562" si="461">IFERROR(IF(OR(J513="",J513="NO"),"",IF(AND(J513="SI",Q513="SI"),IFERROR(AE513*R513,""),"")),"")</f>
        <v/>
      </c>
      <c r="AG513" s="486" t="str">
        <f>IFERROR(IF(COUNTIF(AF513:AF522,"")=10,"",IF(COUNTIF(E513:E522,"N/A")&gt;0,IF(SUM(CB513:CB522)&gt;=CMEM1,"CUMPLE","NO CUMPLE"),IF(SUM(AF513:AF522)&gt;=CMEM1,"CUMPLE","NO CUMPLE"))),"")</f>
        <v/>
      </c>
      <c r="AH513" s="486" t="str">
        <f>IF(COUNTIF(AF513:AF522,"")=10,"",IF(SUMIF(C513:C522,C513,AF513:AF522)&gt;=CMLM1,"CUMPLE",IF(SUMIF(C513:C522,C514,AF513:AF522)&gt;=CMLM1,"CUMPLE",IF(SUMIF(C513:C522,C515,AF513:AF522)&gt;=CMLM1,"CUMPLE",IF(SUMIF(C513:C522,C516,AF513:AF522)&gt;=CMLM1,"CUMPLE",IF(SUMIF(C513:C522,C517,AF513:AF522)&gt;=CMLM1,"CUMPLE",IF(SUMIF(C513:C522,C518,AF513:AF522)&gt;=CMLM1,"CUMPLE",IF(SUMIF(C513:C522,C519,AF513:AF522)&gt;=CMLM1,"CUMPLE",IF(SUMIF(C513:C522,C520,AF513:AF522)&gt;=CMLM1,"CUMPLE",IF(SUMIF(C513:C522,C521,AF513:AF522)&gt;=CMLM1,"CUMPLE",IF(SUMIF(C513:C522,C522,AF513:AF522)&gt;=CMLM1,"CUMPLE","NO CUMPLE")))))))))))</f>
        <v/>
      </c>
      <c r="AI513" s="121" t="str">
        <f t="shared" ref="AI513:AI562" si="462">IFERROR(IF(AF513="","",IF(AF513&gt;=CMEMM1,"CUMPLE","NO CUMPLE")),"")</f>
        <v/>
      </c>
      <c r="AJ513" s="469" t="str">
        <f>IFERROR(IF(COUNTIF(AF513:AF522,"")=10,"",IF(COUNTIF(E513:E522,"N/A")&gt;0,"N/A",CJ513)),"")</f>
        <v/>
      </c>
      <c r="AK513" s="469" t="str">
        <f>IFERROR(IF(AND(COUNTIF(N513:N522,"SI")&gt;=1,COUNTIF(O513:O522,"SI")&gt;=1,COUNTIF(P513:P522,"SI")&gt;=1,COUNTIF(J513:J522,"SI")&lt;=10,CO513="CUMPLE"),"CUMPLE","NO CUMPLE"),"")</f>
        <v>NO CUMPLE</v>
      </c>
      <c r="AL513" s="472"/>
      <c r="AM513" s="495">
        <f>IFERROR(IF(B513&lt;&gt;"",IF(VLOOKUP(B513,'DESEMPATE Y DISCAPACIDAD'!$A$3:$Q$450,10,FALSE)="","",VLOOKUP(B513,'DESEMPATE Y DISCAPACIDAD'!$A$3:$Q$450,10,FALSE)+6),""),"")</f>
        <v>6</v>
      </c>
      <c r="AN513" s="121"/>
      <c r="AO513" s="490"/>
      <c r="AP513" s="121"/>
      <c r="AQ513" s="490" t="str">
        <f>IFERROR(IF(COUNTIF(AP513:AP522,"")=10,"",IF(AO513="NO",0,COUNTIF(AP513:AP522,"SI"))),"")</f>
        <v/>
      </c>
      <c r="AR513" s="521" t="str">
        <f>IFERROR(IF(COUNTIF(AF513:AF522,"")=10,"",IF(AO513="NO",0,IF(COUNTIF(E513:E522,"N/A")&gt;0,SUM(CQ513:CQ522),SUM(CR513:CR522)))),"")</f>
        <v/>
      </c>
      <c r="AS513" s="518" t="str">
        <f>IFERROR(IF(OR(COUNTIF(AF513:AF522,"")=10,AQ513="",AR513=""),"",IF(AO513="NO",0,AR513/AQ513)),"")</f>
        <v/>
      </c>
      <c r="AT513" s="207"/>
      <c r="AU513" s="698"/>
      <c r="AV513" s="701"/>
      <c r="AW513" s="704"/>
      <c r="AX513" s="704"/>
      <c r="AY513" s="19"/>
      <c r="CB513" s="29" t="str">
        <f>IFERROR(IF(COUNTIF(AF513:AF522,"")=10,"",IF(COUNTIF(E513:E522,"N/A")&gt;0,IF(AF513&gt;=CMEMM1,AF513,0),"N/A")),"")</f>
        <v/>
      </c>
      <c r="CC513" s="4"/>
      <c r="CD513" s="4" t="str">
        <f>IFERROR(IF(COUNTIF(AF513:AF522,"")=10,"",IF(AF513="","",IF(AF513&gt;=CMEMM1,1,0))),"")</f>
        <v/>
      </c>
      <c r="CE513" s="4" t="str">
        <f>B513&amp;"-0"&amp;1</f>
        <v>P52-01</v>
      </c>
      <c r="CF513" s="4">
        <f>IFERROR(INDEX('DESEMPATE Y DISCAPACIDAD'!$D$3:$D$450,MATCH(CE513,'DESEMPATE Y DISCAPACIDAD'!$C$3:$C$450,0)),"")</f>
        <v>0</v>
      </c>
      <c r="CG513" s="4">
        <f>IF(OR(CE513="",CF513=""),"",SUMIF(D513:D522,CF513,CD513:CD522))</f>
        <v>0</v>
      </c>
      <c r="CH513" s="4" t="str">
        <f t="shared" si="435"/>
        <v>NO CUMPLE</v>
      </c>
      <c r="CI513" s="4">
        <f>IF(CF513="","",IF(ISTEXT(CF513),1,0))</f>
        <v>0</v>
      </c>
      <c r="CJ513" s="4" t="str">
        <f>IF(OR(CD513="",CE513="",CF513="",CG513="",CH513="",CI513=""),"",IF(COUNTIF(CH513:CH522,"CUMPLE")=COUNTIF(CI513:CI522,1),"CUMPLE","NO CUMPLE"))</f>
        <v/>
      </c>
      <c r="CK513" s="4"/>
      <c r="CL513" s="4" t="str">
        <f t="shared" si="408"/>
        <v/>
      </c>
      <c r="CM513" s="4" t="str">
        <f t="shared" si="409"/>
        <v/>
      </c>
      <c r="CN513" s="4" t="str">
        <f>IF(OR(CL513="",CM513=""),"",IF(AND(CL513=0,CM513=0),"N/A",IF(AND(CL513=1,CM513=0),"COND. A",IF(AND(CL513=0,CM513=1),"COND. B",IF(AND(CL513=1,CM513=1),"COND. A Y B","")))))</f>
        <v/>
      </c>
      <c r="CO513" s="4" t="str">
        <f>IF(COUNTIF(CN513:CN522,"N/A")=10,"NO CUMPLE",IF(COUNTIF(CN513:CN522,"COND. A Y B")&gt;1,"CUMPLE",IF(AND(COUNTIF(CN513:CN522,"COND. A")&gt;0,COUNTIF(CN513:CN522,"COND. B")&gt;0),"CUMPLE",IF(AND(COUNTIF(CN513:CN522,"COND. A Y B")&gt;0,COUNTIF(CN513:CN522,"COND. A")&gt;0),"CUMPLE",IF(AND(COUNTIF(CN513:CN522,"COND. A Y B")&gt;0,COUNTIF(CN513:CN522,"COND. B")&gt;0),"CUMPLE","NO CUMPLE")))))</f>
        <v>NO CUMPLE</v>
      </c>
      <c r="CP513" s="4"/>
      <c r="CQ513" s="29" t="str">
        <f t="shared" si="459"/>
        <v/>
      </c>
      <c r="CR513" s="29" t="str">
        <f t="shared" si="460"/>
        <v/>
      </c>
      <c r="CS513" s="4"/>
    </row>
    <row r="514" spans="1:97" ht="34.25" hidden="1" customHeight="1">
      <c r="B514" s="481"/>
      <c r="C514" s="118"/>
      <c r="D514" s="119" t="str">
        <f>+IFERROR(INDEX('DESEMPATE Y DISCAPACIDAD'!$D$3:$D$450,MATCH(C514,'DESEMPATE Y DISCAPACIDAD'!$C$3:$C$450,0)),"")</f>
        <v/>
      </c>
      <c r="E514" s="120" t="str">
        <f>IFERROR(IF(D514="","",IF(VLOOKUP(D514,'DESEMPATE Y DISCAPACIDAD'!D$3:$E$450,2,FALSE)=1,"N/A",IF(VLOOKUP(D514,'DESEMPATE Y DISCAPACIDAD'!D$3:$F$450,3,FALSE)="X","SI","NO"))),"")</f>
        <v/>
      </c>
      <c r="F514" s="125"/>
      <c r="G514" s="125"/>
      <c r="H514" s="121"/>
      <c r="I514" s="122"/>
      <c r="J514" s="125"/>
      <c r="K514" s="125"/>
      <c r="L514" s="179"/>
      <c r="M514" s="121"/>
      <c r="N514" s="121" t="str">
        <f t="shared" ref="N514:N522" si="463">IFERROR(IF(OR(J514="",K514=""),"",IF(J514="NO","NO",K514)),"")</f>
        <v/>
      </c>
      <c r="O514" s="121" t="str">
        <f>IFERROR(IF(OR(J514="",L514=""),"",IF(J514="NO","NO",L514)),"")</f>
        <v/>
      </c>
      <c r="P514" s="121" t="str">
        <f t="shared" ref="P514:P522" si="464">IFERROR(IF(OR(J514="",M514=""),"",IF(J514="NO","NO",M514)),"")</f>
        <v/>
      </c>
      <c r="Q514" s="121" t="str">
        <f t="shared" si="410"/>
        <v/>
      </c>
      <c r="R514" s="103"/>
      <c r="S514" s="123"/>
      <c r="T514" s="123"/>
      <c r="U514" s="121" t="str">
        <f t="shared" ref="U514:U522" si="465">IFERROR(IF(T514="","",YEAR(T514)),"")</f>
        <v/>
      </c>
      <c r="V514" s="124" t="str">
        <f>IF(U514=2023,1160000,IFERROR(INDEX(SMMLV!$B$2:$B$101,MATCH(U514,SMMLV!$A$2:$A$101,0)),""))</f>
        <v/>
      </c>
      <c r="W514" s="124"/>
      <c r="X514" s="125"/>
      <c r="Y514" s="125"/>
      <c r="Z514" s="474"/>
      <c r="AA514" s="475"/>
      <c r="AB514" s="476"/>
      <c r="AC514" s="125" t="str">
        <f t="shared" ref="AC514:AC522" si="466">IFERROR(IF(Y514="","",IF(ISNUMBER(Y514),IF(COUNTIF(Z514,"SI")&gt;0,"SI","NO"),Y514)),"")</f>
        <v/>
      </c>
      <c r="AD514" s="117" t="str">
        <f t="shared" si="411"/>
        <v/>
      </c>
      <c r="AE514" s="117" t="str">
        <f t="shared" si="407"/>
        <v/>
      </c>
      <c r="AF514" s="117" t="str">
        <f t="shared" si="461"/>
        <v/>
      </c>
      <c r="AG514" s="470"/>
      <c r="AH514" s="470"/>
      <c r="AI514" s="125" t="str">
        <f t="shared" si="462"/>
        <v/>
      </c>
      <c r="AJ514" s="470"/>
      <c r="AK514" s="470"/>
      <c r="AL514" s="472"/>
      <c r="AM514" s="496"/>
      <c r="AN514" s="125"/>
      <c r="AO514" s="490"/>
      <c r="AP514" s="125"/>
      <c r="AQ514" s="490"/>
      <c r="AR514" s="522"/>
      <c r="AS514" s="519"/>
      <c r="AT514" s="204"/>
      <c r="AU514" s="699"/>
      <c r="AV514" s="702"/>
      <c r="AW514" s="705"/>
      <c r="AX514" s="705"/>
      <c r="AY514" s="19"/>
      <c r="CB514" s="29" t="str">
        <f>IFERROR(IF(COUNTIF(AF513:AF522,"")=10,"",IF(COUNTIF(E513:E522,"N/A")&gt;0,IF(AF514&gt;=CMEMM1,AF514,0),"N/A")),"")</f>
        <v/>
      </c>
      <c r="CC514" s="4"/>
      <c r="CD514" s="4" t="str">
        <f>IFERROR(IF(COUNTIF(AF513:AF522,"")=10,"",IF(AF514="","",IF(AF514&gt;=CMEMM1,1,0))),"")</f>
        <v/>
      </c>
      <c r="CE514" s="4" t="str">
        <f>B513&amp;"-0"&amp;2</f>
        <v>P52-02</v>
      </c>
      <c r="CF514" s="4">
        <f>IFERROR(INDEX('DESEMPATE Y DISCAPACIDAD'!$D$3:$D$450,MATCH(CE514,'DESEMPATE Y DISCAPACIDAD'!$C$3:$C$450,0)),"")</f>
        <v>0</v>
      </c>
      <c r="CG514" s="4">
        <f>IF(OR(CE514="",CF514=""),"",SUMIF(D513:D522,CF514,CD513:CD522))</f>
        <v>0</v>
      </c>
      <c r="CH514" s="4" t="str">
        <f t="shared" si="435"/>
        <v>NO CUMPLE</v>
      </c>
      <c r="CI514" s="4">
        <f t="shared" ref="CI514:CI522" si="467">IF(CF514="","",IF(ISTEXT(CF514),1,0))</f>
        <v>0</v>
      </c>
      <c r="CJ514" s="4"/>
      <c r="CK514" s="4"/>
      <c r="CL514" s="4" t="str">
        <f t="shared" si="408"/>
        <v/>
      </c>
      <c r="CM514" s="4" t="str">
        <f t="shared" si="409"/>
        <v/>
      </c>
      <c r="CN514" s="4" t="str">
        <f t="shared" ref="CN514:CN522" si="468">IF(OR(CL514="",CM514=""),"",IF(AND(CL514=0,CM514=0),"N/A",IF(AND(CL514=1,CM514=0),"COND. A",IF(AND(CL514=0,CM514=1),"COND. B",IF(AND(CL514=1,CM514=1),"COND. A Y B","")))))</f>
        <v/>
      </c>
      <c r="CO514" s="4"/>
      <c r="CP514" s="4"/>
      <c r="CQ514" s="29" t="str">
        <f t="shared" si="459"/>
        <v/>
      </c>
      <c r="CR514" s="29" t="str">
        <f t="shared" si="460"/>
        <v/>
      </c>
      <c r="CS514" s="4"/>
    </row>
    <row r="515" spans="1:97" ht="34.25" hidden="1" customHeight="1">
      <c r="B515" s="481"/>
      <c r="C515" s="118"/>
      <c r="D515" s="126" t="str">
        <f>+IFERROR(INDEX('DESEMPATE Y DISCAPACIDAD'!$D$3:$D$450,MATCH(C515,'DESEMPATE Y DISCAPACIDAD'!$C$3:$C$450,0)),"")</f>
        <v/>
      </c>
      <c r="E515" s="127" t="str">
        <f>IFERROR(IF(D515="","",IF(VLOOKUP(D515,'DESEMPATE Y DISCAPACIDAD'!D$3:$E$450,2,FALSE)=1,"N/A",IF(VLOOKUP(D515,'DESEMPATE Y DISCAPACIDAD'!D$3:$F$450,3,FALSE)="X","SI","NO"))),"")</f>
        <v/>
      </c>
      <c r="F515" s="121"/>
      <c r="G515" s="121"/>
      <c r="H515" s="125"/>
      <c r="I515" s="128"/>
      <c r="J515" s="125"/>
      <c r="K515" s="125"/>
      <c r="L515" s="3"/>
      <c r="M515" s="125"/>
      <c r="N515" s="125" t="str">
        <f t="shared" si="463"/>
        <v/>
      </c>
      <c r="O515" s="125" t="str">
        <f>IFERROR(IF(OR(J515="",L515=""),"",IF(J515="NO","NO",L515)),"")</f>
        <v/>
      </c>
      <c r="P515" s="125" t="str">
        <f t="shared" si="464"/>
        <v/>
      </c>
      <c r="Q515" s="125" t="str">
        <f t="shared" si="410"/>
        <v/>
      </c>
      <c r="R515" s="68"/>
      <c r="S515" s="129"/>
      <c r="T515" s="129"/>
      <c r="U515" s="125" t="str">
        <f t="shared" si="465"/>
        <v/>
      </c>
      <c r="V515" s="117" t="str">
        <f>IF(U515=2023,1160000,IFERROR(INDEX(SMMLV!$B$2:$B$101,MATCH(U515,SMMLV!$A$2:$A$101,0)),""))</f>
        <v/>
      </c>
      <c r="W515" s="117"/>
      <c r="X515" s="125"/>
      <c r="Y515" s="125"/>
      <c r="Z515" s="474"/>
      <c r="AA515" s="475"/>
      <c r="AB515" s="476"/>
      <c r="AC515" s="125" t="str">
        <f t="shared" si="466"/>
        <v/>
      </c>
      <c r="AD515" s="117" t="str">
        <f t="shared" si="411"/>
        <v/>
      </c>
      <c r="AE515" s="117" t="str">
        <f t="shared" ref="AE515:AE578" si="469">IFERROR(IF(OR(V515="",AD515=""),"",ROUND(AD515/V515,2)),"")</f>
        <v/>
      </c>
      <c r="AF515" s="117" t="str">
        <f t="shared" si="461"/>
        <v/>
      </c>
      <c r="AG515" s="470"/>
      <c r="AH515" s="470"/>
      <c r="AI515" s="125" t="str">
        <f t="shared" si="462"/>
        <v/>
      </c>
      <c r="AJ515" s="470"/>
      <c r="AK515" s="470"/>
      <c r="AL515" s="472"/>
      <c r="AM515" s="496"/>
      <c r="AN515" s="125"/>
      <c r="AO515" s="490"/>
      <c r="AP515" s="125"/>
      <c r="AQ515" s="490"/>
      <c r="AR515" s="522"/>
      <c r="AS515" s="519"/>
      <c r="AT515" s="204"/>
      <c r="AU515" s="699"/>
      <c r="AV515" s="702"/>
      <c r="AW515" s="705"/>
      <c r="AX515" s="705"/>
      <c r="AY515" s="19"/>
      <c r="CB515" s="29" t="str">
        <f>IFERROR(IF(COUNTIF(AF513:AF522,"")=10,"",IF(COUNTIF(E513:E522,"N/A")&gt;0,IF(AF515&gt;=CMEMM1,AF515,0),"N/A")),"")</f>
        <v/>
      </c>
      <c r="CC515" s="4"/>
      <c r="CD515" s="4" t="str">
        <f>IFERROR(IF(COUNTIF(AF513:AF522,"")=10,"",IF(AF515="","",IF(AF515&gt;=CMEMM1,1,0))),"")</f>
        <v/>
      </c>
      <c r="CE515" s="4" t="str">
        <f>B513&amp;"-0"&amp;3</f>
        <v>P52-03</v>
      </c>
      <c r="CF515" s="4">
        <f>IFERROR(INDEX('DESEMPATE Y DISCAPACIDAD'!$D$3:$D$450,MATCH(CE515,'DESEMPATE Y DISCAPACIDAD'!$C$3:$C$450,0)),"")</f>
        <v>0</v>
      </c>
      <c r="CG515" s="4">
        <f>IF(OR(CE515="",CF515=""),"",SUMIF(D513:D522,CF515,CD513:CD522))</f>
        <v>0</v>
      </c>
      <c r="CH515" s="4" t="str">
        <f t="shared" si="435"/>
        <v>NO CUMPLE</v>
      </c>
      <c r="CI515" s="4">
        <f t="shared" si="467"/>
        <v>0</v>
      </c>
      <c r="CJ515" s="4"/>
      <c r="CK515" s="4"/>
      <c r="CL515" s="4" t="str">
        <f t="shared" ref="CL515:CL562" si="470">IF(N515="","",IF(N515="SI",1,0))</f>
        <v/>
      </c>
      <c r="CM515" s="4" t="str">
        <f t="shared" ref="CM515:CM562" si="471">IF(O515="","",IF(O515="SI",1,0))</f>
        <v/>
      </c>
      <c r="CN515" s="4" t="str">
        <f t="shared" si="468"/>
        <v/>
      </c>
      <c r="CO515" s="4"/>
      <c r="CP515" s="4"/>
      <c r="CQ515" s="29" t="str">
        <f t="shared" si="459"/>
        <v/>
      </c>
      <c r="CR515" s="29" t="str">
        <f t="shared" si="460"/>
        <v/>
      </c>
      <c r="CS515" s="4"/>
    </row>
    <row r="516" spans="1:97" ht="34.25" hidden="1" customHeight="1">
      <c r="B516" s="481"/>
      <c r="C516" s="118"/>
      <c r="D516" s="126" t="str">
        <f>+IFERROR(INDEX('DESEMPATE Y DISCAPACIDAD'!$D$3:$D$450,MATCH(C516,'DESEMPATE Y DISCAPACIDAD'!$C$3:$C$450,0)),"")</f>
        <v/>
      </c>
      <c r="E516" s="127" t="str">
        <f>IFERROR(IF(D516="","",IF(VLOOKUP(D516,'DESEMPATE Y DISCAPACIDAD'!D$3:$E$450,2,FALSE)=1,"N/A",IF(VLOOKUP(D516,'DESEMPATE Y DISCAPACIDAD'!D$3:$F$450,3,FALSE)="X","SI","NO"))),"")</f>
        <v/>
      </c>
      <c r="F516" s="141"/>
      <c r="G516" s="125"/>
      <c r="H516" s="125"/>
      <c r="I516" s="128"/>
      <c r="J516" s="125"/>
      <c r="K516" s="125"/>
      <c r="L516" s="3"/>
      <c r="M516" s="125"/>
      <c r="N516" s="125" t="str">
        <f t="shared" si="463"/>
        <v/>
      </c>
      <c r="O516" s="125" t="str">
        <f>IFERROR(IF(OR(J516="",L516=""),"",IF(J516="NO","NO",L516)),"")</f>
        <v/>
      </c>
      <c r="P516" s="125" t="str">
        <f t="shared" si="464"/>
        <v/>
      </c>
      <c r="Q516" s="125" t="str">
        <f t="shared" ref="Q516:Q562" si="472">IFERROR(IF(S516="","",IF(S516&gt;=DATE(1900,1,1),"SI","NO")),"")</f>
        <v/>
      </c>
      <c r="R516" s="68"/>
      <c r="S516" s="129"/>
      <c r="T516" s="129"/>
      <c r="U516" s="125" t="str">
        <f t="shared" si="465"/>
        <v/>
      </c>
      <c r="V516" s="117" t="str">
        <f>IF(U516=2023,1160000,IFERROR(INDEX(SMMLV!$B$2:$B$101,MATCH(U516,SMMLV!$A$2:$A$101,0)),""))</f>
        <v/>
      </c>
      <c r="W516" s="117"/>
      <c r="X516" s="125"/>
      <c r="Y516" s="125"/>
      <c r="Z516" s="725"/>
      <c r="AA516" s="725"/>
      <c r="AB516" s="725"/>
      <c r="AC516" s="125" t="str">
        <f t="shared" si="466"/>
        <v/>
      </c>
      <c r="AD516" s="117" t="str">
        <f t="shared" ref="AD516:AD558" si="473">IF(W516="","",IF(W516="N/A","N/A",W516))</f>
        <v/>
      </c>
      <c r="AE516" s="117" t="str">
        <f t="shared" si="469"/>
        <v/>
      </c>
      <c r="AF516" s="117" t="str">
        <f t="shared" si="461"/>
        <v/>
      </c>
      <c r="AG516" s="470"/>
      <c r="AH516" s="470"/>
      <c r="AI516" s="125" t="str">
        <f t="shared" si="462"/>
        <v/>
      </c>
      <c r="AJ516" s="470"/>
      <c r="AK516" s="470"/>
      <c r="AL516" s="472"/>
      <c r="AM516" s="496"/>
      <c r="AN516" s="125"/>
      <c r="AO516" s="490"/>
      <c r="AP516" s="125"/>
      <c r="AQ516" s="490"/>
      <c r="AR516" s="522"/>
      <c r="AS516" s="519"/>
      <c r="AT516" s="204"/>
      <c r="AU516" s="699"/>
      <c r="AV516" s="702"/>
      <c r="AW516" s="705"/>
      <c r="AX516" s="705"/>
      <c r="AY516" s="19"/>
      <c r="CB516" s="29" t="str">
        <f>IFERROR(IF(COUNTIF(AF513:AF522,"")=10,"",IF(COUNTIF(E513:E522,"N/A")&gt;0,IF(AF516&gt;=CMEMM1,AF516,0),"N/A")),"")</f>
        <v/>
      </c>
      <c r="CC516" s="4"/>
      <c r="CD516" s="4" t="str">
        <f>IFERROR(IF(COUNTIF(AF513:AF522,"")=10,"",IF(AF516="","",IF(AF516&gt;=CMEMM1,1,0))),"")</f>
        <v/>
      </c>
      <c r="CE516" s="4" t="str">
        <f>B513&amp;"-0"&amp;4</f>
        <v>P52-04</v>
      </c>
      <c r="CF516" s="4">
        <f>IFERROR(INDEX('DESEMPATE Y DISCAPACIDAD'!$D$3:$D$450,MATCH(CE516,'DESEMPATE Y DISCAPACIDAD'!$C$3:$C$450,0)),"")</f>
        <v>0</v>
      </c>
      <c r="CG516" s="4">
        <f>IF(OR(CE516="",CF516=""),"",SUMIF(D513:D522,CF516,CD513:CD522))</f>
        <v>0</v>
      </c>
      <c r="CH516" s="4" t="str">
        <f t="shared" si="435"/>
        <v>NO CUMPLE</v>
      </c>
      <c r="CI516" s="4">
        <f t="shared" si="467"/>
        <v>0</v>
      </c>
      <c r="CJ516" s="4"/>
      <c r="CK516" s="4"/>
      <c r="CL516" s="4" t="str">
        <f t="shared" si="470"/>
        <v/>
      </c>
      <c r="CM516" s="4" t="str">
        <f t="shared" si="471"/>
        <v/>
      </c>
      <c r="CN516" s="4" t="str">
        <f t="shared" si="468"/>
        <v/>
      </c>
      <c r="CO516" s="4"/>
      <c r="CP516" s="4"/>
      <c r="CQ516" s="29" t="str">
        <f t="shared" si="459"/>
        <v/>
      </c>
      <c r="CR516" s="29" t="str">
        <f t="shared" si="460"/>
        <v/>
      </c>
      <c r="CS516" s="4"/>
    </row>
    <row r="517" spans="1:97" ht="34.25" hidden="1" customHeight="1">
      <c r="B517" s="481"/>
      <c r="C517" s="118"/>
      <c r="D517" s="126" t="str">
        <f>+IFERROR(INDEX('DESEMPATE Y DISCAPACIDAD'!$D$3:$D$450,MATCH(C517,'DESEMPATE Y DISCAPACIDAD'!$C$3:$C$450,0)),"")</f>
        <v/>
      </c>
      <c r="E517" s="127" t="str">
        <f>IFERROR(IF(D517="","",IF(VLOOKUP(D517,'DESEMPATE Y DISCAPACIDAD'!D$3:$E$450,2,FALSE)=1,"N/A",IF(VLOOKUP(D517,'DESEMPATE Y DISCAPACIDAD'!D$3:$F$450,3,FALSE)="X","SI","NO"))),"")</f>
        <v/>
      </c>
      <c r="F517" s="125"/>
      <c r="G517" s="125"/>
      <c r="H517" s="125"/>
      <c r="I517" s="128"/>
      <c r="J517" s="125"/>
      <c r="K517" s="125"/>
      <c r="L517" s="3"/>
      <c r="M517" s="125"/>
      <c r="N517" s="125" t="str">
        <f t="shared" si="463"/>
        <v/>
      </c>
      <c r="O517" s="125" t="str">
        <f t="shared" ref="O517:O522" si="474">IFERROR(IF(OR(J517="",L517=""),"",IF(J517="NO","NO",L517)),"")</f>
        <v/>
      </c>
      <c r="P517" s="125" t="str">
        <f t="shared" si="464"/>
        <v/>
      </c>
      <c r="Q517" s="125" t="str">
        <f t="shared" si="472"/>
        <v/>
      </c>
      <c r="R517" s="68"/>
      <c r="S517" s="129"/>
      <c r="T517" s="129"/>
      <c r="U517" s="125" t="str">
        <f t="shared" si="465"/>
        <v/>
      </c>
      <c r="V517" s="117" t="str">
        <f>IF(U517=2023,1160000,IFERROR(INDEX(SMMLV!$B$2:$B$101,MATCH(U517,SMMLV!$A$2:$A$101,0)),""))</f>
        <v/>
      </c>
      <c r="W517" s="117"/>
      <c r="X517" s="125"/>
      <c r="Y517" s="125"/>
      <c r="Z517" s="725"/>
      <c r="AA517" s="725"/>
      <c r="AB517" s="725"/>
      <c r="AC517" s="125" t="str">
        <f t="shared" si="466"/>
        <v/>
      </c>
      <c r="AD517" s="117" t="str">
        <f t="shared" si="473"/>
        <v/>
      </c>
      <c r="AE517" s="117" t="str">
        <f t="shared" si="469"/>
        <v/>
      </c>
      <c r="AF517" s="117" t="str">
        <f t="shared" si="461"/>
        <v/>
      </c>
      <c r="AG517" s="470"/>
      <c r="AH517" s="470"/>
      <c r="AI517" s="125" t="str">
        <f t="shared" si="462"/>
        <v/>
      </c>
      <c r="AJ517" s="470"/>
      <c r="AK517" s="470"/>
      <c r="AL517" s="472"/>
      <c r="AM517" s="496"/>
      <c r="AN517" s="125"/>
      <c r="AO517" s="490"/>
      <c r="AP517" s="125"/>
      <c r="AQ517" s="490"/>
      <c r="AR517" s="522"/>
      <c r="AS517" s="519"/>
      <c r="AT517" s="204"/>
      <c r="AU517" s="699"/>
      <c r="AV517" s="702"/>
      <c r="AW517" s="705"/>
      <c r="AX517" s="705"/>
      <c r="AY517" s="19"/>
      <c r="CB517" s="29" t="str">
        <f>IFERROR(IF(COUNTIF(AF513:AF522,"")=10,"",IF(COUNTIF(E513:E522,"N/A")&gt;0,IF(AF517&gt;=CMEMM1,AF517,0),"N/A")),"")</f>
        <v/>
      </c>
      <c r="CC517" s="4"/>
      <c r="CD517" s="4" t="str">
        <f>IFERROR(IF(COUNTIF(AF513:AF522,"")=10,"",IF(AF517="","",IF(AF517&gt;=CMEMM1,1,0))),"")</f>
        <v/>
      </c>
      <c r="CE517" s="4" t="str">
        <f>B513&amp;"-0"&amp;5</f>
        <v>P52-05</v>
      </c>
      <c r="CF517" s="4">
        <f>IFERROR(INDEX('DESEMPATE Y DISCAPACIDAD'!$D$3:$D$450,MATCH(CE517,'DESEMPATE Y DISCAPACIDAD'!$C$3:$C$450,0)),"")</f>
        <v>0</v>
      </c>
      <c r="CG517" s="4">
        <f>IF(OR(CE517="",CF517=""),"",SUMIF(D513:D522,CF517,CD513:CD522))</f>
        <v>0</v>
      </c>
      <c r="CH517" s="4" t="str">
        <f t="shared" si="435"/>
        <v>NO CUMPLE</v>
      </c>
      <c r="CI517" s="4">
        <f t="shared" si="467"/>
        <v>0</v>
      </c>
      <c r="CJ517" s="4"/>
      <c r="CK517" s="4"/>
      <c r="CL517" s="4" t="str">
        <f t="shared" si="470"/>
        <v/>
      </c>
      <c r="CM517" s="4" t="str">
        <f t="shared" si="471"/>
        <v/>
      </c>
      <c r="CN517" s="4" t="str">
        <f t="shared" si="468"/>
        <v/>
      </c>
      <c r="CO517" s="4"/>
      <c r="CP517" s="4"/>
      <c r="CQ517" s="29" t="str">
        <f t="shared" si="459"/>
        <v/>
      </c>
      <c r="CR517" s="29" t="str">
        <f t="shared" si="460"/>
        <v/>
      </c>
      <c r="CS517" s="4"/>
    </row>
    <row r="518" spans="1:97" ht="34.25" hidden="1" customHeight="1">
      <c r="B518" s="481"/>
      <c r="C518" s="118"/>
      <c r="D518" s="126" t="str">
        <f>+IFERROR(INDEX('DESEMPATE Y DISCAPACIDAD'!$D$3:$D$450,MATCH(C518,'DESEMPATE Y DISCAPACIDAD'!$C$3:$C$450,0)),"")</f>
        <v/>
      </c>
      <c r="E518" s="127" t="str">
        <f>IFERROR(IF(D518="","",IF(VLOOKUP(D518,'DESEMPATE Y DISCAPACIDAD'!D$3:$E$450,2,FALSE)=1,"N/A",IF(VLOOKUP(D518,'DESEMPATE Y DISCAPACIDAD'!D$3:$F$450,3,FALSE)="X","SI","NO"))),"")</f>
        <v/>
      </c>
      <c r="F518" s="125"/>
      <c r="G518" s="125"/>
      <c r="H518" s="125"/>
      <c r="I518" s="128"/>
      <c r="J518" s="125"/>
      <c r="K518" s="125"/>
      <c r="L518" s="3"/>
      <c r="M518" s="125"/>
      <c r="N518" s="125" t="str">
        <f t="shared" si="463"/>
        <v/>
      </c>
      <c r="O518" s="125" t="str">
        <f t="shared" si="474"/>
        <v/>
      </c>
      <c r="P518" s="125" t="str">
        <f t="shared" si="464"/>
        <v/>
      </c>
      <c r="Q518" s="125" t="str">
        <f t="shared" si="472"/>
        <v/>
      </c>
      <c r="R518" s="68"/>
      <c r="S518" s="129"/>
      <c r="T518" s="129"/>
      <c r="U518" s="125" t="str">
        <f t="shared" si="465"/>
        <v/>
      </c>
      <c r="V518" s="117" t="str">
        <f>IF(U518=2023,1160000,IFERROR(INDEX(SMMLV!$B$2:$B$101,MATCH(U518,SMMLV!$A$2:$A$101,0)),""))</f>
        <v/>
      </c>
      <c r="W518" s="117"/>
      <c r="X518" s="125"/>
      <c r="Y518" s="125"/>
      <c r="Z518" s="500"/>
      <c r="AA518" s="501"/>
      <c r="AB518" s="502"/>
      <c r="AC518" s="125" t="str">
        <f t="shared" si="466"/>
        <v/>
      </c>
      <c r="AD518" s="117" t="str">
        <f t="shared" si="473"/>
        <v/>
      </c>
      <c r="AE518" s="117" t="str">
        <f t="shared" si="469"/>
        <v/>
      </c>
      <c r="AF518" s="117" t="str">
        <f t="shared" si="461"/>
        <v/>
      </c>
      <c r="AG518" s="470"/>
      <c r="AH518" s="470"/>
      <c r="AI518" s="125" t="str">
        <f t="shared" si="462"/>
        <v/>
      </c>
      <c r="AJ518" s="470"/>
      <c r="AK518" s="470"/>
      <c r="AL518" s="472"/>
      <c r="AM518" s="496"/>
      <c r="AN518" s="125"/>
      <c r="AO518" s="490"/>
      <c r="AP518" s="125"/>
      <c r="AQ518" s="490"/>
      <c r="AR518" s="522"/>
      <c r="AS518" s="519"/>
      <c r="AT518" s="204"/>
      <c r="AU518" s="699"/>
      <c r="AV518" s="702"/>
      <c r="AW518" s="705"/>
      <c r="AX518" s="705"/>
      <c r="AY518" s="19"/>
      <c r="CB518" s="29" t="str">
        <f>IFERROR(IF(COUNTIF(AF513:AF522,"")=10,"",IF(COUNTIF(E513:E522,"N/A")&gt;0,IF(AF518&gt;=CMEMM1,AF518,0),"N/A")),"")</f>
        <v/>
      </c>
      <c r="CC518" s="4"/>
      <c r="CD518" s="4" t="str">
        <f>IFERROR(IF(COUNTIF(AF513:AF522,"")=10,"",IF(AF518="","",IF(AF518&gt;=CMEMM1,1,0))),"")</f>
        <v/>
      </c>
      <c r="CE518" s="4" t="str">
        <f>B513&amp;"-0"&amp;6</f>
        <v>P52-06</v>
      </c>
      <c r="CF518" s="4">
        <f>IFERROR(INDEX('DESEMPATE Y DISCAPACIDAD'!$D$3:$D$450,MATCH(CE518,'DESEMPATE Y DISCAPACIDAD'!$C$3:$C$450,0)),"")</f>
        <v>0</v>
      </c>
      <c r="CG518" s="4">
        <f>IF(OR(CE518="",CF518=""),"",SUMIF(D513:D522,CF518,CD513:CD522))</f>
        <v>0</v>
      </c>
      <c r="CH518" s="4" t="str">
        <f t="shared" si="435"/>
        <v>NO CUMPLE</v>
      </c>
      <c r="CI518" s="4">
        <f t="shared" si="467"/>
        <v>0</v>
      </c>
      <c r="CJ518" s="4"/>
      <c r="CK518" s="4"/>
      <c r="CL518" s="4" t="str">
        <f t="shared" si="470"/>
        <v/>
      </c>
      <c r="CM518" s="4" t="str">
        <f t="shared" si="471"/>
        <v/>
      </c>
      <c r="CN518" s="4" t="str">
        <f t="shared" si="468"/>
        <v/>
      </c>
      <c r="CO518" s="4"/>
      <c r="CP518" s="4"/>
      <c r="CQ518" s="29" t="str">
        <f t="shared" si="459"/>
        <v/>
      </c>
      <c r="CR518" s="29" t="str">
        <f t="shared" si="460"/>
        <v/>
      </c>
      <c r="CS518" s="4"/>
    </row>
    <row r="519" spans="1:97" ht="34.25" hidden="1" customHeight="1">
      <c r="B519" s="481"/>
      <c r="C519" s="118"/>
      <c r="D519" s="126" t="str">
        <f>+IFERROR(INDEX('DESEMPATE Y DISCAPACIDAD'!$D$3:$D$450,MATCH(C519,'DESEMPATE Y DISCAPACIDAD'!$C$3:$C$450,0)),"")</f>
        <v/>
      </c>
      <c r="E519" s="127" t="str">
        <f>IFERROR(IF(D519="","",IF(VLOOKUP(D519,'DESEMPATE Y DISCAPACIDAD'!D$3:$E$450,2,FALSE)=1,"N/A",IF(VLOOKUP(D519,'DESEMPATE Y DISCAPACIDAD'!D$3:$F$450,3,FALSE)="X","SI","NO"))),"")</f>
        <v/>
      </c>
      <c r="F519" s="125"/>
      <c r="G519" s="125"/>
      <c r="H519" s="125"/>
      <c r="I519" s="128"/>
      <c r="J519" s="125"/>
      <c r="K519" s="125"/>
      <c r="L519" s="3"/>
      <c r="M519" s="125"/>
      <c r="N519" s="125" t="str">
        <f t="shared" si="463"/>
        <v/>
      </c>
      <c r="O519" s="125" t="str">
        <f t="shared" si="474"/>
        <v/>
      </c>
      <c r="P519" s="125" t="str">
        <f t="shared" si="464"/>
        <v/>
      </c>
      <c r="Q519" s="125" t="str">
        <f t="shared" si="472"/>
        <v/>
      </c>
      <c r="R519" s="68"/>
      <c r="S519" s="129"/>
      <c r="T519" s="129"/>
      <c r="U519" s="125" t="str">
        <f t="shared" si="465"/>
        <v/>
      </c>
      <c r="V519" s="117" t="str">
        <f>IF(U519=2023,1160000,IFERROR(INDEX(SMMLV!$B$2:$B$101,MATCH(U519,SMMLV!$A$2:$A$101,0)),""))</f>
        <v/>
      </c>
      <c r="W519" s="117"/>
      <c r="X519" s="125"/>
      <c r="Y519" s="125"/>
      <c r="Z519" s="474"/>
      <c r="AA519" s="475"/>
      <c r="AB519" s="476"/>
      <c r="AC519" s="125" t="str">
        <f t="shared" si="466"/>
        <v/>
      </c>
      <c r="AD519" s="117" t="str">
        <f t="shared" si="473"/>
        <v/>
      </c>
      <c r="AE519" s="117" t="str">
        <f t="shared" si="469"/>
        <v/>
      </c>
      <c r="AF519" s="117" t="str">
        <f t="shared" si="461"/>
        <v/>
      </c>
      <c r="AG519" s="470"/>
      <c r="AH519" s="470"/>
      <c r="AI519" s="125" t="str">
        <f t="shared" si="462"/>
        <v/>
      </c>
      <c r="AJ519" s="470"/>
      <c r="AK519" s="470"/>
      <c r="AL519" s="472"/>
      <c r="AM519" s="496"/>
      <c r="AN519" s="125"/>
      <c r="AO519" s="490"/>
      <c r="AP519" s="125"/>
      <c r="AQ519" s="490"/>
      <c r="AR519" s="522"/>
      <c r="AS519" s="519"/>
      <c r="AT519" s="204"/>
      <c r="AU519" s="699"/>
      <c r="AV519" s="702"/>
      <c r="AW519" s="705"/>
      <c r="AX519" s="705"/>
      <c r="AY519" s="19"/>
      <c r="CB519" s="29" t="str">
        <f>IFERROR(IF(COUNTIF(AF513:AF522,"")=10,"",IF(COUNTIF(E513:E522,"N/A")&gt;0,IF(AF519&gt;=CMEMM1,AF519,0),"N/A")),"")</f>
        <v/>
      </c>
      <c r="CC519" s="4"/>
      <c r="CD519" s="4" t="str">
        <f>IFERROR(IF(COUNTIF(AF513:AF522,"")=10,"",IF(AF519="","",IF(AF519&gt;=CMEMM1,1,0))),"")</f>
        <v/>
      </c>
      <c r="CE519" s="4" t="str">
        <f>B513&amp;"-0"&amp;7</f>
        <v>P52-07</v>
      </c>
      <c r="CF519" s="4" t="str">
        <f>IFERROR(INDEX('DESEMPATE Y DISCAPACIDAD'!$D$3:$D$450,MATCH(CE519,'DESEMPATE Y DISCAPACIDAD'!$C$3:$C$450,0)),"")</f>
        <v/>
      </c>
      <c r="CG519" s="4" t="str">
        <f>IF(OR(CE519="",CF519=""),"",SUMIF(D513:D522,CF519,CD513:CD522))</f>
        <v/>
      </c>
      <c r="CH519" s="4" t="str">
        <f t="shared" si="435"/>
        <v/>
      </c>
      <c r="CI519" s="4" t="str">
        <f t="shared" si="467"/>
        <v/>
      </c>
      <c r="CJ519" s="4"/>
      <c r="CK519" s="4"/>
      <c r="CL519" s="4" t="str">
        <f t="shared" si="470"/>
        <v/>
      </c>
      <c r="CM519" s="4" t="str">
        <f t="shared" si="471"/>
        <v/>
      </c>
      <c r="CN519" s="4" t="str">
        <f t="shared" si="468"/>
        <v/>
      </c>
      <c r="CO519" s="4"/>
      <c r="CP519" s="4"/>
      <c r="CQ519" s="29" t="str">
        <f t="shared" si="459"/>
        <v/>
      </c>
      <c r="CR519" s="29" t="str">
        <f t="shared" si="460"/>
        <v/>
      </c>
      <c r="CS519" s="4"/>
    </row>
    <row r="520" spans="1:97" ht="34.25" hidden="1" customHeight="1">
      <c r="B520" s="481"/>
      <c r="C520" s="118"/>
      <c r="D520" s="126" t="str">
        <f>+IFERROR(INDEX('DESEMPATE Y DISCAPACIDAD'!$D$3:$D$450,MATCH(C520,'DESEMPATE Y DISCAPACIDAD'!$C$3:$C$450,0)),"")</f>
        <v/>
      </c>
      <c r="E520" s="127" t="str">
        <f>IFERROR(IF(D520="","",IF(VLOOKUP(D520,'DESEMPATE Y DISCAPACIDAD'!D$3:$E$450,2,FALSE)=1,"N/A",IF(VLOOKUP(D520,'DESEMPATE Y DISCAPACIDAD'!D$3:$F$450,3,FALSE)="X","SI","NO"))),"")</f>
        <v/>
      </c>
      <c r="F520" s="125"/>
      <c r="G520" s="125"/>
      <c r="H520" s="125"/>
      <c r="I520" s="128"/>
      <c r="J520" s="125"/>
      <c r="K520" s="125"/>
      <c r="L520" s="3"/>
      <c r="M520" s="125"/>
      <c r="N520" s="125" t="str">
        <f t="shared" si="463"/>
        <v/>
      </c>
      <c r="O520" s="125" t="str">
        <f t="shared" si="474"/>
        <v/>
      </c>
      <c r="P520" s="125" t="str">
        <f t="shared" si="464"/>
        <v/>
      </c>
      <c r="Q520" s="125" t="str">
        <f t="shared" si="472"/>
        <v/>
      </c>
      <c r="R520" s="68"/>
      <c r="S520" s="129"/>
      <c r="T520" s="129"/>
      <c r="U520" s="125" t="str">
        <f t="shared" si="465"/>
        <v/>
      </c>
      <c r="V520" s="117" t="str">
        <f>IF(U520=2023,1160000,IFERROR(INDEX(SMMLV!$B$2:$B$101,MATCH(U520,SMMLV!$A$2:$A$101,0)),""))</f>
        <v/>
      </c>
      <c r="W520" s="117"/>
      <c r="X520" s="125"/>
      <c r="Y520" s="125"/>
      <c r="Z520" s="474"/>
      <c r="AA520" s="475"/>
      <c r="AB520" s="476"/>
      <c r="AC520" s="125" t="str">
        <f t="shared" si="466"/>
        <v/>
      </c>
      <c r="AD520" s="117" t="str">
        <f t="shared" si="473"/>
        <v/>
      </c>
      <c r="AE520" s="117" t="str">
        <f t="shared" si="469"/>
        <v/>
      </c>
      <c r="AF520" s="117" t="str">
        <f t="shared" si="461"/>
        <v/>
      </c>
      <c r="AG520" s="470"/>
      <c r="AH520" s="470"/>
      <c r="AI520" s="125" t="str">
        <f t="shared" si="462"/>
        <v/>
      </c>
      <c r="AJ520" s="470"/>
      <c r="AK520" s="470"/>
      <c r="AL520" s="472"/>
      <c r="AM520" s="496"/>
      <c r="AN520" s="125"/>
      <c r="AO520" s="490"/>
      <c r="AP520" s="125"/>
      <c r="AQ520" s="490"/>
      <c r="AR520" s="522"/>
      <c r="AS520" s="519"/>
      <c r="AT520" s="204"/>
      <c r="AU520" s="699"/>
      <c r="AV520" s="702"/>
      <c r="AW520" s="705"/>
      <c r="AX520" s="705"/>
      <c r="AY520" s="19"/>
      <c r="CB520" s="29" t="str">
        <f>IFERROR(IF(COUNTIF(AF513:AF522,"")=10,"",IF(COUNTIF(E513:E522,"N/A")&gt;0,IF(AF520&gt;=CMEMM1,AF520,0),"N/A")),"")</f>
        <v/>
      </c>
      <c r="CC520" s="4"/>
      <c r="CD520" s="4" t="str">
        <f>IFERROR(IF(COUNTIF(AF513:AF522,"")=10,"",IF(AF520="","",IF(AF520&gt;=CMEMM1,1,0))),"")</f>
        <v/>
      </c>
      <c r="CE520" s="4" t="str">
        <f>B513&amp;"-0"&amp;8</f>
        <v>P52-08</v>
      </c>
      <c r="CF520" s="4" t="str">
        <f>IFERROR(INDEX('DESEMPATE Y DISCAPACIDAD'!$D$3:$D$450,MATCH(CE520,'DESEMPATE Y DISCAPACIDAD'!$C$3:$C$450,0)),"")</f>
        <v/>
      </c>
      <c r="CG520" s="4" t="str">
        <f>IF(OR(CE520="",CF520=""),"",SUMIF(D513:D522,CF520,CD513:CD522))</f>
        <v/>
      </c>
      <c r="CH520" s="4" t="str">
        <f t="shared" si="435"/>
        <v/>
      </c>
      <c r="CI520" s="4" t="str">
        <f t="shared" si="467"/>
        <v/>
      </c>
      <c r="CJ520" s="4"/>
      <c r="CK520" s="4"/>
      <c r="CL520" s="4" t="str">
        <f t="shared" si="470"/>
        <v/>
      </c>
      <c r="CM520" s="4" t="str">
        <f t="shared" si="471"/>
        <v/>
      </c>
      <c r="CN520" s="4" t="str">
        <f t="shared" si="468"/>
        <v/>
      </c>
      <c r="CO520" s="4"/>
      <c r="CP520" s="4"/>
      <c r="CQ520" s="29" t="str">
        <f t="shared" si="459"/>
        <v/>
      </c>
      <c r="CR520" s="29" t="str">
        <f t="shared" si="460"/>
        <v/>
      </c>
      <c r="CS520" s="4"/>
    </row>
    <row r="521" spans="1:97" ht="34.25" hidden="1" customHeight="1">
      <c r="B521" s="481"/>
      <c r="C521" s="118"/>
      <c r="D521" s="126" t="str">
        <f>+IFERROR(INDEX('DESEMPATE Y DISCAPACIDAD'!$D$3:$D$450,MATCH(C521,'DESEMPATE Y DISCAPACIDAD'!$C$3:$C$450,0)),"")</f>
        <v/>
      </c>
      <c r="E521" s="127" t="str">
        <f>IFERROR(IF(D521="","",IF(VLOOKUP(D521,'DESEMPATE Y DISCAPACIDAD'!D$3:$E$450,2,FALSE)=1,"N/A",IF(VLOOKUP(D521,'DESEMPATE Y DISCAPACIDAD'!D$3:$F$450,3,FALSE)="X","SI","NO"))),"")</f>
        <v/>
      </c>
      <c r="F521" s="125"/>
      <c r="G521" s="125"/>
      <c r="H521" s="125"/>
      <c r="I521" s="128"/>
      <c r="J521" s="125"/>
      <c r="K521" s="125"/>
      <c r="L521" s="3"/>
      <c r="M521" s="125"/>
      <c r="N521" s="125" t="str">
        <f t="shared" si="463"/>
        <v/>
      </c>
      <c r="O521" s="125" t="str">
        <f t="shared" si="474"/>
        <v/>
      </c>
      <c r="P521" s="125" t="str">
        <f t="shared" si="464"/>
        <v/>
      </c>
      <c r="Q521" s="125" t="str">
        <f t="shared" si="472"/>
        <v/>
      </c>
      <c r="R521" s="68"/>
      <c r="S521" s="129"/>
      <c r="T521" s="129"/>
      <c r="U521" s="125" t="str">
        <f t="shared" si="465"/>
        <v/>
      </c>
      <c r="V521" s="117" t="str">
        <f>IF(U521=2023,1160000,IFERROR(INDEX(SMMLV!$B$2:$B$101,MATCH(U521,SMMLV!$A$2:$A$101,0)),""))</f>
        <v/>
      </c>
      <c r="W521" s="117"/>
      <c r="X521" s="125"/>
      <c r="Y521" s="125"/>
      <c r="Z521" s="474"/>
      <c r="AA521" s="475"/>
      <c r="AB521" s="476"/>
      <c r="AC521" s="125" t="str">
        <f t="shared" si="466"/>
        <v/>
      </c>
      <c r="AD521" s="117" t="str">
        <f t="shared" si="473"/>
        <v/>
      </c>
      <c r="AE521" s="117" t="str">
        <f t="shared" si="469"/>
        <v/>
      </c>
      <c r="AF521" s="117" t="str">
        <f t="shared" si="461"/>
        <v/>
      </c>
      <c r="AG521" s="470"/>
      <c r="AH521" s="470"/>
      <c r="AI521" s="125" t="str">
        <f t="shared" si="462"/>
        <v/>
      </c>
      <c r="AJ521" s="470"/>
      <c r="AK521" s="470"/>
      <c r="AL521" s="472"/>
      <c r="AM521" s="496"/>
      <c r="AN521" s="125"/>
      <c r="AO521" s="490"/>
      <c r="AP521" s="125"/>
      <c r="AQ521" s="490"/>
      <c r="AR521" s="522"/>
      <c r="AS521" s="519"/>
      <c r="AT521" s="204"/>
      <c r="AU521" s="699"/>
      <c r="AV521" s="702"/>
      <c r="AW521" s="705"/>
      <c r="AX521" s="705"/>
      <c r="AY521" s="19"/>
      <c r="CB521" s="29" t="str">
        <f>IFERROR(IF(COUNTIF(AF513:AF522,"")=10,"",IF(COUNTIF(E513:E522,"N/A")&gt;0,IF(AF521&gt;=CMEMM1,AF521,0),"N/A")),"")</f>
        <v/>
      </c>
      <c r="CC521" s="4"/>
      <c r="CD521" s="4" t="str">
        <f>IFERROR(IF(COUNTIF(AF513:AF522,"")=10,"",IF(AF521="","",IF(AF521&gt;=CMEMM1,1,0))),"")</f>
        <v/>
      </c>
      <c r="CE521" s="4" t="str">
        <f>B513&amp;"-0"&amp;9</f>
        <v>P52-09</v>
      </c>
      <c r="CF521" s="4" t="str">
        <f>IFERROR(INDEX('DESEMPATE Y DISCAPACIDAD'!$D$3:$D$450,MATCH(CE521,'DESEMPATE Y DISCAPACIDAD'!$C$3:$C$450,0)),"")</f>
        <v/>
      </c>
      <c r="CG521" s="4" t="str">
        <f>IF(OR(CE521="",CF521=""),"",SUMIF(D513:D522,CF521,CD513:CD522))</f>
        <v/>
      </c>
      <c r="CH521" s="4" t="str">
        <f t="shared" si="435"/>
        <v/>
      </c>
      <c r="CI521" s="4" t="str">
        <f t="shared" si="467"/>
        <v/>
      </c>
      <c r="CJ521" s="4"/>
      <c r="CK521" s="4"/>
      <c r="CL521" s="4" t="str">
        <f t="shared" si="470"/>
        <v/>
      </c>
      <c r="CM521" s="4" t="str">
        <f t="shared" si="471"/>
        <v/>
      </c>
      <c r="CN521" s="4" t="str">
        <f t="shared" si="468"/>
        <v/>
      </c>
      <c r="CO521" s="4"/>
      <c r="CP521" s="4"/>
      <c r="CQ521" s="29" t="str">
        <f t="shared" si="459"/>
        <v/>
      </c>
      <c r="CR521" s="29" t="str">
        <f t="shared" si="460"/>
        <v/>
      </c>
      <c r="CS521" s="4"/>
    </row>
    <row r="522" spans="1:97" ht="34.25" hidden="1" customHeight="1" thickBot="1">
      <c r="B522" s="482"/>
      <c r="C522" s="130"/>
      <c r="D522" s="131" t="str">
        <f>+IFERROR(INDEX('DESEMPATE Y DISCAPACIDAD'!$D$3:$D$450,MATCH(C522,'DESEMPATE Y DISCAPACIDAD'!$C$3:$C$450,0)),"")</f>
        <v/>
      </c>
      <c r="E522" s="132" t="str">
        <f>IFERROR(IF(D522="","",IF(VLOOKUP(D522,'DESEMPATE Y DISCAPACIDAD'!D$3:$E$450,2,FALSE)=1,"N/A",IF(VLOOKUP(D522,'DESEMPATE Y DISCAPACIDAD'!D$3:$F$450,3,FALSE)="X","SI","NO"))),"")</f>
        <v/>
      </c>
      <c r="F522" s="133"/>
      <c r="G522" s="133"/>
      <c r="H522" s="133"/>
      <c r="I522" s="134"/>
      <c r="J522" s="133"/>
      <c r="K522" s="133"/>
      <c r="L522" s="5"/>
      <c r="M522" s="133"/>
      <c r="N522" s="133" t="str">
        <f t="shared" si="463"/>
        <v/>
      </c>
      <c r="O522" s="133" t="str">
        <f t="shared" si="474"/>
        <v/>
      </c>
      <c r="P522" s="133" t="str">
        <f t="shared" si="464"/>
        <v/>
      </c>
      <c r="Q522" s="133" t="str">
        <f t="shared" si="472"/>
        <v/>
      </c>
      <c r="R522" s="104"/>
      <c r="S522" s="135"/>
      <c r="T522" s="135"/>
      <c r="U522" s="133" t="str">
        <f t="shared" si="465"/>
        <v/>
      </c>
      <c r="V522" s="136" t="str">
        <f>IF(U522=2023,1160000,IFERROR(INDEX(SMMLV!$B$2:$B$101,MATCH(U522,SMMLV!$A$2:$A$101,0)),""))</f>
        <v/>
      </c>
      <c r="W522" s="136"/>
      <c r="X522" s="133"/>
      <c r="Y522" s="133"/>
      <c r="Z522" s="487"/>
      <c r="AA522" s="488"/>
      <c r="AB522" s="489"/>
      <c r="AC522" s="133" t="str">
        <f t="shared" si="466"/>
        <v/>
      </c>
      <c r="AD522" s="136" t="str">
        <f t="shared" si="473"/>
        <v/>
      </c>
      <c r="AE522" s="117" t="str">
        <f t="shared" si="469"/>
        <v/>
      </c>
      <c r="AF522" s="136" t="str">
        <f t="shared" si="461"/>
        <v/>
      </c>
      <c r="AG522" s="471"/>
      <c r="AH522" s="471"/>
      <c r="AI522" s="133" t="str">
        <f t="shared" si="462"/>
        <v/>
      </c>
      <c r="AJ522" s="471"/>
      <c r="AK522" s="471"/>
      <c r="AL522" s="473"/>
      <c r="AM522" s="497"/>
      <c r="AN522" s="133"/>
      <c r="AO522" s="491"/>
      <c r="AP522" s="133"/>
      <c r="AQ522" s="491"/>
      <c r="AR522" s="523"/>
      <c r="AS522" s="520"/>
      <c r="AT522" s="206"/>
      <c r="AU522" s="700"/>
      <c r="AV522" s="703"/>
      <c r="AW522" s="706"/>
      <c r="AX522" s="706"/>
      <c r="AY522" s="19"/>
      <c r="CB522" s="29" t="str">
        <f>IFERROR(IF(COUNTIF(AF513:AF522,"")=10,"",IF(COUNTIF(E513:E522,"N/A")&gt;0,IF(AF522&gt;=CMEMM1,AF522,0),"N/A")),"")</f>
        <v/>
      </c>
      <c r="CC522" s="4"/>
      <c r="CD522" s="4" t="str">
        <f>IFERROR(IF(COUNTIF(AF513:AF522,"")=10,"",IF(AF522="","",IF(AF522&gt;=CMEMM1,1,0))),"")</f>
        <v/>
      </c>
      <c r="CE522" s="4" t="str">
        <f>B513&amp;"-"&amp;10</f>
        <v>P52-10</v>
      </c>
      <c r="CF522" s="4" t="str">
        <f>IFERROR(INDEX('DESEMPATE Y DISCAPACIDAD'!$D$3:$D$450,MATCH(CE522,'DESEMPATE Y DISCAPACIDAD'!$C$3:$C$450,0)),"")</f>
        <v/>
      </c>
      <c r="CG522" s="4" t="str">
        <f>IF(OR(CE522="",CF522=""),"",SUMIF(D513:D522,CF522,CD513:CD522))</f>
        <v/>
      </c>
      <c r="CH522" s="4" t="str">
        <f t="shared" si="435"/>
        <v/>
      </c>
      <c r="CI522" s="4" t="str">
        <f t="shared" si="467"/>
        <v/>
      </c>
      <c r="CJ522" s="4"/>
      <c r="CK522" s="4"/>
      <c r="CL522" s="4" t="str">
        <f t="shared" si="470"/>
        <v/>
      </c>
      <c r="CM522" s="4" t="str">
        <f t="shared" si="471"/>
        <v/>
      </c>
      <c r="CN522" s="4" t="str">
        <f t="shared" si="468"/>
        <v/>
      </c>
      <c r="CO522" s="4"/>
      <c r="CP522" s="4"/>
      <c r="CQ522" s="29" t="str">
        <f t="shared" si="459"/>
        <v/>
      </c>
      <c r="CR522" s="29" t="str">
        <f t="shared" si="460"/>
        <v/>
      </c>
      <c r="CS522" s="4"/>
    </row>
    <row r="523" spans="1:97" ht="34.25" hidden="1" customHeight="1">
      <c r="A523" s="4" t="str">
        <f>"A"&amp;B523</f>
        <v>AP53</v>
      </c>
      <c r="B523" s="480" t="s">
        <v>314</v>
      </c>
      <c r="C523" s="108"/>
      <c r="D523" s="119" t="str">
        <f>+IFERROR(INDEX('DESEMPATE Y DISCAPACIDAD'!$D$3:$D$450,MATCH(C523,'DESEMPATE Y DISCAPACIDAD'!$C$3:$C$450,0)),"")</f>
        <v/>
      </c>
      <c r="E523" s="120" t="str">
        <f>IFERROR(IF(D523="","",IF(VLOOKUP(D523,'DESEMPATE Y DISCAPACIDAD'!D$3:$E$450,2,FALSE)=1,"N/A",IF(VLOOKUP(D523,'DESEMPATE Y DISCAPACIDAD'!D$3:$F$450,3,FALSE)="X","SI","NO"))),"")</f>
        <v/>
      </c>
      <c r="F523" s="125"/>
      <c r="G523" s="125"/>
      <c r="H523" s="121"/>
      <c r="I523" s="122"/>
      <c r="J523" s="121"/>
      <c r="K523" s="121"/>
      <c r="L523" s="179"/>
      <c r="M523" s="121"/>
      <c r="N523" s="121" t="str">
        <f>IFERROR(IF(OR(J523="",K523=""),"",IF(J523="NO","NO",K523)),"")</f>
        <v/>
      </c>
      <c r="O523" s="121" t="str">
        <f>IFERROR(IF(OR(J523="",L523=""),"",IF(J523="NO","NO",L523)),"")</f>
        <v/>
      </c>
      <c r="P523" s="121" t="str">
        <f>IFERROR(IF(OR(J523="",M523=""),"",IF(J523="NO","NO",M523)),"")</f>
        <v/>
      </c>
      <c r="Q523" s="121" t="str">
        <f t="shared" si="472"/>
        <v/>
      </c>
      <c r="R523" s="103"/>
      <c r="S523" s="123"/>
      <c r="T523" s="123"/>
      <c r="U523" s="121" t="str">
        <f>IFERROR(IF(T523="","",YEAR(T523)),"")</f>
        <v/>
      </c>
      <c r="V523" s="124" t="str">
        <f>IF(U523=2023,1160000,IFERROR(INDEX(SMMLV!$B$2:$B$101,MATCH(U523,SMMLV!$A$2:$A$101,0)),""))</f>
        <v/>
      </c>
      <c r="W523" s="124"/>
      <c r="X523" s="121"/>
      <c r="Y523" s="121"/>
      <c r="Z523" s="483"/>
      <c r="AA523" s="484"/>
      <c r="AB523" s="485"/>
      <c r="AC523" s="121" t="str">
        <f>IFERROR(IF(Y523="","",IF(ISNUMBER(Y523),IF(COUNTIF(Z523,"SI")&gt;0,"SI","NO"),Y523)),"")</f>
        <v/>
      </c>
      <c r="AD523" s="124" t="str">
        <f t="shared" si="473"/>
        <v/>
      </c>
      <c r="AE523" s="117" t="str">
        <f t="shared" si="469"/>
        <v/>
      </c>
      <c r="AF523" s="124" t="str">
        <f t="shared" si="461"/>
        <v/>
      </c>
      <c r="AG523" s="486" t="str">
        <f>IFERROR(IF(COUNTIF(AF523:AF532,"")=10,"",IF(COUNTIF(E523:E532,"N/A")&gt;0,IF(SUM(CB523:CB532)&gt;=CMEM1,"CUMPLE","NO CUMPLE"),IF(SUM(AF523:AF532)&gt;=CMEM1,"CUMPLE","NO CUMPLE"))),"")</f>
        <v/>
      </c>
      <c r="AH523" s="486" t="str">
        <f>IF(COUNTIF(AF523:AF532,"")=10,"",IF(SUMIF(C523:C532,C523,AF523:AF532)&gt;=CMLM1,"CUMPLE",IF(SUMIF(C523:C532,C524,AF523:AF532)&gt;=CMLM1,"CUMPLE",IF(SUMIF(C523:C532,C525,AF523:AF532)&gt;=CMLM1,"CUMPLE",IF(SUMIF(C523:C532,C526,AF523:AF532)&gt;=CMLM1,"CUMPLE",IF(SUMIF(C523:C532,C527,AF523:AF532)&gt;=CMLM1,"CUMPLE",IF(SUMIF(C523:C532,C528,AF523:AF532)&gt;=CMLM1,"CUMPLE",IF(SUMIF(C523:C532,C529,AF523:AF532)&gt;=CMLM1,"CUMPLE",IF(SUMIF(C523:C532,C530,AF523:AF532)&gt;=CMLM1,"CUMPLE",IF(SUMIF(C523:C532,C531,AF523:AF532)&gt;=CMLM1,"CUMPLE",IF(SUMIF(C523:C532,C532,AF523:AF532)&gt;=CMLM1,"CUMPLE","NO CUMPLE")))))))))))</f>
        <v/>
      </c>
      <c r="AI523" s="121" t="str">
        <f t="shared" si="462"/>
        <v/>
      </c>
      <c r="AJ523" s="469" t="str">
        <f>IFERROR(IF(COUNTIF(AF523:AF532,"")=10,"",IF(COUNTIF(E523:E532,"N/A")&gt;0,"N/A",CJ523)),"")</f>
        <v/>
      </c>
      <c r="AK523" s="469" t="str">
        <f>IFERROR(IF(AND(COUNTIF(N523:N532,"SI")&gt;=1,COUNTIF(O523:O532,"SI")&gt;=1,COUNTIF(P523:P532,"SI")&gt;=1,COUNTIF(J523:J532,"SI")&lt;=10,CO523="CUMPLE"),"CUMPLE","NO CUMPLE"),"")</f>
        <v>NO CUMPLE</v>
      </c>
      <c r="AL523" s="472"/>
      <c r="AM523" s="495">
        <f>IFERROR(IF(B523&lt;&gt;"",IF(VLOOKUP(B523,'DESEMPATE Y DISCAPACIDAD'!$A$3:$Q$450,10,FALSE)="","",VLOOKUP(B523,'DESEMPATE Y DISCAPACIDAD'!$A$3:$Q$450,10,FALSE)+6),""),"")</f>
        <v>6</v>
      </c>
      <c r="AN523" s="121"/>
      <c r="AO523" s="490"/>
      <c r="AP523" s="121"/>
      <c r="AQ523" s="490" t="str">
        <f>IFERROR(IF(COUNTIF(AP523:AP532,"")=10,"",IF(AO523="NO",0,COUNTIF(AP523:AP532,"SI"))),"")</f>
        <v/>
      </c>
      <c r="AR523" s="521" t="str">
        <f>IFERROR(IF(COUNTIF(AF523:AF532,"")=10,"",IF(AO523="NO",0,IF(COUNTIF(E523:E532,"N/A")&gt;0,SUM(CQ523:CQ532),SUM(CR523:CR532)))),"")</f>
        <v/>
      </c>
      <c r="AS523" s="518" t="str">
        <f>IFERROR(IF(OR(COUNTIF(AF523:AF532,"")=10,AQ523="",AR523=""),"",IF(AO523="NO",0,AR523/AQ523)),"")</f>
        <v/>
      </c>
      <c r="AT523" s="207"/>
      <c r="AU523" s="698"/>
      <c r="AV523" s="701"/>
      <c r="AW523" s="704"/>
      <c r="AX523" s="704"/>
      <c r="AY523" s="19"/>
      <c r="CB523" s="29" t="str">
        <f>IFERROR(IF(COUNTIF(AF523:AF532,"")=10,"",IF(COUNTIF(E523:E532,"N/A")&gt;0,IF(AF523&gt;=CMEMM1,AF523,0),"N/A")),"")</f>
        <v/>
      </c>
      <c r="CC523" s="4"/>
      <c r="CD523" s="4" t="str">
        <f>IFERROR(IF(COUNTIF(AF523:AF532,"")=10,"",IF(AF523="","",IF(AF523&gt;=CMEMM1,1,0))),"")</f>
        <v/>
      </c>
      <c r="CE523" s="4" t="str">
        <f>B523&amp;"-0"&amp;1</f>
        <v>P53-01</v>
      </c>
      <c r="CF523" s="4">
        <f>IFERROR(INDEX('DESEMPATE Y DISCAPACIDAD'!$D$3:$D$450,MATCH(CE523,'DESEMPATE Y DISCAPACIDAD'!$C$3:$C$450,0)),"")</f>
        <v>0</v>
      </c>
      <c r="CG523" s="4">
        <f>IF(OR(CE523="",CF523=""),"",SUMIF(D523:D532,CF523,CD523:CD532))</f>
        <v>0</v>
      </c>
      <c r="CH523" s="4" t="str">
        <f t="shared" si="435"/>
        <v>NO CUMPLE</v>
      </c>
      <c r="CI523" s="4">
        <f>IF(CF523="","",IF(ISTEXT(CF523),1,0))</f>
        <v>0</v>
      </c>
      <c r="CJ523" s="4" t="str">
        <f>IF(OR(CD523="",CE523="",CF523="",CG523="",CH523="",CI523=""),"",IF(COUNTIF(CH523:CH532,"CUMPLE")=COUNTIF(CI523:CI532,1),"CUMPLE","NO CUMPLE"))</f>
        <v/>
      </c>
      <c r="CK523" s="4"/>
      <c r="CL523" s="4" t="str">
        <f t="shared" si="470"/>
        <v/>
      </c>
      <c r="CM523" s="4" t="str">
        <f t="shared" si="471"/>
        <v/>
      </c>
      <c r="CN523" s="4" t="str">
        <f>IF(OR(CL523="",CM523=""),"",IF(AND(CL523=0,CM523=0),"N/A",IF(AND(CL523=1,CM523=0),"COND. A",IF(AND(CL523=0,CM523=1),"COND. B",IF(AND(CL523=1,CM523=1),"COND. A Y B","")))))</f>
        <v/>
      </c>
      <c r="CO523" s="4" t="str">
        <f>IF(COUNTIF(CN523:CN532,"N/A")=10,"NO CUMPLE",IF(COUNTIF(CN523:CN532,"COND. A Y B")&gt;1,"CUMPLE",IF(AND(COUNTIF(CN523:CN532,"COND. A")&gt;0,COUNTIF(CN523:CN532,"COND. B")&gt;0),"CUMPLE",IF(AND(COUNTIF(CN523:CN532,"COND. A Y B")&gt;0,COUNTIF(CN523:CN532,"COND. A")&gt;0),"CUMPLE",IF(AND(COUNTIF(CN523:CN532,"COND. A Y B")&gt;0,COUNTIF(CN523:CN532,"COND. B")&gt;0),"CUMPLE","NO CUMPLE")))))</f>
        <v>NO CUMPLE</v>
      </c>
      <c r="CP523" s="4"/>
      <c r="CQ523" s="29" t="str">
        <f t="shared" si="459"/>
        <v/>
      </c>
      <c r="CR523" s="29" t="str">
        <f t="shared" si="460"/>
        <v/>
      </c>
      <c r="CS523" s="4"/>
    </row>
    <row r="524" spans="1:97" ht="34.25" hidden="1" customHeight="1">
      <c r="B524" s="481"/>
      <c r="C524" s="118"/>
      <c r="D524" s="119" t="str">
        <f>+IFERROR(INDEX('DESEMPATE Y DISCAPACIDAD'!$D$3:$D$450,MATCH(C524,'DESEMPATE Y DISCAPACIDAD'!$C$3:$C$450,0)),"")</f>
        <v/>
      </c>
      <c r="E524" s="120" t="str">
        <f>IFERROR(IF(D524="","",IF(VLOOKUP(D524,'DESEMPATE Y DISCAPACIDAD'!D$3:$E$450,2,FALSE)=1,"N/A",IF(VLOOKUP(D524,'DESEMPATE Y DISCAPACIDAD'!D$3:$F$450,3,FALSE)="X","SI","NO"))),"")</f>
        <v/>
      </c>
      <c r="F524" s="125"/>
      <c r="G524" s="125"/>
      <c r="H524" s="121"/>
      <c r="I524" s="122"/>
      <c r="J524" s="121"/>
      <c r="K524" s="121"/>
      <c r="L524" s="179"/>
      <c r="M524" s="121"/>
      <c r="N524" s="121" t="str">
        <f t="shared" ref="N524:N532" si="475">IFERROR(IF(OR(J524="",K524=""),"",IF(J524="NO","NO",K524)),"")</f>
        <v/>
      </c>
      <c r="O524" s="121" t="str">
        <f>IFERROR(IF(OR(J524="",L524=""),"",IF(J524="NO","NO",L524)),"")</f>
        <v/>
      </c>
      <c r="P524" s="121" t="str">
        <f t="shared" ref="P524:P532" si="476">IFERROR(IF(OR(J524="",M524=""),"",IF(J524="NO","NO",M524)),"")</f>
        <v/>
      </c>
      <c r="Q524" s="121" t="str">
        <f t="shared" si="472"/>
        <v/>
      </c>
      <c r="R524" s="103"/>
      <c r="S524" s="123"/>
      <c r="T524" s="123"/>
      <c r="U524" s="121" t="str">
        <f t="shared" ref="U524:U532" si="477">IFERROR(IF(T524="","",YEAR(T524)),"")</f>
        <v/>
      </c>
      <c r="V524" s="124" t="str">
        <f>IF(U524=2023,1160000,IFERROR(INDEX(SMMLV!$B$2:$B$101,MATCH(U524,SMMLV!$A$2:$A$101,0)),""))</f>
        <v/>
      </c>
      <c r="W524" s="124"/>
      <c r="X524" s="125"/>
      <c r="Y524" s="125"/>
      <c r="Z524" s="474"/>
      <c r="AA524" s="475"/>
      <c r="AB524" s="476"/>
      <c r="AC524" s="125" t="str">
        <f t="shared" ref="AC524:AC532" si="478">IFERROR(IF(Y524="","",IF(ISNUMBER(Y524),IF(COUNTIF(Z524,"SI")&gt;0,"SI","NO"),Y524)),"")</f>
        <v/>
      </c>
      <c r="AD524" s="117" t="str">
        <f t="shared" si="473"/>
        <v/>
      </c>
      <c r="AE524" s="117" t="str">
        <f t="shared" si="469"/>
        <v/>
      </c>
      <c r="AF524" s="117" t="str">
        <f t="shared" si="461"/>
        <v/>
      </c>
      <c r="AG524" s="470"/>
      <c r="AH524" s="470"/>
      <c r="AI524" s="125" t="str">
        <f t="shared" si="462"/>
        <v/>
      </c>
      <c r="AJ524" s="470"/>
      <c r="AK524" s="470"/>
      <c r="AL524" s="472"/>
      <c r="AM524" s="496"/>
      <c r="AN524" s="125"/>
      <c r="AO524" s="490"/>
      <c r="AP524" s="125"/>
      <c r="AQ524" s="490"/>
      <c r="AR524" s="522"/>
      <c r="AS524" s="519"/>
      <c r="AT524" s="204"/>
      <c r="AU524" s="699"/>
      <c r="AV524" s="702"/>
      <c r="AW524" s="705"/>
      <c r="AX524" s="705"/>
      <c r="AY524" s="19"/>
      <c r="CB524" s="29" t="str">
        <f>IFERROR(IF(COUNTIF(AF523:AF532,"")=10,"",IF(COUNTIF(E523:E532,"N/A")&gt;0,IF(AF524&gt;=CMEMM1,AF524,0),"N/A")),"")</f>
        <v/>
      </c>
      <c r="CC524" s="4"/>
      <c r="CD524" s="4" t="str">
        <f>IFERROR(IF(COUNTIF(AF523:AF532,"")=10,"",IF(AF524="","",IF(AF524&gt;=CMEMM1,1,0))),"")</f>
        <v/>
      </c>
      <c r="CE524" s="4" t="str">
        <f>B523&amp;"-0"&amp;2</f>
        <v>P53-02</v>
      </c>
      <c r="CF524" s="4">
        <f>IFERROR(INDEX('DESEMPATE Y DISCAPACIDAD'!$D$3:$D$450,MATCH(CE524,'DESEMPATE Y DISCAPACIDAD'!$C$3:$C$450,0)),"")</f>
        <v>0</v>
      </c>
      <c r="CG524" s="4">
        <f>IF(OR(CE524="",CF524=""),"",SUMIF(D523:D532,CF524,CD523:CD532))</f>
        <v>0</v>
      </c>
      <c r="CH524" s="4" t="str">
        <f t="shared" si="435"/>
        <v>NO CUMPLE</v>
      </c>
      <c r="CI524" s="4">
        <f t="shared" ref="CI524:CI532" si="479">IF(CF524="","",IF(ISTEXT(CF524),1,0))</f>
        <v>0</v>
      </c>
      <c r="CJ524" s="4"/>
      <c r="CK524" s="4"/>
      <c r="CL524" s="4" t="str">
        <f t="shared" si="470"/>
        <v/>
      </c>
      <c r="CM524" s="4" t="str">
        <f t="shared" si="471"/>
        <v/>
      </c>
      <c r="CN524" s="4" t="str">
        <f t="shared" ref="CN524:CN532" si="480">IF(OR(CL524="",CM524=""),"",IF(AND(CL524=0,CM524=0),"N/A",IF(AND(CL524=1,CM524=0),"COND. A",IF(AND(CL524=0,CM524=1),"COND. B",IF(AND(CL524=1,CM524=1),"COND. A Y B","")))))</f>
        <v/>
      </c>
      <c r="CO524" s="4"/>
      <c r="CP524" s="4"/>
      <c r="CQ524" s="29" t="str">
        <f t="shared" si="459"/>
        <v/>
      </c>
      <c r="CR524" s="29" t="str">
        <f t="shared" si="460"/>
        <v/>
      </c>
      <c r="CS524" s="4"/>
    </row>
    <row r="525" spans="1:97" ht="34.25" hidden="1" customHeight="1">
      <c r="B525" s="481"/>
      <c r="C525" s="118"/>
      <c r="D525" s="126" t="str">
        <f>+IFERROR(INDEX('DESEMPATE Y DISCAPACIDAD'!$D$3:$D$450,MATCH(C525,'DESEMPATE Y DISCAPACIDAD'!$C$3:$C$450,0)),"")</f>
        <v/>
      </c>
      <c r="E525" s="127" t="str">
        <f>IFERROR(IF(D525="","",IF(VLOOKUP(D525,'DESEMPATE Y DISCAPACIDAD'!D$3:$E$450,2,FALSE)=1,"N/A",IF(VLOOKUP(D525,'DESEMPATE Y DISCAPACIDAD'!D$3:$F$450,3,FALSE)="X","SI","NO"))),"")</f>
        <v/>
      </c>
      <c r="F525" s="121"/>
      <c r="G525" s="121"/>
      <c r="H525" s="125"/>
      <c r="I525" s="128"/>
      <c r="J525" s="125"/>
      <c r="K525" s="125"/>
      <c r="L525" s="3"/>
      <c r="M525" s="125"/>
      <c r="N525" s="125" t="str">
        <f t="shared" si="475"/>
        <v/>
      </c>
      <c r="O525" s="125" t="str">
        <f>IFERROR(IF(OR(J525="",L525=""),"",IF(J525="NO","NO",L525)),"")</f>
        <v/>
      </c>
      <c r="P525" s="125" t="str">
        <f t="shared" si="476"/>
        <v/>
      </c>
      <c r="Q525" s="125" t="str">
        <f t="shared" si="472"/>
        <v/>
      </c>
      <c r="R525" s="68"/>
      <c r="S525" s="129"/>
      <c r="T525" s="129"/>
      <c r="U525" s="125" t="str">
        <f t="shared" si="477"/>
        <v/>
      </c>
      <c r="V525" s="117" t="str">
        <f>IF(U525=2023,1160000,IFERROR(INDEX(SMMLV!$B$2:$B$101,MATCH(U525,SMMLV!$A$2:$A$101,0)),""))</f>
        <v/>
      </c>
      <c r="W525" s="117"/>
      <c r="X525" s="125"/>
      <c r="Y525" s="125"/>
      <c r="Z525" s="474"/>
      <c r="AA525" s="475"/>
      <c r="AB525" s="476"/>
      <c r="AC525" s="125" t="str">
        <f t="shared" si="478"/>
        <v/>
      </c>
      <c r="AD525" s="117" t="str">
        <f t="shared" si="473"/>
        <v/>
      </c>
      <c r="AE525" s="117" t="str">
        <f t="shared" si="469"/>
        <v/>
      </c>
      <c r="AF525" s="117" t="str">
        <f t="shared" si="461"/>
        <v/>
      </c>
      <c r="AG525" s="470"/>
      <c r="AH525" s="470"/>
      <c r="AI525" s="125" t="str">
        <f t="shared" si="462"/>
        <v/>
      </c>
      <c r="AJ525" s="470"/>
      <c r="AK525" s="470"/>
      <c r="AL525" s="472"/>
      <c r="AM525" s="496"/>
      <c r="AN525" s="125"/>
      <c r="AO525" s="490"/>
      <c r="AP525" s="125"/>
      <c r="AQ525" s="490"/>
      <c r="AR525" s="522"/>
      <c r="AS525" s="519"/>
      <c r="AT525" s="204"/>
      <c r="AU525" s="699"/>
      <c r="AV525" s="702"/>
      <c r="AW525" s="705"/>
      <c r="AX525" s="705"/>
      <c r="AY525" s="19"/>
      <c r="CB525" s="29" t="str">
        <f>IFERROR(IF(COUNTIF(AF523:AF532,"")=10,"",IF(COUNTIF(E523:E532,"N/A")&gt;0,IF(AF525&gt;=CMEMM1,AF525,0),"N/A")),"")</f>
        <v/>
      </c>
      <c r="CC525" s="4"/>
      <c r="CD525" s="4" t="str">
        <f>IFERROR(IF(COUNTIF(AF523:AF532,"")=10,"",IF(AF525="","",IF(AF525&gt;=CMEMM1,1,0))),"")</f>
        <v/>
      </c>
      <c r="CE525" s="4" t="str">
        <f>B523&amp;"-0"&amp;3</f>
        <v>P53-03</v>
      </c>
      <c r="CF525" s="4">
        <f>IFERROR(INDEX('DESEMPATE Y DISCAPACIDAD'!$D$3:$D$450,MATCH(CE525,'DESEMPATE Y DISCAPACIDAD'!$C$3:$C$450,0)),"")</f>
        <v>0</v>
      </c>
      <c r="CG525" s="4">
        <f>IF(OR(CE525="",CF525=""),"",SUMIF(D523:D532,CF525,CD523:CD532))</f>
        <v>0</v>
      </c>
      <c r="CH525" s="4" t="str">
        <f t="shared" si="435"/>
        <v>NO CUMPLE</v>
      </c>
      <c r="CI525" s="4">
        <f t="shared" si="479"/>
        <v>0</v>
      </c>
      <c r="CJ525" s="4"/>
      <c r="CK525" s="4"/>
      <c r="CL525" s="4" t="str">
        <f t="shared" si="470"/>
        <v/>
      </c>
      <c r="CM525" s="4" t="str">
        <f t="shared" si="471"/>
        <v/>
      </c>
      <c r="CN525" s="4" t="str">
        <f t="shared" si="480"/>
        <v/>
      </c>
      <c r="CO525" s="4"/>
      <c r="CP525" s="4"/>
      <c r="CQ525" s="29" t="str">
        <f t="shared" si="459"/>
        <v/>
      </c>
      <c r="CR525" s="29" t="str">
        <f t="shared" si="460"/>
        <v/>
      </c>
      <c r="CS525" s="4"/>
    </row>
    <row r="526" spans="1:97" ht="34.25" hidden="1" customHeight="1">
      <c r="B526" s="481"/>
      <c r="C526" s="118"/>
      <c r="D526" s="126" t="str">
        <f>+IFERROR(INDEX('DESEMPATE Y DISCAPACIDAD'!$D$3:$D$450,MATCH(C526,'DESEMPATE Y DISCAPACIDAD'!$C$3:$C$450,0)),"")</f>
        <v/>
      </c>
      <c r="E526" s="127" t="str">
        <f>IFERROR(IF(D526="","",IF(VLOOKUP(D526,'DESEMPATE Y DISCAPACIDAD'!D$3:$E$450,2,FALSE)=1,"N/A",IF(VLOOKUP(D526,'DESEMPATE Y DISCAPACIDAD'!D$3:$F$450,3,FALSE)="X","SI","NO"))),"")</f>
        <v/>
      </c>
      <c r="F526" s="141"/>
      <c r="G526" s="125"/>
      <c r="H526" s="125"/>
      <c r="I526" s="128"/>
      <c r="J526" s="125"/>
      <c r="K526" s="125"/>
      <c r="L526" s="3"/>
      <c r="M526" s="125"/>
      <c r="N526" s="125" t="str">
        <f t="shared" si="475"/>
        <v/>
      </c>
      <c r="O526" s="125" t="str">
        <f>IFERROR(IF(OR(J526="",L526=""),"",IF(J526="NO","NO",L526)),"")</f>
        <v/>
      </c>
      <c r="P526" s="125" t="str">
        <f t="shared" si="476"/>
        <v/>
      </c>
      <c r="Q526" s="125" t="str">
        <f t="shared" si="472"/>
        <v/>
      </c>
      <c r="R526" s="68"/>
      <c r="S526" s="129"/>
      <c r="T526" s="129"/>
      <c r="U526" s="125" t="str">
        <f t="shared" si="477"/>
        <v/>
      </c>
      <c r="V526" s="117" t="str">
        <f>IF(U526=2023,1160000,IFERROR(INDEX(SMMLV!$B$2:$B$101,MATCH(U526,SMMLV!$A$2:$A$101,0)),""))</f>
        <v/>
      </c>
      <c r="W526" s="117"/>
      <c r="X526" s="125"/>
      <c r="Y526" s="125"/>
      <c r="Z526" s="474"/>
      <c r="AA526" s="475"/>
      <c r="AB526" s="476"/>
      <c r="AC526" s="125" t="str">
        <f t="shared" si="478"/>
        <v/>
      </c>
      <c r="AD526" s="117" t="str">
        <f t="shared" si="473"/>
        <v/>
      </c>
      <c r="AE526" s="117" t="str">
        <f t="shared" si="469"/>
        <v/>
      </c>
      <c r="AF526" s="117" t="str">
        <f t="shared" si="461"/>
        <v/>
      </c>
      <c r="AG526" s="470"/>
      <c r="AH526" s="470"/>
      <c r="AI526" s="125" t="str">
        <f t="shared" si="462"/>
        <v/>
      </c>
      <c r="AJ526" s="470"/>
      <c r="AK526" s="470"/>
      <c r="AL526" s="472"/>
      <c r="AM526" s="496"/>
      <c r="AN526" s="125"/>
      <c r="AO526" s="490"/>
      <c r="AP526" s="125"/>
      <c r="AQ526" s="490"/>
      <c r="AR526" s="522"/>
      <c r="AS526" s="519"/>
      <c r="AT526" s="204"/>
      <c r="AU526" s="699"/>
      <c r="AV526" s="702"/>
      <c r="AW526" s="705"/>
      <c r="AX526" s="705"/>
      <c r="AY526" s="19"/>
      <c r="CB526" s="29" t="str">
        <f>IFERROR(IF(COUNTIF(AF523:AF532,"")=10,"",IF(COUNTIF(E523:E532,"N/A")&gt;0,IF(AF526&gt;=CMEMM1,AF526,0),"N/A")),"")</f>
        <v/>
      </c>
      <c r="CC526" s="4"/>
      <c r="CD526" s="4" t="str">
        <f>IFERROR(IF(COUNTIF(AF523:AF532,"")=10,"",IF(AF526="","",IF(AF526&gt;=CMEMM1,1,0))),"")</f>
        <v/>
      </c>
      <c r="CE526" s="4" t="str">
        <f>B523&amp;"-0"&amp;4</f>
        <v>P53-04</v>
      </c>
      <c r="CF526" s="4">
        <f>IFERROR(INDEX('DESEMPATE Y DISCAPACIDAD'!$D$3:$D$450,MATCH(CE526,'DESEMPATE Y DISCAPACIDAD'!$C$3:$C$450,0)),"")</f>
        <v>0</v>
      </c>
      <c r="CG526" s="4">
        <f>IF(OR(CE526="",CF526=""),"",SUMIF(D523:D532,CF526,CD523:CD532))</f>
        <v>0</v>
      </c>
      <c r="CH526" s="4" t="str">
        <f t="shared" si="435"/>
        <v>NO CUMPLE</v>
      </c>
      <c r="CI526" s="4">
        <f t="shared" si="479"/>
        <v>0</v>
      </c>
      <c r="CJ526" s="4"/>
      <c r="CK526" s="4"/>
      <c r="CL526" s="4" t="str">
        <f t="shared" si="470"/>
        <v/>
      </c>
      <c r="CM526" s="4" t="str">
        <f t="shared" si="471"/>
        <v/>
      </c>
      <c r="CN526" s="4" t="str">
        <f t="shared" si="480"/>
        <v/>
      </c>
      <c r="CO526" s="4"/>
      <c r="CP526" s="4"/>
      <c r="CQ526" s="29" t="str">
        <f t="shared" si="459"/>
        <v/>
      </c>
      <c r="CR526" s="29" t="str">
        <f t="shared" si="460"/>
        <v/>
      </c>
      <c r="CS526" s="4"/>
    </row>
    <row r="527" spans="1:97" ht="34.25" hidden="1" customHeight="1">
      <c r="B527" s="481"/>
      <c r="C527" s="118"/>
      <c r="D527" s="126" t="str">
        <f>+IFERROR(INDEX('DESEMPATE Y DISCAPACIDAD'!$D$3:$D$450,MATCH(C527,'DESEMPATE Y DISCAPACIDAD'!$C$3:$C$450,0)),"")</f>
        <v/>
      </c>
      <c r="E527" s="127" t="str">
        <f>IFERROR(IF(D527="","",IF(VLOOKUP(D527,'DESEMPATE Y DISCAPACIDAD'!D$3:$E$450,2,FALSE)=1,"N/A",IF(VLOOKUP(D527,'DESEMPATE Y DISCAPACIDAD'!D$3:$F$450,3,FALSE)="X","SI","NO"))),"")</f>
        <v/>
      </c>
      <c r="F527" s="125"/>
      <c r="G527" s="125"/>
      <c r="H527" s="125"/>
      <c r="I527" s="128"/>
      <c r="J527" s="125"/>
      <c r="K527" s="125"/>
      <c r="L527" s="3"/>
      <c r="M527" s="125"/>
      <c r="N527" s="125" t="str">
        <f t="shared" si="475"/>
        <v/>
      </c>
      <c r="O527" s="125" t="str">
        <f t="shared" ref="O527:O532" si="481">IFERROR(IF(OR(J527="",L527=""),"",IF(J527="NO","NO",L527)),"")</f>
        <v/>
      </c>
      <c r="P527" s="125" t="str">
        <f t="shared" si="476"/>
        <v/>
      </c>
      <c r="Q527" s="125" t="str">
        <f t="shared" si="472"/>
        <v/>
      </c>
      <c r="R527" s="68"/>
      <c r="S527" s="129"/>
      <c r="T527" s="129"/>
      <c r="U527" s="125" t="str">
        <f t="shared" si="477"/>
        <v/>
      </c>
      <c r="V527" s="117" t="str">
        <f>IF(U527=2023,1160000,IFERROR(INDEX(SMMLV!$B$2:$B$101,MATCH(U527,SMMLV!$A$2:$A$101,0)),""))</f>
        <v/>
      </c>
      <c r="W527" s="117"/>
      <c r="X527" s="125"/>
      <c r="Y527" s="125"/>
      <c r="Z527" s="474"/>
      <c r="AA527" s="475"/>
      <c r="AB527" s="476"/>
      <c r="AC527" s="125" t="str">
        <f t="shared" si="478"/>
        <v/>
      </c>
      <c r="AD527" s="117" t="str">
        <f t="shared" si="473"/>
        <v/>
      </c>
      <c r="AE527" s="117" t="str">
        <f t="shared" si="469"/>
        <v/>
      </c>
      <c r="AF527" s="117" t="str">
        <f t="shared" si="461"/>
        <v/>
      </c>
      <c r="AG527" s="470"/>
      <c r="AH527" s="470"/>
      <c r="AI527" s="125" t="str">
        <f t="shared" si="462"/>
        <v/>
      </c>
      <c r="AJ527" s="470"/>
      <c r="AK527" s="470"/>
      <c r="AL527" s="472"/>
      <c r="AM527" s="496"/>
      <c r="AN527" s="125"/>
      <c r="AO527" s="490"/>
      <c r="AP527" s="125"/>
      <c r="AQ527" s="490"/>
      <c r="AR527" s="522"/>
      <c r="AS527" s="519"/>
      <c r="AT527" s="204"/>
      <c r="AU527" s="699"/>
      <c r="AV527" s="702"/>
      <c r="AW527" s="705"/>
      <c r="AX527" s="705"/>
      <c r="AY527" s="19"/>
      <c r="CB527" s="29" t="str">
        <f>IFERROR(IF(COUNTIF(AF523:AF532,"")=10,"",IF(COUNTIF(E523:E532,"N/A")&gt;0,IF(AF527&gt;=CMEMM1,AF527,0),"N/A")),"")</f>
        <v/>
      </c>
      <c r="CC527" s="4"/>
      <c r="CD527" s="4" t="str">
        <f>IFERROR(IF(COUNTIF(AF523:AF532,"")=10,"",IF(AF527="","",IF(AF527&gt;=CMEMM1,1,0))),"")</f>
        <v/>
      </c>
      <c r="CE527" s="4" t="str">
        <f>B523&amp;"-0"&amp;5</f>
        <v>P53-05</v>
      </c>
      <c r="CF527" s="4">
        <f>IFERROR(INDEX('DESEMPATE Y DISCAPACIDAD'!$D$3:$D$450,MATCH(CE527,'DESEMPATE Y DISCAPACIDAD'!$C$3:$C$450,0)),"")</f>
        <v>0</v>
      </c>
      <c r="CG527" s="4">
        <f>IF(OR(CE527="",CF527=""),"",SUMIF(D523:D532,CF527,CD523:CD532))</f>
        <v>0</v>
      </c>
      <c r="CH527" s="4" t="str">
        <f t="shared" si="435"/>
        <v>NO CUMPLE</v>
      </c>
      <c r="CI527" s="4">
        <f t="shared" si="479"/>
        <v>0</v>
      </c>
      <c r="CJ527" s="4"/>
      <c r="CK527" s="4"/>
      <c r="CL527" s="4" t="str">
        <f t="shared" si="470"/>
        <v/>
      </c>
      <c r="CM527" s="4" t="str">
        <f t="shared" si="471"/>
        <v/>
      </c>
      <c r="CN527" s="4" t="str">
        <f t="shared" si="480"/>
        <v/>
      </c>
      <c r="CO527" s="4"/>
      <c r="CP527" s="4"/>
      <c r="CQ527" s="29" t="str">
        <f t="shared" si="459"/>
        <v/>
      </c>
      <c r="CR527" s="29" t="str">
        <f t="shared" si="460"/>
        <v/>
      </c>
      <c r="CS527" s="4"/>
    </row>
    <row r="528" spans="1:97" ht="34.25" hidden="1" customHeight="1">
      <c r="B528" s="481"/>
      <c r="C528" s="118"/>
      <c r="D528" s="126" t="str">
        <f>+IFERROR(INDEX('DESEMPATE Y DISCAPACIDAD'!$D$3:$D$450,MATCH(C528,'DESEMPATE Y DISCAPACIDAD'!$C$3:$C$450,0)),"")</f>
        <v/>
      </c>
      <c r="E528" s="127" t="str">
        <f>IFERROR(IF(D528="","",IF(VLOOKUP(D528,'DESEMPATE Y DISCAPACIDAD'!D$3:$E$450,2,FALSE)=1,"N/A",IF(VLOOKUP(D528,'DESEMPATE Y DISCAPACIDAD'!D$3:$F$450,3,FALSE)="X","SI","NO"))),"")</f>
        <v/>
      </c>
      <c r="F528" s="125"/>
      <c r="G528" s="125"/>
      <c r="H528" s="125"/>
      <c r="I528" s="128"/>
      <c r="J528" s="125"/>
      <c r="K528" s="125"/>
      <c r="L528" s="3"/>
      <c r="M528" s="125"/>
      <c r="N528" s="125" t="str">
        <f t="shared" si="475"/>
        <v/>
      </c>
      <c r="O528" s="125" t="str">
        <f t="shared" si="481"/>
        <v/>
      </c>
      <c r="P528" s="125" t="str">
        <f t="shared" si="476"/>
        <v/>
      </c>
      <c r="Q528" s="125" t="str">
        <f t="shared" si="472"/>
        <v/>
      </c>
      <c r="R528" s="68"/>
      <c r="S528" s="129"/>
      <c r="T528" s="129"/>
      <c r="U528" s="125" t="str">
        <f t="shared" si="477"/>
        <v/>
      </c>
      <c r="V528" s="117" t="str">
        <f>IF(U528=2023,1160000,IFERROR(INDEX(SMMLV!$B$2:$B$101,MATCH(U528,SMMLV!$A$2:$A$101,0)),""))</f>
        <v/>
      </c>
      <c r="W528" s="117"/>
      <c r="X528" s="125"/>
      <c r="Y528" s="125"/>
      <c r="Z528" s="474"/>
      <c r="AA528" s="475"/>
      <c r="AB528" s="476"/>
      <c r="AC528" s="125" t="str">
        <f t="shared" si="478"/>
        <v/>
      </c>
      <c r="AD528" s="117" t="str">
        <f t="shared" si="473"/>
        <v/>
      </c>
      <c r="AE528" s="117" t="str">
        <f t="shared" si="469"/>
        <v/>
      </c>
      <c r="AF528" s="117" t="str">
        <f t="shared" si="461"/>
        <v/>
      </c>
      <c r="AG528" s="470"/>
      <c r="AH528" s="470"/>
      <c r="AI528" s="125" t="str">
        <f t="shared" si="462"/>
        <v/>
      </c>
      <c r="AJ528" s="470"/>
      <c r="AK528" s="470"/>
      <c r="AL528" s="472"/>
      <c r="AM528" s="496"/>
      <c r="AN528" s="125"/>
      <c r="AO528" s="490"/>
      <c r="AP528" s="125"/>
      <c r="AQ528" s="490"/>
      <c r="AR528" s="522"/>
      <c r="AS528" s="519"/>
      <c r="AT528" s="204"/>
      <c r="AU528" s="699"/>
      <c r="AV528" s="702"/>
      <c r="AW528" s="705"/>
      <c r="AX528" s="705"/>
      <c r="AY528" s="19"/>
      <c r="CB528" s="29" t="str">
        <f>IFERROR(IF(COUNTIF(AF523:AF532,"")=10,"",IF(COUNTIF(E523:E532,"N/A")&gt;0,IF(AF528&gt;=CMEMM1,AF528,0),"N/A")),"")</f>
        <v/>
      </c>
      <c r="CC528" s="4"/>
      <c r="CD528" s="4" t="str">
        <f>IFERROR(IF(COUNTIF(AF523:AF532,"")=10,"",IF(AF528="","",IF(AF528&gt;=CMEMM1,1,0))),"")</f>
        <v/>
      </c>
      <c r="CE528" s="4" t="str">
        <f>B523&amp;"-0"&amp;6</f>
        <v>P53-06</v>
      </c>
      <c r="CF528" s="4">
        <f>IFERROR(INDEX('DESEMPATE Y DISCAPACIDAD'!$D$3:$D$450,MATCH(CE528,'DESEMPATE Y DISCAPACIDAD'!$C$3:$C$450,0)),"")</f>
        <v>0</v>
      </c>
      <c r="CG528" s="4">
        <f>IF(OR(CE528="",CF528=""),"",SUMIF(D523:D532,CF528,CD523:CD532))</f>
        <v>0</v>
      </c>
      <c r="CH528" s="4" t="str">
        <f t="shared" si="435"/>
        <v>NO CUMPLE</v>
      </c>
      <c r="CI528" s="4">
        <f t="shared" si="479"/>
        <v>0</v>
      </c>
      <c r="CJ528" s="4"/>
      <c r="CK528" s="4"/>
      <c r="CL528" s="4" t="str">
        <f t="shared" si="470"/>
        <v/>
      </c>
      <c r="CM528" s="4" t="str">
        <f t="shared" si="471"/>
        <v/>
      </c>
      <c r="CN528" s="4" t="str">
        <f t="shared" si="480"/>
        <v/>
      </c>
      <c r="CO528" s="4"/>
      <c r="CP528" s="4"/>
      <c r="CQ528" s="29" t="str">
        <f t="shared" si="459"/>
        <v/>
      </c>
      <c r="CR528" s="29" t="str">
        <f t="shared" si="460"/>
        <v/>
      </c>
      <c r="CS528" s="4"/>
    </row>
    <row r="529" spans="1:97" ht="34.25" hidden="1" customHeight="1">
      <c r="B529" s="481"/>
      <c r="C529" s="118"/>
      <c r="D529" s="126" t="str">
        <f>+IFERROR(INDEX('DESEMPATE Y DISCAPACIDAD'!$D$3:$D$450,MATCH(C529,'DESEMPATE Y DISCAPACIDAD'!$C$3:$C$450,0)),"")</f>
        <v/>
      </c>
      <c r="E529" s="127" t="str">
        <f>IFERROR(IF(D529="","",IF(VLOOKUP(D529,'DESEMPATE Y DISCAPACIDAD'!D$3:$E$450,2,FALSE)=1,"N/A",IF(VLOOKUP(D529,'DESEMPATE Y DISCAPACIDAD'!D$3:$F$450,3,FALSE)="X","SI","NO"))),"")</f>
        <v/>
      </c>
      <c r="F529" s="125"/>
      <c r="G529" s="125"/>
      <c r="H529" s="125"/>
      <c r="I529" s="128"/>
      <c r="J529" s="125"/>
      <c r="K529" s="125"/>
      <c r="L529" s="3"/>
      <c r="M529" s="125"/>
      <c r="N529" s="125" t="str">
        <f t="shared" si="475"/>
        <v/>
      </c>
      <c r="O529" s="125" t="str">
        <f t="shared" si="481"/>
        <v/>
      </c>
      <c r="P529" s="125" t="str">
        <f t="shared" si="476"/>
        <v/>
      </c>
      <c r="Q529" s="125" t="str">
        <f t="shared" si="472"/>
        <v/>
      </c>
      <c r="R529" s="68"/>
      <c r="S529" s="129"/>
      <c r="T529" s="129"/>
      <c r="U529" s="125" t="str">
        <f t="shared" si="477"/>
        <v/>
      </c>
      <c r="V529" s="117" t="str">
        <f>IF(U529=2023,1160000,IFERROR(INDEX(SMMLV!$B$2:$B$101,MATCH(U529,SMMLV!$A$2:$A$101,0)),""))</f>
        <v/>
      </c>
      <c r="W529" s="117"/>
      <c r="X529" s="125"/>
      <c r="Y529" s="125"/>
      <c r="Z529" s="474"/>
      <c r="AA529" s="475"/>
      <c r="AB529" s="476"/>
      <c r="AC529" s="125" t="str">
        <f t="shared" si="478"/>
        <v/>
      </c>
      <c r="AD529" s="117" t="str">
        <f t="shared" si="473"/>
        <v/>
      </c>
      <c r="AE529" s="117" t="str">
        <f t="shared" si="469"/>
        <v/>
      </c>
      <c r="AF529" s="117" t="str">
        <f t="shared" si="461"/>
        <v/>
      </c>
      <c r="AG529" s="470"/>
      <c r="AH529" s="470"/>
      <c r="AI529" s="125" t="str">
        <f t="shared" si="462"/>
        <v/>
      </c>
      <c r="AJ529" s="470"/>
      <c r="AK529" s="470"/>
      <c r="AL529" s="472"/>
      <c r="AM529" s="496"/>
      <c r="AN529" s="125"/>
      <c r="AO529" s="490"/>
      <c r="AP529" s="125"/>
      <c r="AQ529" s="490"/>
      <c r="AR529" s="522"/>
      <c r="AS529" s="519"/>
      <c r="AT529" s="204"/>
      <c r="AU529" s="699"/>
      <c r="AV529" s="702"/>
      <c r="AW529" s="705"/>
      <c r="AX529" s="705"/>
      <c r="AY529" s="19"/>
      <c r="CB529" s="29" t="str">
        <f>IFERROR(IF(COUNTIF(AF523:AF532,"")=10,"",IF(COUNTIF(E523:E532,"N/A")&gt;0,IF(AF529&gt;=CMEMM1,AF529,0),"N/A")),"")</f>
        <v/>
      </c>
      <c r="CC529" s="4"/>
      <c r="CD529" s="4" t="str">
        <f>IFERROR(IF(COUNTIF(AF523:AF532,"")=10,"",IF(AF529="","",IF(AF529&gt;=CMEMM1,1,0))),"")</f>
        <v/>
      </c>
      <c r="CE529" s="4" t="str">
        <f>B523&amp;"-0"&amp;7</f>
        <v>P53-07</v>
      </c>
      <c r="CF529" s="4" t="str">
        <f>IFERROR(INDEX('DESEMPATE Y DISCAPACIDAD'!$D$3:$D$450,MATCH(CE529,'DESEMPATE Y DISCAPACIDAD'!$C$3:$C$450,0)),"")</f>
        <v/>
      </c>
      <c r="CG529" s="4" t="str">
        <f>IF(OR(CE529="",CF529=""),"",SUMIF(D523:D532,CF529,CD523:CD532))</f>
        <v/>
      </c>
      <c r="CH529" s="4" t="str">
        <f t="shared" si="435"/>
        <v/>
      </c>
      <c r="CI529" s="4" t="str">
        <f t="shared" si="479"/>
        <v/>
      </c>
      <c r="CJ529" s="4"/>
      <c r="CK529" s="4"/>
      <c r="CL529" s="4" t="str">
        <f t="shared" si="470"/>
        <v/>
      </c>
      <c r="CM529" s="4" t="str">
        <f t="shared" si="471"/>
        <v/>
      </c>
      <c r="CN529" s="4" t="str">
        <f t="shared" si="480"/>
        <v/>
      </c>
      <c r="CO529" s="4"/>
      <c r="CP529" s="4"/>
      <c r="CQ529" s="29" t="str">
        <f t="shared" si="459"/>
        <v/>
      </c>
      <c r="CR529" s="29" t="str">
        <f t="shared" si="460"/>
        <v/>
      </c>
      <c r="CS529" s="4"/>
    </row>
    <row r="530" spans="1:97" ht="34.25" hidden="1" customHeight="1">
      <c r="B530" s="481"/>
      <c r="C530" s="118"/>
      <c r="D530" s="126" t="str">
        <f>+IFERROR(INDEX('DESEMPATE Y DISCAPACIDAD'!$D$3:$D$450,MATCH(C530,'DESEMPATE Y DISCAPACIDAD'!$C$3:$C$450,0)),"")</f>
        <v/>
      </c>
      <c r="E530" s="127" t="str">
        <f>IFERROR(IF(D530="","",IF(VLOOKUP(D530,'DESEMPATE Y DISCAPACIDAD'!D$3:$E$450,2,FALSE)=1,"N/A",IF(VLOOKUP(D530,'DESEMPATE Y DISCAPACIDAD'!D$3:$F$450,3,FALSE)="X","SI","NO"))),"")</f>
        <v/>
      </c>
      <c r="F530" s="125"/>
      <c r="G530" s="125"/>
      <c r="H530" s="125"/>
      <c r="I530" s="128"/>
      <c r="J530" s="125"/>
      <c r="K530" s="125"/>
      <c r="L530" s="3"/>
      <c r="M530" s="125"/>
      <c r="N530" s="125" t="str">
        <f t="shared" si="475"/>
        <v/>
      </c>
      <c r="O530" s="125" t="str">
        <f t="shared" si="481"/>
        <v/>
      </c>
      <c r="P530" s="125" t="str">
        <f t="shared" si="476"/>
        <v/>
      </c>
      <c r="Q530" s="125" t="str">
        <f t="shared" si="472"/>
        <v/>
      </c>
      <c r="R530" s="68"/>
      <c r="S530" s="129"/>
      <c r="T530" s="129"/>
      <c r="U530" s="125" t="str">
        <f t="shared" si="477"/>
        <v/>
      </c>
      <c r="V530" s="117" t="str">
        <f>IF(U530=2023,1160000,IFERROR(INDEX(SMMLV!$B$2:$B$101,MATCH(U530,SMMLV!$A$2:$A$101,0)),""))</f>
        <v/>
      </c>
      <c r="W530" s="117"/>
      <c r="X530" s="125"/>
      <c r="Y530" s="125"/>
      <c r="Z530" s="474"/>
      <c r="AA530" s="475"/>
      <c r="AB530" s="476"/>
      <c r="AC530" s="125" t="str">
        <f t="shared" si="478"/>
        <v/>
      </c>
      <c r="AD530" s="117" t="str">
        <f t="shared" si="473"/>
        <v/>
      </c>
      <c r="AE530" s="117" t="str">
        <f t="shared" si="469"/>
        <v/>
      </c>
      <c r="AF530" s="117" t="str">
        <f t="shared" si="461"/>
        <v/>
      </c>
      <c r="AG530" s="470"/>
      <c r="AH530" s="470"/>
      <c r="AI530" s="125" t="str">
        <f t="shared" si="462"/>
        <v/>
      </c>
      <c r="AJ530" s="470"/>
      <c r="AK530" s="470"/>
      <c r="AL530" s="472"/>
      <c r="AM530" s="496"/>
      <c r="AN530" s="125"/>
      <c r="AO530" s="490"/>
      <c r="AP530" s="125"/>
      <c r="AQ530" s="490"/>
      <c r="AR530" s="522"/>
      <c r="AS530" s="519"/>
      <c r="AT530" s="204"/>
      <c r="AU530" s="699"/>
      <c r="AV530" s="702"/>
      <c r="AW530" s="705"/>
      <c r="AX530" s="705"/>
      <c r="AY530" s="19"/>
      <c r="CB530" s="29" t="str">
        <f>IFERROR(IF(COUNTIF(AF523:AF532,"")=10,"",IF(COUNTIF(E523:E532,"N/A")&gt;0,IF(AF530&gt;=CMEMM1,AF530,0),"N/A")),"")</f>
        <v/>
      </c>
      <c r="CC530" s="4"/>
      <c r="CD530" s="4" t="str">
        <f>IFERROR(IF(COUNTIF(AF523:AF532,"")=10,"",IF(AF530="","",IF(AF530&gt;=CMEMM1,1,0))),"")</f>
        <v/>
      </c>
      <c r="CE530" s="4" t="str">
        <f>B523&amp;"-0"&amp;8</f>
        <v>P53-08</v>
      </c>
      <c r="CF530" s="4" t="str">
        <f>IFERROR(INDEX('DESEMPATE Y DISCAPACIDAD'!$D$3:$D$450,MATCH(CE530,'DESEMPATE Y DISCAPACIDAD'!$C$3:$C$450,0)),"")</f>
        <v/>
      </c>
      <c r="CG530" s="4" t="str">
        <f>IF(OR(CE530="",CF530=""),"",SUMIF(D523:D532,CF530,CD523:CD532))</f>
        <v/>
      </c>
      <c r="CH530" s="4" t="str">
        <f t="shared" si="435"/>
        <v/>
      </c>
      <c r="CI530" s="4" t="str">
        <f t="shared" si="479"/>
        <v/>
      </c>
      <c r="CJ530" s="4"/>
      <c r="CK530" s="4"/>
      <c r="CL530" s="4" t="str">
        <f t="shared" si="470"/>
        <v/>
      </c>
      <c r="CM530" s="4" t="str">
        <f t="shared" si="471"/>
        <v/>
      </c>
      <c r="CN530" s="4" t="str">
        <f t="shared" si="480"/>
        <v/>
      </c>
      <c r="CO530" s="4"/>
      <c r="CP530" s="4"/>
      <c r="CQ530" s="29" t="str">
        <f t="shared" si="459"/>
        <v/>
      </c>
      <c r="CR530" s="29" t="str">
        <f t="shared" si="460"/>
        <v/>
      </c>
      <c r="CS530" s="4"/>
    </row>
    <row r="531" spans="1:97" ht="34.25" hidden="1" customHeight="1">
      <c r="B531" s="481"/>
      <c r="C531" s="118"/>
      <c r="D531" s="126" t="str">
        <f>+IFERROR(INDEX('DESEMPATE Y DISCAPACIDAD'!$D$3:$D$450,MATCH(C531,'DESEMPATE Y DISCAPACIDAD'!$C$3:$C$450,0)),"")</f>
        <v/>
      </c>
      <c r="E531" s="127" t="str">
        <f>IFERROR(IF(D531="","",IF(VLOOKUP(D531,'DESEMPATE Y DISCAPACIDAD'!D$3:$E$450,2,FALSE)=1,"N/A",IF(VLOOKUP(D531,'DESEMPATE Y DISCAPACIDAD'!D$3:$F$450,3,FALSE)="X","SI","NO"))),"")</f>
        <v/>
      </c>
      <c r="F531" s="125"/>
      <c r="G531" s="125"/>
      <c r="H531" s="125"/>
      <c r="I531" s="128"/>
      <c r="J531" s="125"/>
      <c r="K531" s="125"/>
      <c r="L531" s="3"/>
      <c r="M531" s="125"/>
      <c r="N531" s="125" t="str">
        <f t="shared" si="475"/>
        <v/>
      </c>
      <c r="O531" s="125" t="str">
        <f t="shared" si="481"/>
        <v/>
      </c>
      <c r="P531" s="125" t="str">
        <f t="shared" si="476"/>
        <v/>
      </c>
      <c r="Q531" s="125" t="str">
        <f t="shared" si="472"/>
        <v/>
      </c>
      <c r="R531" s="68"/>
      <c r="S531" s="129"/>
      <c r="T531" s="129"/>
      <c r="U531" s="125" t="str">
        <f t="shared" si="477"/>
        <v/>
      </c>
      <c r="V531" s="117" t="str">
        <f>IF(U531=2023,1160000,IFERROR(INDEX(SMMLV!$B$2:$B$101,MATCH(U531,SMMLV!$A$2:$A$101,0)),""))</f>
        <v/>
      </c>
      <c r="W531" s="117"/>
      <c r="X531" s="125"/>
      <c r="Y531" s="125"/>
      <c r="Z531" s="474"/>
      <c r="AA531" s="475"/>
      <c r="AB531" s="476"/>
      <c r="AC531" s="125" t="str">
        <f t="shared" si="478"/>
        <v/>
      </c>
      <c r="AD531" s="117" t="str">
        <f t="shared" si="473"/>
        <v/>
      </c>
      <c r="AE531" s="117" t="str">
        <f t="shared" si="469"/>
        <v/>
      </c>
      <c r="AF531" s="117" t="str">
        <f t="shared" si="461"/>
        <v/>
      </c>
      <c r="AG531" s="470"/>
      <c r="AH531" s="470"/>
      <c r="AI531" s="125" t="str">
        <f t="shared" si="462"/>
        <v/>
      </c>
      <c r="AJ531" s="470"/>
      <c r="AK531" s="470"/>
      <c r="AL531" s="472"/>
      <c r="AM531" s="496"/>
      <c r="AN531" s="125"/>
      <c r="AO531" s="490"/>
      <c r="AP531" s="125"/>
      <c r="AQ531" s="490"/>
      <c r="AR531" s="522"/>
      <c r="AS531" s="519"/>
      <c r="AT531" s="204"/>
      <c r="AU531" s="699"/>
      <c r="AV531" s="702"/>
      <c r="AW531" s="705"/>
      <c r="AX531" s="705"/>
      <c r="AY531" s="19"/>
      <c r="CB531" s="29" t="str">
        <f>IFERROR(IF(COUNTIF(AF523:AF532,"")=10,"",IF(COUNTIF(E523:E532,"N/A")&gt;0,IF(AF531&gt;=CMEMM1,AF531,0),"N/A")),"")</f>
        <v/>
      </c>
      <c r="CC531" s="4"/>
      <c r="CD531" s="4" t="str">
        <f>IFERROR(IF(COUNTIF(AF523:AF532,"")=10,"",IF(AF531="","",IF(AF531&gt;=CMEMM1,1,0))),"")</f>
        <v/>
      </c>
      <c r="CE531" s="4" t="str">
        <f>B523&amp;"-0"&amp;9</f>
        <v>P53-09</v>
      </c>
      <c r="CF531" s="4" t="str">
        <f>IFERROR(INDEX('DESEMPATE Y DISCAPACIDAD'!$D$3:$D$450,MATCH(CE531,'DESEMPATE Y DISCAPACIDAD'!$C$3:$C$450,0)),"")</f>
        <v/>
      </c>
      <c r="CG531" s="4" t="str">
        <f>IF(OR(CE531="",CF531=""),"",SUMIF(D523:D532,CF531,CD523:CD532))</f>
        <v/>
      </c>
      <c r="CH531" s="4" t="str">
        <f t="shared" si="435"/>
        <v/>
      </c>
      <c r="CI531" s="4" t="str">
        <f t="shared" si="479"/>
        <v/>
      </c>
      <c r="CJ531" s="4"/>
      <c r="CK531" s="4"/>
      <c r="CL531" s="4" t="str">
        <f t="shared" si="470"/>
        <v/>
      </c>
      <c r="CM531" s="4" t="str">
        <f t="shared" si="471"/>
        <v/>
      </c>
      <c r="CN531" s="4" t="str">
        <f t="shared" si="480"/>
        <v/>
      </c>
      <c r="CO531" s="4"/>
      <c r="CP531" s="4"/>
      <c r="CQ531" s="29" t="str">
        <f t="shared" si="459"/>
        <v/>
      </c>
      <c r="CR531" s="29" t="str">
        <f t="shared" si="460"/>
        <v/>
      </c>
      <c r="CS531" s="4"/>
    </row>
    <row r="532" spans="1:97" ht="34.25" hidden="1" customHeight="1" thickBot="1">
      <c r="B532" s="482"/>
      <c r="C532" s="130"/>
      <c r="D532" s="131" t="str">
        <f>+IFERROR(INDEX('DESEMPATE Y DISCAPACIDAD'!$D$3:$D$450,MATCH(C532,'DESEMPATE Y DISCAPACIDAD'!$C$3:$C$450,0)),"")</f>
        <v/>
      </c>
      <c r="E532" s="132" t="str">
        <f>IFERROR(IF(D532="","",IF(VLOOKUP(D532,'DESEMPATE Y DISCAPACIDAD'!D$3:$E$450,2,FALSE)=1,"N/A",IF(VLOOKUP(D532,'DESEMPATE Y DISCAPACIDAD'!D$3:$F$450,3,FALSE)="X","SI","NO"))),"")</f>
        <v/>
      </c>
      <c r="F532" s="133"/>
      <c r="G532" s="133"/>
      <c r="H532" s="133"/>
      <c r="I532" s="134"/>
      <c r="J532" s="133"/>
      <c r="K532" s="133"/>
      <c r="L532" s="5"/>
      <c r="M532" s="133"/>
      <c r="N532" s="133" t="str">
        <f t="shared" si="475"/>
        <v/>
      </c>
      <c r="O532" s="133" t="str">
        <f t="shared" si="481"/>
        <v/>
      </c>
      <c r="P532" s="133" t="str">
        <f t="shared" si="476"/>
        <v/>
      </c>
      <c r="Q532" s="133" t="str">
        <f t="shared" si="472"/>
        <v/>
      </c>
      <c r="R532" s="104"/>
      <c r="S532" s="135"/>
      <c r="T532" s="135"/>
      <c r="U532" s="133" t="str">
        <f t="shared" si="477"/>
        <v/>
      </c>
      <c r="V532" s="136" t="str">
        <f>IF(U532=2023,1160000,IFERROR(INDEX(SMMLV!$B$2:$B$101,MATCH(U532,SMMLV!$A$2:$A$101,0)),""))</f>
        <v/>
      </c>
      <c r="W532" s="136"/>
      <c r="X532" s="133"/>
      <c r="Y532" s="133"/>
      <c r="Z532" s="487"/>
      <c r="AA532" s="488"/>
      <c r="AB532" s="489"/>
      <c r="AC532" s="133" t="str">
        <f t="shared" si="478"/>
        <v/>
      </c>
      <c r="AD532" s="136" t="str">
        <f t="shared" si="473"/>
        <v/>
      </c>
      <c r="AE532" s="117" t="str">
        <f t="shared" si="469"/>
        <v/>
      </c>
      <c r="AF532" s="136" t="str">
        <f t="shared" si="461"/>
        <v/>
      </c>
      <c r="AG532" s="471"/>
      <c r="AH532" s="471"/>
      <c r="AI532" s="133" t="str">
        <f t="shared" si="462"/>
        <v/>
      </c>
      <c r="AJ532" s="471"/>
      <c r="AK532" s="471"/>
      <c r="AL532" s="473"/>
      <c r="AM532" s="497"/>
      <c r="AN532" s="133"/>
      <c r="AO532" s="491"/>
      <c r="AP532" s="133"/>
      <c r="AQ532" s="491"/>
      <c r="AR532" s="523"/>
      <c r="AS532" s="520"/>
      <c r="AT532" s="206"/>
      <c r="AU532" s="700"/>
      <c r="AV532" s="703"/>
      <c r="AW532" s="706"/>
      <c r="AX532" s="706"/>
      <c r="AY532" s="19"/>
      <c r="CB532" s="29" t="str">
        <f>IFERROR(IF(COUNTIF(AF523:AF532,"")=10,"",IF(COUNTIF(E523:E532,"N/A")&gt;0,IF(AF532&gt;=CMEMM1,AF532,0),"N/A")),"")</f>
        <v/>
      </c>
      <c r="CC532" s="4"/>
      <c r="CD532" s="4" t="str">
        <f>IFERROR(IF(COUNTIF(AF523:AF532,"")=10,"",IF(AF532="","",IF(AF532&gt;=CMEMM1,1,0))),"")</f>
        <v/>
      </c>
      <c r="CE532" s="4" t="str">
        <f>B523&amp;"-"&amp;10</f>
        <v>P53-10</v>
      </c>
      <c r="CF532" s="4" t="str">
        <f>IFERROR(INDEX('DESEMPATE Y DISCAPACIDAD'!$D$3:$D$450,MATCH(CE532,'DESEMPATE Y DISCAPACIDAD'!$C$3:$C$450,0)),"")</f>
        <v/>
      </c>
      <c r="CG532" s="4" t="str">
        <f>IF(OR(CE532="",CF532=""),"",SUMIF(D523:D532,CF532,CD523:CD532))</f>
        <v/>
      </c>
      <c r="CH532" s="4" t="str">
        <f t="shared" si="435"/>
        <v/>
      </c>
      <c r="CI532" s="4" t="str">
        <f t="shared" si="479"/>
        <v/>
      </c>
      <c r="CJ532" s="4"/>
      <c r="CK532" s="4"/>
      <c r="CL532" s="4" t="str">
        <f t="shared" si="470"/>
        <v/>
      </c>
      <c r="CM532" s="4" t="str">
        <f t="shared" si="471"/>
        <v/>
      </c>
      <c r="CN532" s="4" t="str">
        <f t="shared" si="480"/>
        <v/>
      </c>
      <c r="CO532" s="4"/>
      <c r="CP532" s="4"/>
      <c r="CQ532" s="29" t="str">
        <f t="shared" si="459"/>
        <v/>
      </c>
      <c r="CR532" s="29" t="str">
        <f t="shared" si="460"/>
        <v/>
      </c>
      <c r="CS532" s="4"/>
    </row>
    <row r="533" spans="1:97" ht="34.25" hidden="1" customHeight="1">
      <c r="A533" s="4" t="str">
        <f>"A"&amp;B533</f>
        <v>AP54</v>
      </c>
      <c r="B533" s="480" t="s">
        <v>315</v>
      </c>
      <c r="C533" s="108"/>
      <c r="D533" s="119" t="str">
        <f>+IFERROR(INDEX('DESEMPATE Y DISCAPACIDAD'!$D$3:$D$450,MATCH(C533,'DESEMPATE Y DISCAPACIDAD'!$C$3:$C$450,0)),"")</f>
        <v/>
      </c>
      <c r="E533" s="120" t="str">
        <f>IFERROR(IF(D533="","",IF(VLOOKUP(D533,'DESEMPATE Y DISCAPACIDAD'!D$3:$E$450,2,FALSE)=1,"N/A",IF(VLOOKUP(D533,'DESEMPATE Y DISCAPACIDAD'!D$3:$F$450,3,FALSE)="X","SI","NO"))),"")</f>
        <v/>
      </c>
      <c r="F533" s="125"/>
      <c r="G533" s="125"/>
      <c r="H533" s="121"/>
      <c r="I533" s="122"/>
      <c r="J533" s="121"/>
      <c r="K533" s="121"/>
      <c r="L533" s="179"/>
      <c r="M533" s="121"/>
      <c r="N533" s="121" t="str">
        <f>IFERROR(IF(OR(J533="",K533=""),"",IF(J533="NO","NO",K533)),"")</f>
        <v/>
      </c>
      <c r="O533" s="121" t="str">
        <f>IFERROR(IF(OR(J533="",L533=""),"",IF(J533="NO","NO",L533)),"")</f>
        <v/>
      </c>
      <c r="P533" s="121" t="str">
        <f>IFERROR(IF(OR(J533="",M533=""),"",IF(J533="NO","NO",M533)),"")</f>
        <v/>
      </c>
      <c r="Q533" s="121" t="str">
        <f t="shared" si="472"/>
        <v/>
      </c>
      <c r="R533" s="103"/>
      <c r="S533" s="123"/>
      <c r="T533" s="123"/>
      <c r="U533" s="121" t="str">
        <f>IFERROR(IF(T533="","",YEAR(T533)),"")</f>
        <v/>
      </c>
      <c r="V533" s="124" t="str">
        <f>IF(U533=2023,1160000,IFERROR(INDEX(SMMLV!$B$2:$B$101,MATCH(U533,SMMLV!$A$2:$A$101,0)),""))</f>
        <v/>
      </c>
      <c r="W533" s="124"/>
      <c r="X533" s="121"/>
      <c r="Y533" s="121"/>
      <c r="Z533" s="483"/>
      <c r="AA533" s="484"/>
      <c r="AB533" s="485"/>
      <c r="AC533" s="121" t="str">
        <f>IFERROR(IF(Y533="","",IF(ISNUMBER(Y533),IF(COUNTIF(Z533,"SI")&gt;0,"SI","NO"),Y533)),"")</f>
        <v/>
      </c>
      <c r="AD533" s="124" t="str">
        <f t="shared" si="473"/>
        <v/>
      </c>
      <c r="AE533" s="117" t="str">
        <f t="shared" si="469"/>
        <v/>
      </c>
      <c r="AF533" s="124" t="str">
        <f t="shared" si="461"/>
        <v/>
      </c>
      <c r="AG533" s="486" t="str">
        <f>IFERROR(IF(COUNTIF(AF533:AF542,"")=10,"",IF(COUNTIF(E533:E542,"N/A")&gt;0,IF(SUM(CB533:CB542)&gt;=CMEM1,"CUMPLE","NO CUMPLE"),IF(SUM(AF533:AF542)&gt;=CMEM1,"CUMPLE","NO CUMPLE"))),"")</f>
        <v/>
      </c>
      <c r="AH533" s="486" t="str">
        <f>IF(COUNTIF(AF533:AF542,"")=10,"",IF(SUMIF(C533:C542,C533,AF533:AF542)&gt;=CMLM1,"CUMPLE",IF(SUMIF(C533:C542,C534,AF533:AF542)&gt;=CMLM1,"CUMPLE",IF(SUMIF(C533:C542,C535,AF533:AF542)&gt;=CMLM1,"CUMPLE",IF(SUMIF(C533:C542,C536,AF533:AF542)&gt;=CMLM1,"CUMPLE",IF(SUMIF(C533:C542,C537,AF533:AF542)&gt;=CMLM1,"CUMPLE",IF(SUMIF(C533:C542,C538,AF533:AF542)&gt;=CMLM1,"CUMPLE",IF(SUMIF(C533:C542,C539,AF533:AF542)&gt;=CMLM1,"CUMPLE",IF(SUMIF(C533:C542,C540,AF533:AF542)&gt;=CMLM1,"CUMPLE",IF(SUMIF(C533:C542,C541,AF533:AF542)&gt;=CMLM1,"CUMPLE",IF(SUMIF(C533:C542,C542,AF533:AF542)&gt;=CMLM1,"CUMPLE","NO CUMPLE")))))))))))</f>
        <v/>
      </c>
      <c r="AI533" s="121" t="str">
        <f t="shared" si="462"/>
        <v/>
      </c>
      <c r="AJ533" s="469" t="str">
        <f>IFERROR(IF(COUNTIF(AF533:AF542,"")=10,"",IF(COUNTIF(E533:E542,"N/A")&gt;0,"N/A",CJ533)),"")</f>
        <v/>
      </c>
      <c r="AK533" s="469" t="str">
        <f>IFERROR(IF(AND(COUNTIF(N533:N542,"SI")&gt;=1,COUNTIF(O533:O542,"SI")&gt;=1,COUNTIF(P533:P542,"SI")&gt;=1,COUNTIF(J533:J542,"SI")&lt;=10,CO533="CUMPLE"),"CUMPLE","NO CUMPLE"),"")</f>
        <v>NO CUMPLE</v>
      </c>
      <c r="AL533" s="472"/>
      <c r="AM533" s="495">
        <f>IFERROR(IF(B533&lt;&gt;"",IF(VLOOKUP(B533,'DESEMPATE Y DISCAPACIDAD'!$A$3:$Q$450,10,FALSE)="","",VLOOKUP(B533,'DESEMPATE Y DISCAPACIDAD'!$A$3:$Q$450,10,FALSE)+6),""),"")</f>
        <v>6</v>
      </c>
      <c r="AN533" s="121"/>
      <c r="AO533" s="490"/>
      <c r="AP533" s="121"/>
      <c r="AQ533" s="490" t="str">
        <f>IFERROR(IF(COUNTIF(AP533:AP542,"")=10,"",IF(AO533="NO",0,COUNTIF(AP533:AP542,"SI"))),"")</f>
        <v/>
      </c>
      <c r="AR533" s="521" t="str">
        <f>IFERROR(IF(COUNTIF(AF533:AF542,"")=10,"",IF(AO533="NO",0,IF(COUNTIF(E533:E542,"N/A")&gt;0,SUM(CQ533:CQ542),SUM(CR533:CR542)))),"")</f>
        <v/>
      </c>
      <c r="AS533" s="518" t="str">
        <f>IFERROR(IF(OR(COUNTIF(AF533:AF542,"")=10,AQ533="",AR533=""),"",IF(AO533="NO",0,AR533/AQ533)),"")</f>
        <v/>
      </c>
      <c r="AT533" s="207"/>
      <c r="AU533" s="698"/>
      <c r="AV533" s="701"/>
      <c r="AW533" s="704"/>
      <c r="AX533" s="704"/>
      <c r="AY533" s="19"/>
      <c r="CB533" s="29" t="str">
        <f>IFERROR(IF(COUNTIF(AF533:AF542,"")=10,"",IF(COUNTIF(E533:E542,"N/A")&gt;0,IF(AF533&gt;=CMEMM1,AF533,0),"N/A")),"")</f>
        <v/>
      </c>
      <c r="CC533" s="4"/>
      <c r="CD533" s="4" t="str">
        <f>IFERROR(IF(COUNTIF(AF533:AF542,"")=10,"",IF(AF533="","",IF(AF533&gt;=CMEMM1,1,0))),"")</f>
        <v/>
      </c>
      <c r="CE533" s="4" t="str">
        <f>B533&amp;"-0"&amp;1</f>
        <v>P54-01</v>
      </c>
      <c r="CF533" s="4">
        <f>IFERROR(INDEX('DESEMPATE Y DISCAPACIDAD'!$D$3:$D$450,MATCH(CE533,'DESEMPATE Y DISCAPACIDAD'!$C$3:$C$450,0)),"")</f>
        <v>0</v>
      </c>
      <c r="CG533" s="4">
        <f>IF(OR(CE533="",CF533=""),"",SUMIF(D533:D542,CF533,CD533:CD542))</f>
        <v>0</v>
      </c>
      <c r="CH533" s="4" t="str">
        <f t="shared" si="435"/>
        <v>NO CUMPLE</v>
      </c>
      <c r="CI533" s="4">
        <f>IF(CF533="","",IF(ISTEXT(CF533),1,0))</f>
        <v>0</v>
      </c>
      <c r="CJ533" s="4" t="str">
        <f>IF(OR(CD533="",CE533="",CF533="",CG533="",CH533="",CI533=""),"",IF(COUNTIF(CH533:CH542,"CUMPLE")=COUNTIF(CI533:CI542,1),"CUMPLE","NO CUMPLE"))</f>
        <v/>
      </c>
      <c r="CK533" s="4"/>
      <c r="CL533" s="4" t="str">
        <f t="shared" si="470"/>
        <v/>
      </c>
      <c r="CM533" s="4" t="str">
        <f t="shared" si="471"/>
        <v/>
      </c>
      <c r="CN533" s="4" t="str">
        <f>IF(OR(CL533="",CM533=""),"",IF(AND(CL533=0,CM533=0),"N/A",IF(AND(CL533=1,CM533=0),"COND. A",IF(AND(CL533=0,CM533=1),"COND. B",IF(AND(CL533=1,CM533=1),"COND. A Y B","")))))</f>
        <v/>
      </c>
      <c r="CO533" s="4" t="str">
        <f>IF(COUNTIF(CN533:CN542,"N/A")=10,"NO CUMPLE",IF(COUNTIF(CN533:CN542,"COND. A Y B")&gt;1,"CUMPLE",IF(AND(COUNTIF(CN533:CN542,"COND. A")&gt;0,COUNTIF(CN533:CN542,"COND. B")&gt;0),"CUMPLE",IF(AND(COUNTIF(CN533:CN542,"COND. A Y B")&gt;0,COUNTIF(CN533:CN542,"COND. A")&gt;0),"CUMPLE",IF(AND(COUNTIF(CN533:CN542,"COND. A Y B")&gt;0,COUNTIF(CN533:CN542,"COND. B")&gt;0),"CUMPLE","NO CUMPLE")))))</f>
        <v>NO CUMPLE</v>
      </c>
      <c r="CP533" s="4"/>
      <c r="CQ533" s="29" t="str">
        <f t="shared" si="459"/>
        <v/>
      </c>
      <c r="CR533" s="29" t="str">
        <f t="shared" si="460"/>
        <v/>
      </c>
      <c r="CS533" s="4"/>
    </row>
    <row r="534" spans="1:97" ht="34.25" hidden="1" customHeight="1">
      <c r="B534" s="481"/>
      <c r="C534" s="118"/>
      <c r="D534" s="119" t="str">
        <f>+IFERROR(INDEX('DESEMPATE Y DISCAPACIDAD'!$D$3:$D$450,MATCH(C534,'DESEMPATE Y DISCAPACIDAD'!$C$3:$C$450,0)),"")</f>
        <v/>
      </c>
      <c r="E534" s="120" t="str">
        <f>IFERROR(IF(D534="","",IF(VLOOKUP(D534,'DESEMPATE Y DISCAPACIDAD'!D$3:$E$450,2,FALSE)=1,"N/A",IF(VLOOKUP(D534,'DESEMPATE Y DISCAPACIDAD'!D$3:$F$450,3,FALSE)="X","SI","NO"))),"")</f>
        <v/>
      </c>
      <c r="F534" s="125"/>
      <c r="G534" s="125"/>
      <c r="H534" s="121"/>
      <c r="I534" s="122"/>
      <c r="J534" s="179"/>
      <c r="K534" s="179"/>
      <c r="L534" s="179"/>
      <c r="M534" s="179"/>
      <c r="N534" s="121" t="str">
        <f t="shared" ref="N534:N542" si="482">IFERROR(IF(OR(J534="",K534=""),"",IF(J534="NO","NO",K534)),"")</f>
        <v/>
      </c>
      <c r="O534" s="121" t="str">
        <f>IFERROR(IF(OR(J534="",L534=""),"",IF(J534="NO","NO",L534)),"")</f>
        <v/>
      </c>
      <c r="P534" s="121" t="str">
        <f t="shared" ref="P534:P542" si="483">IFERROR(IF(OR(J534="",M534=""),"",IF(J534="NO","NO",M534)),"")</f>
        <v/>
      </c>
      <c r="Q534" s="121" t="str">
        <f t="shared" si="472"/>
        <v/>
      </c>
      <c r="R534" s="103"/>
      <c r="S534" s="123"/>
      <c r="T534" s="123"/>
      <c r="U534" s="121" t="str">
        <f t="shared" ref="U534:U542" si="484">IFERROR(IF(T534="","",YEAR(T534)),"")</f>
        <v/>
      </c>
      <c r="V534" s="124" t="str">
        <f>IF(U534=2023,1160000,IFERROR(INDEX(SMMLV!$B$2:$B$101,MATCH(U534,SMMLV!$A$2:$A$101,0)),""))</f>
        <v/>
      </c>
      <c r="W534" s="124"/>
      <c r="X534" s="125"/>
      <c r="Y534" s="125"/>
      <c r="Z534" s="474"/>
      <c r="AA534" s="475"/>
      <c r="AB534" s="476"/>
      <c r="AC534" s="125" t="str">
        <f t="shared" ref="AC534:AC542" si="485">IFERROR(IF(Y534="","",IF(ISNUMBER(Y534),IF(COUNTIF(Z534,"SI")&gt;0,"SI","NO"),Y534)),"")</f>
        <v/>
      </c>
      <c r="AD534" s="117" t="str">
        <f t="shared" si="473"/>
        <v/>
      </c>
      <c r="AE534" s="117" t="str">
        <f t="shared" si="469"/>
        <v/>
      </c>
      <c r="AF534" s="117" t="str">
        <f t="shared" si="461"/>
        <v/>
      </c>
      <c r="AG534" s="470"/>
      <c r="AH534" s="470"/>
      <c r="AI534" s="125" t="str">
        <f t="shared" si="462"/>
        <v/>
      </c>
      <c r="AJ534" s="470"/>
      <c r="AK534" s="470"/>
      <c r="AL534" s="472"/>
      <c r="AM534" s="496"/>
      <c r="AN534" s="125"/>
      <c r="AO534" s="490"/>
      <c r="AP534" s="125"/>
      <c r="AQ534" s="490"/>
      <c r="AR534" s="522"/>
      <c r="AS534" s="519"/>
      <c r="AT534" s="204"/>
      <c r="AU534" s="699"/>
      <c r="AV534" s="702"/>
      <c r="AW534" s="705"/>
      <c r="AX534" s="705"/>
      <c r="AY534" s="19"/>
      <c r="CB534" s="29" t="str">
        <f>IFERROR(IF(COUNTIF(AF533:AF542,"")=10,"",IF(COUNTIF(E533:E542,"N/A")&gt;0,IF(AF534&gt;=CMEMM1,AF534,0),"N/A")),"")</f>
        <v/>
      </c>
      <c r="CC534" s="4"/>
      <c r="CD534" s="4" t="str">
        <f>IFERROR(IF(COUNTIF(AF533:AF542,"")=10,"",IF(AF534="","",IF(AF534&gt;=CMEMM1,1,0))),"")</f>
        <v/>
      </c>
      <c r="CE534" s="4" t="str">
        <f>B533&amp;"-0"&amp;2</f>
        <v>P54-02</v>
      </c>
      <c r="CF534" s="4">
        <f>IFERROR(INDEX('DESEMPATE Y DISCAPACIDAD'!$D$3:$D$450,MATCH(CE534,'DESEMPATE Y DISCAPACIDAD'!$C$3:$C$450,0)),"")</f>
        <v>0</v>
      </c>
      <c r="CG534" s="4">
        <f>IF(OR(CE534="",CF534=""),"",SUMIF(D533:D542,CF534,CD533:CD542))</f>
        <v>0</v>
      </c>
      <c r="CH534" s="4" t="str">
        <f t="shared" si="435"/>
        <v>NO CUMPLE</v>
      </c>
      <c r="CI534" s="4">
        <f t="shared" ref="CI534:CI542" si="486">IF(CF534="","",IF(ISTEXT(CF534),1,0))</f>
        <v>0</v>
      </c>
      <c r="CJ534" s="4"/>
      <c r="CK534" s="4"/>
      <c r="CL534" s="4" t="str">
        <f t="shared" si="470"/>
        <v/>
      </c>
      <c r="CM534" s="4" t="str">
        <f t="shared" si="471"/>
        <v/>
      </c>
      <c r="CN534" s="4" t="str">
        <f t="shared" ref="CN534:CN542" si="487">IF(OR(CL534="",CM534=""),"",IF(AND(CL534=0,CM534=0),"N/A",IF(AND(CL534=1,CM534=0),"COND. A",IF(AND(CL534=0,CM534=1),"COND. B",IF(AND(CL534=1,CM534=1),"COND. A Y B","")))))</f>
        <v/>
      </c>
      <c r="CO534" s="4"/>
      <c r="CP534" s="4"/>
      <c r="CQ534" s="29" t="str">
        <f t="shared" si="459"/>
        <v/>
      </c>
      <c r="CR534" s="29" t="str">
        <f t="shared" si="460"/>
        <v/>
      </c>
      <c r="CS534" s="4"/>
    </row>
    <row r="535" spans="1:97" ht="34.25" hidden="1" customHeight="1">
      <c r="B535" s="481"/>
      <c r="C535" s="118"/>
      <c r="D535" s="126" t="str">
        <f>+IFERROR(INDEX('DESEMPATE Y DISCAPACIDAD'!$D$3:$D$450,MATCH(C535,'DESEMPATE Y DISCAPACIDAD'!$C$3:$C$450,0)),"")</f>
        <v/>
      </c>
      <c r="E535" s="127" t="str">
        <f>IFERROR(IF(D535="","",IF(VLOOKUP(D535,'DESEMPATE Y DISCAPACIDAD'!D$3:$E$450,2,FALSE)=1,"N/A",IF(VLOOKUP(D535,'DESEMPATE Y DISCAPACIDAD'!D$3:$F$450,3,FALSE)="X","SI","NO"))),"")</f>
        <v/>
      </c>
      <c r="F535" s="121"/>
      <c r="G535" s="121"/>
      <c r="H535" s="125"/>
      <c r="I535" s="128"/>
      <c r="J535" s="3"/>
      <c r="K535" s="3"/>
      <c r="L535" s="3"/>
      <c r="M535" s="3"/>
      <c r="N535" s="125" t="str">
        <f t="shared" si="482"/>
        <v/>
      </c>
      <c r="O535" s="125" t="str">
        <f>IFERROR(IF(OR(J535="",L535=""),"",IF(J535="NO","NO",L535)),"")</f>
        <v/>
      </c>
      <c r="P535" s="125" t="str">
        <f t="shared" si="483"/>
        <v/>
      </c>
      <c r="Q535" s="125" t="str">
        <f t="shared" si="472"/>
        <v/>
      </c>
      <c r="R535" s="68"/>
      <c r="S535" s="129"/>
      <c r="T535" s="129"/>
      <c r="U535" s="125" t="str">
        <f t="shared" si="484"/>
        <v/>
      </c>
      <c r="V535" s="117" t="str">
        <f>IF(U535=2023,1160000,IFERROR(INDEX(SMMLV!$B$2:$B$101,MATCH(U535,SMMLV!$A$2:$A$101,0)),""))</f>
        <v/>
      </c>
      <c r="W535" s="117"/>
      <c r="X535" s="125"/>
      <c r="Y535" s="125"/>
      <c r="Z535" s="477"/>
      <c r="AA535" s="478"/>
      <c r="AB535" s="479"/>
      <c r="AC535" s="125" t="str">
        <f t="shared" si="485"/>
        <v/>
      </c>
      <c r="AD535" s="117" t="str">
        <f t="shared" si="473"/>
        <v/>
      </c>
      <c r="AE535" s="117" t="str">
        <f t="shared" si="469"/>
        <v/>
      </c>
      <c r="AF535" s="117" t="str">
        <f t="shared" si="461"/>
        <v/>
      </c>
      <c r="AG535" s="470"/>
      <c r="AH535" s="470"/>
      <c r="AI535" s="125" t="str">
        <f t="shared" si="462"/>
        <v/>
      </c>
      <c r="AJ535" s="470"/>
      <c r="AK535" s="470"/>
      <c r="AL535" s="472"/>
      <c r="AM535" s="496"/>
      <c r="AN535" s="125"/>
      <c r="AO535" s="490"/>
      <c r="AP535" s="125"/>
      <c r="AQ535" s="490"/>
      <c r="AR535" s="522"/>
      <c r="AS535" s="519"/>
      <c r="AT535" s="204"/>
      <c r="AU535" s="699"/>
      <c r="AV535" s="702"/>
      <c r="AW535" s="705"/>
      <c r="AX535" s="705"/>
      <c r="AY535" s="19"/>
      <c r="CB535" s="29" t="str">
        <f>IFERROR(IF(COUNTIF(AF533:AF542,"")=10,"",IF(COUNTIF(E533:E542,"N/A")&gt;0,IF(AF535&gt;=CMEMM1,AF535,0),"N/A")),"")</f>
        <v/>
      </c>
      <c r="CC535" s="4"/>
      <c r="CD535" s="4" t="str">
        <f>IFERROR(IF(COUNTIF(AF533:AF542,"")=10,"",IF(AF535="","",IF(AF535&gt;=CMEMM1,1,0))),"")</f>
        <v/>
      </c>
      <c r="CE535" s="4" t="str">
        <f>B533&amp;"-0"&amp;3</f>
        <v>P54-03</v>
      </c>
      <c r="CF535" s="4">
        <f>IFERROR(INDEX('DESEMPATE Y DISCAPACIDAD'!$D$3:$D$450,MATCH(CE535,'DESEMPATE Y DISCAPACIDAD'!$C$3:$C$450,0)),"")</f>
        <v>0</v>
      </c>
      <c r="CG535" s="4">
        <f>IF(OR(CE535="",CF535=""),"",SUMIF(D533:D542,CF535,CD533:CD542))</f>
        <v>0</v>
      </c>
      <c r="CH535" s="4" t="str">
        <f t="shared" si="435"/>
        <v>NO CUMPLE</v>
      </c>
      <c r="CI535" s="4">
        <f t="shared" si="486"/>
        <v>0</v>
      </c>
      <c r="CJ535" s="4"/>
      <c r="CK535" s="4"/>
      <c r="CL535" s="4" t="str">
        <f t="shared" si="470"/>
        <v/>
      </c>
      <c r="CM535" s="4" t="str">
        <f t="shared" si="471"/>
        <v/>
      </c>
      <c r="CN535" s="4" t="str">
        <f t="shared" si="487"/>
        <v/>
      </c>
      <c r="CO535" s="4"/>
      <c r="CP535" s="4"/>
      <c r="CQ535" s="29" t="str">
        <f t="shared" si="459"/>
        <v/>
      </c>
      <c r="CR535" s="29" t="str">
        <f t="shared" si="460"/>
        <v/>
      </c>
      <c r="CS535" s="4"/>
    </row>
    <row r="536" spans="1:97" ht="34.25" hidden="1" customHeight="1">
      <c r="B536" s="481"/>
      <c r="C536" s="118"/>
      <c r="D536" s="126" t="str">
        <f>+IFERROR(INDEX('DESEMPATE Y DISCAPACIDAD'!$D$3:$D$450,MATCH(C536,'DESEMPATE Y DISCAPACIDAD'!$C$3:$C$450,0)),"")</f>
        <v/>
      </c>
      <c r="E536" s="127" t="str">
        <f>IFERROR(IF(D536="","",IF(VLOOKUP(D536,'DESEMPATE Y DISCAPACIDAD'!D$3:$E$450,2,FALSE)=1,"N/A",IF(VLOOKUP(D536,'DESEMPATE Y DISCAPACIDAD'!D$3:$F$450,3,FALSE)="X","SI","NO"))),"")</f>
        <v/>
      </c>
      <c r="F536" s="141"/>
      <c r="G536" s="125"/>
      <c r="H536" s="125"/>
      <c r="I536" s="128"/>
      <c r="J536" s="125"/>
      <c r="K536" s="125"/>
      <c r="L536" s="3"/>
      <c r="M536" s="125"/>
      <c r="N536" s="125" t="str">
        <f t="shared" si="482"/>
        <v/>
      </c>
      <c r="O536" s="125" t="str">
        <f>IFERROR(IF(OR(J536="",L536=""),"",IF(J536="NO","NO",L536)),"")</f>
        <v/>
      </c>
      <c r="P536" s="125" t="str">
        <f t="shared" si="483"/>
        <v/>
      </c>
      <c r="Q536" s="125" t="str">
        <f t="shared" si="472"/>
        <v/>
      </c>
      <c r="R536" s="68"/>
      <c r="S536" s="129"/>
      <c r="T536" s="129"/>
      <c r="U536" s="125" t="str">
        <f t="shared" si="484"/>
        <v/>
      </c>
      <c r="V536" s="117" t="str">
        <f>IF(U536=2023,1160000,IFERROR(INDEX(SMMLV!$B$2:$B$101,MATCH(U536,SMMLV!$A$2:$A$101,0)),""))</f>
        <v/>
      </c>
      <c r="W536" s="117"/>
      <c r="X536" s="125"/>
      <c r="Y536" s="125"/>
      <c r="Z536" s="474"/>
      <c r="AA536" s="475"/>
      <c r="AB536" s="476"/>
      <c r="AC536" s="125" t="str">
        <f t="shared" si="485"/>
        <v/>
      </c>
      <c r="AD536" s="117" t="str">
        <f t="shared" si="473"/>
        <v/>
      </c>
      <c r="AE536" s="117" t="str">
        <f t="shared" si="469"/>
        <v/>
      </c>
      <c r="AF536" s="117" t="str">
        <f t="shared" si="461"/>
        <v/>
      </c>
      <c r="AG536" s="470"/>
      <c r="AH536" s="470"/>
      <c r="AI536" s="125" t="str">
        <f t="shared" si="462"/>
        <v/>
      </c>
      <c r="AJ536" s="470"/>
      <c r="AK536" s="470"/>
      <c r="AL536" s="472"/>
      <c r="AM536" s="496"/>
      <c r="AN536" s="125"/>
      <c r="AO536" s="490"/>
      <c r="AP536" s="125"/>
      <c r="AQ536" s="490"/>
      <c r="AR536" s="522"/>
      <c r="AS536" s="519"/>
      <c r="AT536" s="204"/>
      <c r="AU536" s="699"/>
      <c r="AV536" s="702"/>
      <c r="AW536" s="705"/>
      <c r="AX536" s="705"/>
      <c r="AY536" s="19"/>
      <c r="CB536" s="29" t="str">
        <f>IFERROR(IF(COUNTIF(AF533:AF542,"")=10,"",IF(COUNTIF(E533:E542,"N/A")&gt;0,IF(AF536&gt;=CMEMM1,AF536,0),"N/A")),"")</f>
        <v/>
      </c>
      <c r="CC536" s="4"/>
      <c r="CD536" s="4" t="str">
        <f>IFERROR(IF(COUNTIF(AF533:AF542,"")=10,"",IF(AF536="","",IF(AF536&gt;=CMEMM1,1,0))),"")</f>
        <v/>
      </c>
      <c r="CE536" s="4" t="str">
        <f>B533&amp;"-0"&amp;4</f>
        <v>P54-04</v>
      </c>
      <c r="CF536" s="4">
        <f>IFERROR(INDEX('DESEMPATE Y DISCAPACIDAD'!$D$3:$D$450,MATCH(CE536,'DESEMPATE Y DISCAPACIDAD'!$C$3:$C$450,0)),"")</f>
        <v>0</v>
      </c>
      <c r="CG536" s="4">
        <f>IF(OR(CE536="",CF536=""),"",SUMIF(D533:D542,CF536,CD533:CD542))</f>
        <v>0</v>
      </c>
      <c r="CH536" s="4" t="str">
        <f t="shared" si="435"/>
        <v>NO CUMPLE</v>
      </c>
      <c r="CI536" s="4">
        <f t="shared" si="486"/>
        <v>0</v>
      </c>
      <c r="CJ536" s="4"/>
      <c r="CK536" s="4"/>
      <c r="CL536" s="4" t="str">
        <f t="shared" si="470"/>
        <v/>
      </c>
      <c r="CM536" s="4" t="str">
        <f t="shared" si="471"/>
        <v/>
      </c>
      <c r="CN536" s="4" t="str">
        <f t="shared" si="487"/>
        <v/>
      </c>
      <c r="CO536" s="4"/>
      <c r="CP536" s="4"/>
      <c r="CQ536" s="29" t="str">
        <f t="shared" si="459"/>
        <v/>
      </c>
      <c r="CR536" s="29" t="str">
        <f t="shared" si="460"/>
        <v/>
      </c>
      <c r="CS536" s="4"/>
    </row>
    <row r="537" spans="1:97" ht="34.25" hidden="1" customHeight="1">
      <c r="B537" s="481"/>
      <c r="C537" s="118"/>
      <c r="D537" s="126" t="str">
        <f>+IFERROR(INDEX('DESEMPATE Y DISCAPACIDAD'!$D$3:$D$450,MATCH(C537,'DESEMPATE Y DISCAPACIDAD'!$C$3:$C$450,0)),"")</f>
        <v/>
      </c>
      <c r="E537" s="127" t="str">
        <f>IFERROR(IF(D537="","",IF(VLOOKUP(D537,'DESEMPATE Y DISCAPACIDAD'!D$3:$E$450,2,FALSE)=1,"N/A",IF(VLOOKUP(D537,'DESEMPATE Y DISCAPACIDAD'!D$3:$F$450,3,FALSE)="X","SI","NO"))),"")</f>
        <v/>
      </c>
      <c r="F537" s="125"/>
      <c r="G537" s="125"/>
      <c r="H537" s="125"/>
      <c r="I537" s="128"/>
      <c r="J537" s="125"/>
      <c r="K537" s="125"/>
      <c r="L537" s="3"/>
      <c r="M537" s="125"/>
      <c r="N537" s="125" t="str">
        <f t="shared" si="482"/>
        <v/>
      </c>
      <c r="O537" s="125" t="str">
        <f t="shared" ref="O537:O542" si="488">IFERROR(IF(OR(J537="",L537=""),"",IF(J537="NO","NO",L537)),"")</f>
        <v/>
      </c>
      <c r="P537" s="125" t="str">
        <f t="shared" si="483"/>
        <v/>
      </c>
      <c r="Q537" s="125" t="str">
        <f t="shared" si="472"/>
        <v/>
      </c>
      <c r="R537" s="68"/>
      <c r="S537" s="129"/>
      <c r="T537" s="129"/>
      <c r="U537" s="125" t="str">
        <f t="shared" si="484"/>
        <v/>
      </c>
      <c r="V537" s="117" t="str">
        <f>IF(U537=2023,1160000,IFERROR(INDEX(SMMLV!$B$2:$B$101,MATCH(U537,SMMLV!$A$2:$A$101,0)),""))</f>
        <v/>
      </c>
      <c r="W537" s="117"/>
      <c r="X537" s="125"/>
      <c r="Y537" s="125"/>
      <c r="Z537" s="474"/>
      <c r="AA537" s="475"/>
      <c r="AB537" s="476"/>
      <c r="AC537" s="125" t="str">
        <f t="shared" si="485"/>
        <v/>
      </c>
      <c r="AD537" s="117" t="str">
        <f t="shared" si="473"/>
        <v/>
      </c>
      <c r="AE537" s="117" t="str">
        <f t="shared" si="469"/>
        <v/>
      </c>
      <c r="AF537" s="117" t="str">
        <f t="shared" si="461"/>
        <v/>
      </c>
      <c r="AG537" s="470"/>
      <c r="AH537" s="470"/>
      <c r="AI537" s="125" t="str">
        <f t="shared" si="462"/>
        <v/>
      </c>
      <c r="AJ537" s="470"/>
      <c r="AK537" s="470"/>
      <c r="AL537" s="472"/>
      <c r="AM537" s="496"/>
      <c r="AN537" s="125"/>
      <c r="AO537" s="490"/>
      <c r="AP537" s="125"/>
      <c r="AQ537" s="490"/>
      <c r="AR537" s="522"/>
      <c r="AS537" s="519"/>
      <c r="AT537" s="204"/>
      <c r="AU537" s="699"/>
      <c r="AV537" s="702"/>
      <c r="AW537" s="705"/>
      <c r="AX537" s="705"/>
      <c r="AY537" s="19"/>
      <c r="CB537" s="29" t="str">
        <f>IFERROR(IF(COUNTIF(AF533:AF542,"")=10,"",IF(COUNTIF(E533:E542,"N/A")&gt;0,IF(AF537&gt;=CMEMM1,AF537,0),"N/A")),"")</f>
        <v/>
      </c>
      <c r="CC537" s="4"/>
      <c r="CD537" s="4" t="str">
        <f>IFERROR(IF(COUNTIF(AF533:AF542,"")=10,"",IF(AF537="","",IF(AF537&gt;=CMEMM1,1,0))),"")</f>
        <v/>
      </c>
      <c r="CE537" s="4" t="str">
        <f>B533&amp;"-0"&amp;5</f>
        <v>P54-05</v>
      </c>
      <c r="CF537" s="4">
        <f>IFERROR(INDEX('DESEMPATE Y DISCAPACIDAD'!$D$3:$D$450,MATCH(CE537,'DESEMPATE Y DISCAPACIDAD'!$C$3:$C$450,0)),"")</f>
        <v>0</v>
      </c>
      <c r="CG537" s="4">
        <f>IF(OR(CE537="",CF537=""),"",SUMIF(D533:D542,CF537,CD533:CD542))</f>
        <v>0</v>
      </c>
      <c r="CH537" s="4" t="str">
        <f t="shared" si="435"/>
        <v>NO CUMPLE</v>
      </c>
      <c r="CI537" s="4">
        <f t="shared" si="486"/>
        <v>0</v>
      </c>
      <c r="CJ537" s="4"/>
      <c r="CK537" s="4"/>
      <c r="CL537" s="4" t="str">
        <f t="shared" si="470"/>
        <v/>
      </c>
      <c r="CM537" s="4" t="str">
        <f t="shared" si="471"/>
        <v/>
      </c>
      <c r="CN537" s="4" t="str">
        <f t="shared" si="487"/>
        <v/>
      </c>
      <c r="CO537" s="4"/>
      <c r="CP537" s="4"/>
      <c r="CQ537" s="29" t="str">
        <f t="shared" si="459"/>
        <v/>
      </c>
      <c r="CR537" s="29" t="str">
        <f t="shared" si="460"/>
        <v/>
      </c>
      <c r="CS537" s="4"/>
    </row>
    <row r="538" spans="1:97" ht="34.25" hidden="1" customHeight="1">
      <c r="B538" s="481"/>
      <c r="C538" s="118"/>
      <c r="D538" s="126" t="str">
        <f>+IFERROR(INDEX('DESEMPATE Y DISCAPACIDAD'!$D$3:$D$450,MATCH(C538,'DESEMPATE Y DISCAPACIDAD'!$C$3:$C$450,0)),"")</f>
        <v/>
      </c>
      <c r="E538" s="127" t="str">
        <f>IFERROR(IF(D538="","",IF(VLOOKUP(D538,'DESEMPATE Y DISCAPACIDAD'!D$3:$E$450,2,FALSE)=1,"N/A",IF(VLOOKUP(D538,'DESEMPATE Y DISCAPACIDAD'!D$3:$F$450,3,FALSE)="X","SI","NO"))),"")</f>
        <v/>
      </c>
      <c r="F538" s="125"/>
      <c r="G538" s="125"/>
      <c r="H538" s="125"/>
      <c r="I538" s="128"/>
      <c r="J538" s="125"/>
      <c r="K538" s="125"/>
      <c r="L538" s="3"/>
      <c r="M538" s="125"/>
      <c r="N538" s="125" t="str">
        <f t="shared" si="482"/>
        <v/>
      </c>
      <c r="O538" s="125" t="str">
        <f t="shared" si="488"/>
        <v/>
      </c>
      <c r="P538" s="125" t="str">
        <f t="shared" si="483"/>
        <v/>
      </c>
      <c r="Q538" s="125" t="str">
        <f t="shared" si="472"/>
        <v/>
      </c>
      <c r="R538" s="68"/>
      <c r="S538" s="129"/>
      <c r="T538" s="129"/>
      <c r="U538" s="125" t="str">
        <f t="shared" si="484"/>
        <v/>
      </c>
      <c r="V538" s="117" t="str">
        <f>IF(U538=2023,1160000,IFERROR(INDEX(SMMLV!$B$2:$B$101,MATCH(U538,SMMLV!$A$2:$A$101,0)),""))</f>
        <v/>
      </c>
      <c r="W538" s="117"/>
      <c r="X538" s="125"/>
      <c r="Y538" s="125"/>
      <c r="Z538" s="474"/>
      <c r="AA538" s="475"/>
      <c r="AB538" s="476"/>
      <c r="AC538" s="125" t="str">
        <f t="shared" si="485"/>
        <v/>
      </c>
      <c r="AD538" s="117" t="str">
        <f t="shared" si="473"/>
        <v/>
      </c>
      <c r="AE538" s="117" t="str">
        <f t="shared" si="469"/>
        <v/>
      </c>
      <c r="AF538" s="117" t="str">
        <f t="shared" si="461"/>
        <v/>
      </c>
      <c r="AG538" s="470"/>
      <c r="AH538" s="470"/>
      <c r="AI538" s="125" t="str">
        <f t="shared" si="462"/>
        <v/>
      </c>
      <c r="AJ538" s="470"/>
      <c r="AK538" s="470"/>
      <c r="AL538" s="472"/>
      <c r="AM538" s="496"/>
      <c r="AN538" s="125"/>
      <c r="AO538" s="490"/>
      <c r="AP538" s="125"/>
      <c r="AQ538" s="490"/>
      <c r="AR538" s="522"/>
      <c r="AS538" s="519"/>
      <c r="AT538" s="204"/>
      <c r="AU538" s="699"/>
      <c r="AV538" s="702"/>
      <c r="AW538" s="705"/>
      <c r="AX538" s="705"/>
      <c r="AY538" s="19"/>
      <c r="CB538" s="29" t="str">
        <f>IFERROR(IF(COUNTIF(AF533:AF542,"")=10,"",IF(COUNTIF(E533:E542,"N/A")&gt;0,IF(AF538&gt;=CMEMM1,AF538,0),"N/A")),"")</f>
        <v/>
      </c>
      <c r="CC538" s="4"/>
      <c r="CD538" s="4" t="str">
        <f>IFERROR(IF(COUNTIF(AF533:AF542,"")=10,"",IF(AF538="","",IF(AF538&gt;=CMEMM1,1,0))),"")</f>
        <v/>
      </c>
      <c r="CE538" s="4" t="str">
        <f>B533&amp;"-0"&amp;6</f>
        <v>P54-06</v>
      </c>
      <c r="CF538" s="4">
        <f>IFERROR(INDEX('DESEMPATE Y DISCAPACIDAD'!$D$3:$D$450,MATCH(CE538,'DESEMPATE Y DISCAPACIDAD'!$C$3:$C$450,0)),"")</f>
        <v>0</v>
      </c>
      <c r="CG538" s="4">
        <f>IF(OR(CE538="",CF538=""),"",SUMIF(D533:D542,CF538,CD533:CD542))</f>
        <v>0</v>
      </c>
      <c r="CH538" s="4" t="str">
        <f t="shared" si="435"/>
        <v>NO CUMPLE</v>
      </c>
      <c r="CI538" s="4">
        <f t="shared" si="486"/>
        <v>0</v>
      </c>
      <c r="CJ538" s="4"/>
      <c r="CK538" s="4"/>
      <c r="CL538" s="4" t="str">
        <f t="shared" si="470"/>
        <v/>
      </c>
      <c r="CM538" s="4" t="str">
        <f t="shared" si="471"/>
        <v/>
      </c>
      <c r="CN538" s="4" t="str">
        <f t="shared" si="487"/>
        <v/>
      </c>
      <c r="CO538" s="4"/>
      <c r="CP538" s="4"/>
      <c r="CQ538" s="29" t="str">
        <f t="shared" si="459"/>
        <v/>
      </c>
      <c r="CR538" s="29" t="str">
        <f t="shared" si="460"/>
        <v/>
      </c>
      <c r="CS538" s="4"/>
    </row>
    <row r="539" spans="1:97" ht="34.25" hidden="1" customHeight="1">
      <c r="B539" s="481"/>
      <c r="C539" s="118"/>
      <c r="D539" s="126" t="str">
        <f>+IFERROR(INDEX('DESEMPATE Y DISCAPACIDAD'!$D$3:$D$450,MATCH(C539,'DESEMPATE Y DISCAPACIDAD'!$C$3:$C$450,0)),"")</f>
        <v/>
      </c>
      <c r="E539" s="127" t="str">
        <f>IFERROR(IF(D539="","",IF(VLOOKUP(D539,'DESEMPATE Y DISCAPACIDAD'!D$3:$E$450,2,FALSE)=1,"N/A",IF(VLOOKUP(D539,'DESEMPATE Y DISCAPACIDAD'!D$3:$F$450,3,FALSE)="X","SI","NO"))),"")</f>
        <v/>
      </c>
      <c r="F539" s="125"/>
      <c r="G539" s="125"/>
      <c r="H539" s="125"/>
      <c r="I539" s="128"/>
      <c r="J539" s="125"/>
      <c r="K539" s="125"/>
      <c r="L539" s="3"/>
      <c r="M539" s="125"/>
      <c r="N539" s="125" t="str">
        <f t="shared" si="482"/>
        <v/>
      </c>
      <c r="O539" s="125" t="str">
        <f t="shared" si="488"/>
        <v/>
      </c>
      <c r="P539" s="125" t="str">
        <f t="shared" si="483"/>
        <v/>
      </c>
      <c r="Q539" s="125" t="str">
        <f t="shared" si="472"/>
        <v/>
      </c>
      <c r="R539" s="68"/>
      <c r="S539" s="129"/>
      <c r="T539" s="129"/>
      <c r="U539" s="125" t="str">
        <f t="shared" si="484"/>
        <v/>
      </c>
      <c r="V539" s="117" t="str">
        <f>IF(U539=2023,1160000,IFERROR(INDEX(SMMLV!$B$2:$B$101,MATCH(U539,SMMLV!$A$2:$A$101,0)),""))</f>
        <v/>
      </c>
      <c r="W539" s="117"/>
      <c r="X539" s="125"/>
      <c r="Y539" s="125"/>
      <c r="Z539" s="474"/>
      <c r="AA539" s="475"/>
      <c r="AB539" s="476"/>
      <c r="AC539" s="125" t="str">
        <f t="shared" si="485"/>
        <v/>
      </c>
      <c r="AD539" s="117" t="str">
        <f t="shared" si="473"/>
        <v/>
      </c>
      <c r="AE539" s="117" t="str">
        <f t="shared" si="469"/>
        <v/>
      </c>
      <c r="AF539" s="117" t="str">
        <f t="shared" si="461"/>
        <v/>
      </c>
      <c r="AG539" s="470"/>
      <c r="AH539" s="470"/>
      <c r="AI539" s="125" t="str">
        <f t="shared" si="462"/>
        <v/>
      </c>
      <c r="AJ539" s="470"/>
      <c r="AK539" s="470"/>
      <c r="AL539" s="472"/>
      <c r="AM539" s="496"/>
      <c r="AN539" s="125"/>
      <c r="AO539" s="490"/>
      <c r="AP539" s="125"/>
      <c r="AQ539" s="490"/>
      <c r="AR539" s="522"/>
      <c r="AS539" s="519"/>
      <c r="AT539" s="204"/>
      <c r="AU539" s="699"/>
      <c r="AV539" s="702"/>
      <c r="AW539" s="705"/>
      <c r="AX539" s="705"/>
      <c r="AY539" s="19"/>
      <c r="CB539" s="29" t="str">
        <f>IFERROR(IF(COUNTIF(AF533:AF542,"")=10,"",IF(COUNTIF(E533:E542,"N/A")&gt;0,IF(AF539&gt;=CMEMM1,AF539,0),"N/A")),"")</f>
        <v/>
      </c>
      <c r="CC539" s="4"/>
      <c r="CD539" s="4" t="str">
        <f>IFERROR(IF(COUNTIF(AF533:AF542,"")=10,"",IF(AF539="","",IF(AF539&gt;=CMEMM1,1,0))),"")</f>
        <v/>
      </c>
      <c r="CE539" s="4" t="str">
        <f>B533&amp;"-0"&amp;7</f>
        <v>P54-07</v>
      </c>
      <c r="CF539" s="4" t="str">
        <f>IFERROR(INDEX('DESEMPATE Y DISCAPACIDAD'!$D$3:$D$450,MATCH(CE539,'DESEMPATE Y DISCAPACIDAD'!$C$3:$C$450,0)),"")</f>
        <v/>
      </c>
      <c r="CG539" s="4" t="str">
        <f>IF(OR(CE539="",CF539=""),"",SUMIF(D533:D542,CF539,CD533:CD542))</f>
        <v/>
      </c>
      <c r="CH539" s="4" t="str">
        <f t="shared" si="435"/>
        <v/>
      </c>
      <c r="CI539" s="4" t="str">
        <f t="shared" si="486"/>
        <v/>
      </c>
      <c r="CJ539" s="4"/>
      <c r="CK539" s="4"/>
      <c r="CL539" s="4" t="str">
        <f t="shared" si="470"/>
        <v/>
      </c>
      <c r="CM539" s="4" t="str">
        <f t="shared" si="471"/>
        <v/>
      </c>
      <c r="CN539" s="4" t="str">
        <f t="shared" si="487"/>
        <v/>
      </c>
      <c r="CO539" s="4"/>
      <c r="CP539" s="4"/>
      <c r="CQ539" s="29" t="str">
        <f t="shared" si="459"/>
        <v/>
      </c>
      <c r="CR539" s="29" t="str">
        <f t="shared" si="460"/>
        <v/>
      </c>
      <c r="CS539" s="4"/>
    </row>
    <row r="540" spans="1:97" ht="34.25" hidden="1" customHeight="1">
      <c r="B540" s="481"/>
      <c r="C540" s="118"/>
      <c r="D540" s="126" t="str">
        <f>+IFERROR(INDEX('DESEMPATE Y DISCAPACIDAD'!$D$3:$D$450,MATCH(C540,'DESEMPATE Y DISCAPACIDAD'!$C$3:$C$450,0)),"")</f>
        <v/>
      </c>
      <c r="E540" s="127" t="str">
        <f>IFERROR(IF(D540="","",IF(VLOOKUP(D540,'DESEMPATE Y DISCAPACIDAD'!D$3:$E$450,2,FALSE)=1,"N/A",IF(VLOOKUP(D540,'DESEMPATE Y DISCAPACIDAD'!D$3:$F$450,3,FALSE)="X","SI","NO"))),"")</f>
        <v/>
      </c>
      <c r="F540" s="125"/>
      <c r="G540" s="125"/>
      <c r="H540" s="125"/>
      <c r="I540" s="128"/>
      <c r="J540" s="125"/>
      <c r="K540" s="125"/>
      <c r="L540" s="3"/>
      <c r="M540" s="125"/>
      <c r="N540" s="125" t="str">
        <f t="shared" si="482"/>
        <v/>
      </c>
      <c r="O540" s="125" t="str">
        <f t="shared" si="488"/>
        <v/>
      </c>
      <c r="P540" s="125" t="str">
        <f t="shared" si="483"/>
        <v/>
      </c>
      <c r="Q540" s="125" t="str">
        <f t="shared" si="472"/>
        <v/>
      </c>
      <c r="R540" s="68"/>
      <c r="S540" s="129"/>
      <c r="T540" s="129"/>
      <c r="U540" s="125" t="str">
        <f t="shared" si="484"/>
        <v/>
      </c>
      <c r="V540" s="117" t="str">
        <f>IF(U540=2023,1160000,IFERROR(INDEX(SMMLV!$B$2:$B$101,MATCH(U540,SMMLV!$A$2:$A$101,0)),""))</f>
        <v/>
      </c>
      <c r="W540" s="117"/>
      <c r="X540" s="125"/>
      <c r="Y540" s="125"/>
      <c r="Z540" s="474"/>
      <c r="AA540" s="475"/>
      <c r="AB540" s="476"/>
      <c r="AC540" s="125" t="str">
        <f t="shared" si="485"/>
        <v/>
      </c>
      <c r="AD540" s="117" t="str">
        <f t="shared" si="473"/>
        <v/>
      </c>
      <c r="AE540" s="117" t="str">
        <f t="shared" si="469"/>
        <v/>
      </c>
      <c r="AF540" s="117" t="str">
        <f t="shared" si="461"/>
        <v/>
      </c>
      <c r="AG540" s="470"/>
      <c r="AH540" s="470"/>
      <c r="AI540" s="125" t="str">
        <f t="shared" si="462"/>
        <v/>
      </c>
      <c r="AJ540" s="470"/>
      <c r="AK540" s="470"/>
      <c r="AL540" s="472"/>
      <c r="AM540" s="496"/>
      <c r="AN540" s="125"/>
      <c r="AO540" s="490"/>
      <c r="AP540" s="125"/>
      <c r="AQ540" s="490"/>
      <c r="AR540" s="522"/>
      <c r="AS540" s="519"/>
      <c r="AT540" s="204"/>
      <c r="AU540" s="699"/>
      <c r="AV540" s="702"/>
      <c r="AW540" s="705"/>
      <c r="AX540" s="705"/>
      <c r="AY540" s="19"/>
      <c r="CB540" s="29" t="str">
        <f>IFERROR(IF(COUNTIF(AF533:AF542,"")=10,"",IF(COUNTIF(E533:E542,"N/A")&gt;0,IF(AF540&gt;=CMEMM1,AF540,0),"N/A")),"")</f>
        <v/>
      </c>
      <c r="CC540" s="4"/>
      <c r="CD540" s="4" t="str">
        <f>IFERROR(IF(COUNTIF(AF533:AF542,"")=10,"",IF(AF540="","",IF(AF540&gt;=CMEMM1,1,0))),"")</f>
        <v/>
      </c>
      <c r="CE540" s="4" t="str">
        <f>B533&amp;"-0"&amp;8</f>
        <v>P54-08</v>
      </c>
      <c r="CF540" s="4" t="str">
        <f>IFERROR(INDEX('DESEMPATE Y DISCAPACIDAD'!$D$3:$D$450,MATCH(CE540,'DESEMPATE Y DISCAPACIDAD'!$C$3:$C$450,0)),"")</f>
        <v/>
      </c>
      <c r="CG540" s="4" t="str">
        <f>IF(OR(CE540="",CF540=""),"",SUMIF(D533:D542,CF540,CD533:CD542))</f>
        <v/>
      </c>
      <c r="CH540" s="4" t="str">
        <f t="shared" si="435"/>
        <v/>
      </c>
      <c r="CI540" s="4" t="str">
        <f t="shared" si="486"/>
        <v/>
      </c>
      <c r="CJ540" s="4"/>
      <c r="CK540" s="4"/>
      <c r="CL540" s="4" t="str">
        <f t="shared" si="470"/>
        <v/>
      </c>
      <c r="CM540" s="4" t="str">
        <f t="shared" si="471"/>
        <v/>
      </c>
      <c r="CN540" s="4" t="str">
        <f t="shared" si="487"/>
        <v/>
      </c>
      <c r="CO540" s="4"/>
      <c r="CP540" s="4"/>
      <c r="CQ540" s="29" t="str">
        <f t="shared" si="459"/>
        <v/>
      </c>
      <c r="CR540" s="29" t="str">
        <f t="shared" si="460"/>
        <v/>
      </c>
      <c r="CS540" s="4"/>
    </row>
    <row r="541" spans="1:97" ht="34.25" hidden="1" customHeight="1">
      <c r="B541" s="481"/>
      <c r="C541" s="118"/>
      <c r="D541" s="126" t="str">
        <f>+IFERROR(INDEX('DESEMPATE Y DISCAPACIDAD'!$D$3:$D$450,MATCH(C541,'DESEMPATE Y DISCAPACIDAD'!$C$3:$C$450,0)),"")</f>
        <v/>
      </c>
      <c r="E541" s="127" t="str">
        <f>IFERROR(IF(D541="","",IF(VLOOKUP(D541,'DESEMPATE Y DISCAPACIDAD'!D$3:$E$450,2,FALSE)=1,"N/A",IF(VLOOKUP(D541,'DESEMPATE Y DISCAPACIDAD'!D$3:$F$450,3,FALSE)="X","SI","NO"))),"")</f>
        <v/>
      </c>
      <c r="F541" s="125"/>
      <c r="G541" s="125"/>
      <c r="H541" s="125"/>
      <c r="I541" s="128"/>
      <c r="J541" s="125"/>
      <c r="K541" s="125"/>
      <c r="L541" s="3"/>
      <c r="M541" s="125"/>
      <c r="N541" s="125" t="str">
        <f t="shared" si="482"/>
        <v/>
      </c>
      <c r="O541" s="125" t="str">
        <f t="shared" si="488"/>
        <v/>
      </c>
      <c r="P541" s="125" t="str">
        <f t="shared" si="483"/>
        <v/>
      </c>
      <c r="Q541" s="125" t="str">
        <f t="shared" si="472"/>
        <v/>
      </c>
      <c r="R541" s="68"/>
      <c r="S541" s="129"/>
      <c r="T541" s="129"/>
      <c r="U541" s="125" t="str">
        <f t="shared" si="484"/>
        <v/>
      </c>
      <c r="V541" s="117" t="str">
        <f>IF(U541=2023,1160000,IFERROR(INDEX(SMMLV!$B$2:$B$101,MATCH(U541,SMMLV!$A$2:$A$101,0)),""))</f>
        <v/>
      </c>
      <c r="W541" s="117"/>
      <c r="X541" s="125"/>
      <c r="Y541" s="125"/>
      <c r="Z541" s="474"/>
      <c r="AA541" s="475"/>
      <c r="AB541" s="476"/>
      <c r="AC541" s="125" t="str">
        <f t="shared" si="485"/>
        <v/>
      </c>
      <c r="AD541" s="117" t="str">
        <f t="shared" si="473"/>
        <v/>
      </c>
      <c r="AE541" s="117" t="str">
        <f t="shared" si="469"/>
        <v/>
      </c>
      <c r="AF541" s="117" t="str">
        <f t="shared" si="461"/>
        <v/>
      </c>
      <c r="AG541" s="470"/>
      <c r="AH541" s="470"/>
      <c r="AI541" s="125" t="str">
        <f t="shared" si="462"/>
        <v/>
      </c>
      <c r="AJ541" s="470"/>
      <c r="AK541" s="470"/>
      <c r="AL541" s="472"/>
      <c r="AM541" s="496"/>
      <c r="AN541" s="125"/>
      <c r="AO541" s="490"/>
      <c r="AP541" s="125"/>
      <c r="AQ541" s="490"/>
      <c r="AR541" s="522"/>
      <c r="AS541" s="519"/>
      <c r="AT541" s="204"/>
      <c r="AU541" s="699"/>
      <c r="AV541" s="702"/>
      <c r="AW541" s="705"/>
      <c r="AX541" s="705"/>
      <c r="AY541" s="19"/>
      <c r="CB541" s="29" t="str">
        <f>IFERROR(IF(COUNTIF(AF533:AF542,"")=10,"",IF(COUNTIF(E533:E542,"N/A")&gt;0,IF(AF541&gt;=CMEMM1,AF541,0),"N/A")),"")</f>
        <v/>
      </c>
      <c r="CC541" s="4"/>
      <c r="CD541" s="4" t="str">
        <f>IFERROR(IF(COUNTIF(AF533:AF542,"")=10,"",IF(AF541="","",IF(AF541&gt;=CMEMM1,1,0))),"")</f>
        <v/>
      </c>
      <c r="CE541" s="4" t="str">
        <f>B533&amp;"-0"&amp;9</f>
        <v>P54-09</v>
      </c>
      <c r="CF541" s="4" t="str">
        <f>IFERROR(INDEX('DESEMPATE Y DISCAPACIDAD'!$D$3:$D$450,MATCH(CE541,'DESEMPATE Y DISCAPACIDAD'!$C$3:$C$450,0)),"")</f>
        <v/>
      </c>
      <c r="CG541" s="4" t="str">
        <f>IF(OR(CE541="",CF541=""),"",SUMIF(D533:D542,CF541,CD533:CD542))</f>
        <v/>
      </c>
      <c r="CH541" s="4" t="str">
        <f t="shared" si="435"/>
        <v/>
      </c>
      <c r="CI541" s="4" t="str">
        <f t="shared" si="486"/>
        <v/>
      </c>
      <c r="CJ541" s="4"/>
      <c r="CK541" s="4"/>
      <c r="CL541" s="4" t="str">
        <f t="shared" si="470"/>
        <v/>
      </c>
      <c r="CM541" s="4" t="str">
        <f t="shared" si="471"/>
        <v/>
      </c>
      <c r="CN541" s="4" t="str">
        <f t="shared" si="487"/>
        <v/>
      </c>
      <c r="CO541" s="4"/>
      <c r="CP541" s="4"/>
      <c r="CQ541" s="29" t="str">
        <f t="shared" ref="CQ541:CQ562" si="489">IF(OR(AN541="",CB541=""),"",IF(AN541="NO",CB541,0))</f>
        <v/>
      </c>
      <c r="CR541" s="29" t="str">
        <f t="shared" ref="CR541:CR562" si="490">IF(OR(AN541="",AF541=""),"",IF(AN541="NO",AF541,0))</f>
        <v/>
      </c>
      <c r="CS541" s="4"/>
    </row>
    <row r="542" spans="1:97" ht="34.25" hidden="1" customHeight="1" thickBot="1">
      <c r="B542" s="482"/>
      <c r="C542" s="130"/>
      <c r="D542" s="131" t="str">
        <f>+IFERROR(INDEX('DESEMPATE Y DISCAPACIDAD'!$D$3:$D$450,MATCH(C542,'DESEMPATE Y DISCAPACIDAD'!$C$3:$C$450,0)),"")</f>
        <v/>
      </c>
      <c r="E542" s="132" t="str">
        <f>IFERROR(IF(D542="","",IF(VLOOKUP(D542,'DESEMPATE Y DISCAPACIDAD'!D$3:$E$450,2,FALSE)=1,"N/A",IF(VLOOKUP(D542,'DESEMPATE Y DISCAPACIDAD'!D$3:$F$450,3,FALSE)="X","SI","NO"))),"")</f>
        <v/>
      </c>
      <c r="F542" s="133"/>
      <c r="G542" s="133"/>
      <c r="H542" s="133"/>
      <c r="I542" s="134"/>
      <c r="J542" s="133"/>
      <c r="K542" s="133"/>
      <c r="L542" s="5"/>
      <c r="M542" s="133"/>
      <c r="N542" s="133" t="str">
        <f t="shared" si="482"/>
        <v/>
      </c>
      <c r="O542" s="133" t="str">
        <f t="shared" si="488"/>
        <v/>
      </c>
      <c r="P542" s="133" t="str">
        <f t="shared" si="483"/>
        <v/>
      </c>
      <c r="Q542" s="133" t="str">
        <f t="shared" si="472"/>
        <v/>
      </c>
      <c r="R542" s="104"/>
      <c r="S542" s="135"/>
      <c r="T542" s="135"/>
      <c r="U542" s="133" t="str">
        <f t="shared" si="484"/>
        <v/>
      </c>
      <c r="V542" s="136" t="str">
        <f>IF(U542=2023,1160000,IFERROR(INDEX(SMMLV!$B$2:$B$101,MATCH(U542,SMMLV!$A$2:$A$101,0)),""))</f>
        <v/>
      </c>
      <c r="W542" s="136"/>
      <c r="X542" s="133"/>
      <c r="Y542" s="133"/>
      <c r="Z542" s="487"/>
      <c r="AA542" s="488"/>
      <c r="AB542" s="489"/>
      <c r="AC542" s="133" t="str">
        <f t="shared" si="485"/>
        <v/>
      </c>
      <c r="AD542" s="136" t="str">
        <f t="shared" si="473"/>
        <v/>
      </c>
      <c r="AE542" s="117" t="str">
        <f t="shared" si="469"/>
        <v/>
      </c>
      <c r="AF542" s="136" t="str">
        <f t="shared" si="461"/>
        <v/>
      </c>
      <c r="AG542" s="471"/>
      <c r="AH542" s="471"/>
      <c r="AI542" s="133" t="str">
        <f t="shared" si="462"/>
        <v/>
      </c>
      <c r="AJ542" s="471"/>
      <c r="AK542" s="471"/>
      <c r="AL542" s="473"/>
      <c r="AM542" s="497"/>
      <c r="AN542" s="133"/>
      <c r="AO542" s="491"/>
      <c r="AP542" s="133"/>
      <c r="AQ542" s="491"/>
      <c r="AR542" s="523"/>
      <c r="AS542" s="520"/>
      <c r="AT542" s="206"/>
      <c r="AU542" s="700"/>
      <c r="AV542" s="703"/>
      <c r="AW542" s="706"/>
      <c r="AX542" s="706"/>
      <c r="AY542" s="19"/>
      <c r="CB542" s="29" t="str">
        <f>IFERROR(IF(COUNTIF(AF533:AF542,"")=10,"",IF(COUNTIF(E533:E542,"N/A")&gt;0,IF(AF542&gt;=CMEMM1,AF542,0),"N/A")),"")</f>
        <v/>
      </c>
      <c r="CC542" s="4"/>
      <c r="CD542" s="4" t="str">
        <f>IFERROR(IF(COUNTIF(AF533:AF542,"")=10,"",IF(AF542="","",IF(AF542&gt;=CMEMM1,1,0))),"")</f>
        <v/>
      </c>
      <c r="CE542" s="4" t="str">
        <f>B533&amp;"-"&amp;10</f>
        <v>P54-10</v>
      </c>
      <c r="CF542" s="4" t="str">
        <f>IFERROR(INDEX('DESEMPATE Y DISCAPACIDAD'!$D$3:$D$450,MATCH(CE542,'DESEMPATE Y DISCAPACIDAD'!$C$3:$C$450,0)),"")</f>
        <v/>
      </c>
      <c r="CG542" s="4" t="str">
        <f>IF(OR(CE542="",CF542=""),"",SUMIF(D533:D542,CF542,CD533:CD542))</f>
        <v/>
      </c>
      <c r="CH542" s="4" t="str">
        <f t="shared" si="435"/>
        <v/>
      </c>
      <c r="CI542" s="4" t="str">
        <f t="shared" si="486"/>
        <v/>
      </c>
      <c r="CJ542" s="4"/>
      <c r="CK542" s="4"/>
      <c r="CL542" s="4" t="str">
        <f t="shared" si="470"/>
        <v/>
      </c>
      <c r="CM542" s="4" t="str">
        <f t="shared" si="471"/>
        <v/>
      </c>
      <c r="CN542" s="4" t="str">
        <f t="shared" si="487"/>
        <v/>
      </c>
      <c r="CO542" s="4"/>
      <c r="CP542" s="4"/>
      <c r="CQ542" s="29" t="str">
        <f t="shared" si="489"/>
        <v/>
      </c>
      <c r="CR542" s="29" t="str">
        <f t="shared" si="490"/>
        <v/>
      </c>
      <c r="CS542" s="4"/>
    </row>
    <row r="543" spans="1:97" ht="34.25" hidden="1" customHeight="1">
      <c r="A543" s="4" t="str">
        <f>"A"&amp;B543</f>
        <v>AP55</v>
      </c>
      <c r="B543" s="480" t="s">
        <v>316</v>
      </c>
      <c r="C543" s="108"/>
      <c r="D543" s="119" t="str">
        <f>+IFERROR(INDEX('DESEMPATE Y DISCAPACIDAD'!$D$3:$D$450,MATCH(C543,'DESEMPATE Y DISCAPACIDAD'!$C$3:$C$450,0)),"")</f>
        <v/>
      </c>
      <c r="E543" s="120" t="str">
        <f>IFERROR(IF(D543="","",IF(VLOOKUP(D543,'DESEMPATE Y DISCAPACIDAD'!D$3:$E$450,2,FALSE)=1,"N/A",IF(VLOOKUP(D543,'DESEMPATE Y DISCAPACIDAD'!D$3:$F$450,3,FALSE)="X","SI","NO"))),"")</f>
        <v/>
      </c>
      <c r="F543" s="125"/>
      <c r="G543" s="125"/>
      <c r="H543" s="121"/>
      <c r="I543" s="122"/>
      <c r="J543" s="121"/>
      <c r="K543" s="121"/>
      <c r="L543" s="179"/>
      <c r="M543" s="121"/>
      <c r="N543" s="121" t="str">
        <f>IFERROR(IF(OR(J543="",K543=""),"",IF(J543="NO","NO",K543)),"")</f>
        <v/>
      </c>
      <c r="O543" s="121" t="str">
        <f>IFERROR(IF(OR(J543="",L543=""),"",IF(J543="NO","NO",L543)),"")</f>
        <v/>
      </c>
      <c r="P543" s="121" t="str">
        <f>IFERROR(IF(OR(J543="",M543=""),"",IF(J543="NO","NO",M543)),"")</f>
        <v/>
      </c>
      <c r="Q543" s="121" t="str">
        <f t="shared" si="472"/>
        <v/>
      </c>
      <c r="R543" s="103"/>
      <c r="S543" s="123"/>
      <c r="T543" s="123"/>
      <c r="U543" s="121" t="str">
        <f>IFERROR(IF(T543="","",YEAR(T543)),"")</f>
        <v/>
      </c>
      <c r="V543" s="124" t="str">
        <f>IF(U543=2023,1160000,IFERROR(INDEX(SMMLV!$B$2:$B$101,MATCH(U543,SMMLV!$A$2:$A$101,0)),""))</f>
        <v/>
      </c>
      <c r="W543" s="124"/>
      <c r="X543" s="121"/>
      <c r="Y543" s="121"/>
      <c r="Z543" s="483"/>
      <c r="AA543" s="484"/>
      <c r="AB543" s="485"/>
      <c r="AC543" s="121" t="str">
        <f>IFERROR(IF(Y543="","",IF(ISNUMBER(Y543),IF(COUNTIF(Z543,"SI")&gt;0,"SI","NO"),Y543)),"")</f>
        <v/>
      </c>
      <c r="AD543" s="124" t="str">
        <f t="shared" si="473"/>
        <v/>
      </c>
      <c r="AE543" s="117" t="str">
        <f t="shared" si="469"/>
        <v/>
      </c>
      <c r="AF543" s="124" t="str">
        <f t="shared" si="461"/>
        <v/>
      </c>
      <c r="AG543" s="486" t="str">
        <f>IFERROR(IF(COUNTIF(AF543:AF552,"")=10,"",IF(COUNTIF(E543:E552,"N/A")&gt;0,IF(SUM(CB543:CB552)&gt;=CMEM1,"CUMPLE","NO CUMPLE"),IF(SUM(AF543:AF552)&gt;=CMEM1,"CUMPLE","NO CUMPLE"))),"")</f>
        <v/>
      </c>
      <c r="AH543" s="486" t="str">
        <f>IF(COUNTIF(AF543:AF552,"")=10,"",IF(SUMIF(C543:C552,C543,AF543:AF552)&gt;=CMLM1,"CUMPLE",IF(SUMIF(C543:C552,C544,AF543:AF552)&gt;=CMLM1,"CUMPLE",IF(SUMIF(C543:C552,C545,AF543:AF552)&gt;=CMLM1,"CUMPLE",IF(SUMIF(C543:C552,C546,AF543:AF552)&gt;=CMLM1,"CUMPLE",IF(SUMIF(C543:C552,C547,AF543:AF552)&gt;=CMLM1,"CUMPLE",IF(SUMIF(C543:C552,C548,AF543:AF552)&gt;=CMLM1,"CUMPLE",IF(SUMIF(C543:C552,C549,AF543:AF552)&gt;=CMLM1,"CUMPLE",IF(SUMIF(C543:C552,C550,AF543:AF552)&gt;=CMLM1,"CUMPLE",IF(SUMIF(C543:C552,C551,AF543:AF552)&gt;=CMLM1,"CUMPLE",IF(SUMIF(C543:C552,C552,AF543:AF552)&gt;=CMLM1,"CUMPLE","NO CUMPLE")))))))))))</f>
        <v/>
      </c>
      <c r="AI543" s="121" t="str">
        <f t="shared" si="462"/>
        <v/>
      </c>
      <c r="AJ543" s="469" t="str">
        <f>IFERROR(IF(COUNTIF(AF543:AF552,"")=10,"",IF(COUNTIF(E543:E552,"N/A")&gt;0,"N/A",CJ543)),"")</f>
        <v/>
      </c>
      <c r="AK543" s="469" t="str">
        <f>IFERROR(IF(AND(COUNTIF(N543:N552,"SI")&gt;=1,COUNTIF(O543:O552,"SI")&gt;=1,COUNTIF(P543:P552,"SI")&gt;=1,COUNTIF(J543:J552,"SI")&lt;=10,CO543="CUMPLE"),"CUMPLE","NO CUMPLE"),"")</f>
        <v>NO CUMPLE</v>
      </c>
      <c r="AL543" s="472"/>
      <c r="AM543" s="495">
        <f>IFERROR(IF(B543&lt;&gt;"",IF(VLOOKUP(B543,'DESEMPATE Y DISCAPACIDAD'!$A$3:$Q$450,10,FALSE)="","",VLOOKUP(B543,'DESEMPATE Y DISCAPACIDAD'!$A$3:$Q$450,10,FALSE)+6),""),"")</f>
        <v>6</v>
      </c>
      <c r="AN543" s="121"/>
      <c r="AO543" s="490"/>
      <c r="AP543" s="121"/>
      <c r="AQ543" s="490" t="str">
        <f>IFERROR(IF(COUNTIF(AP543:AP552,"")=10,"",IF(AO543="NO",0,COUNTIF(AP543:AP552,"SI"))),"")</f>
        <v/>
      </c>
      <c r="AR543" s="521" t="str">
        <f>IFERROR(IF(COUNTIF(AF543:AF552,"")=10,"",IF(AO543="NO",0,IF(COUNTIF(E543:E552,"N/A")&gt;0,SUM(CQ543:CQ552),SUM(CR543:CR552)))),"")</f>
        <v/>
      </c>
      <c r="AS543" s="518" t="str">
        <f>IFERROR(IF(OR(COUNTIF(AF543:AF552,"")=10,AQ543="",AR543=""),"",IF(AO543="NO",0,AR543/AQ543)),"")</f>
        <v/>
      </c>
      <c r="AT543" s="207"/>
      <c r="AU543" s="698"/>
      <c r="AV543" s="701"/>
      <c r="AW543" s="704"/>
      <c r="AX543" s="704"/>
      <c r="AY543" s="19"/>
      <c r="CB543" s="29" t="str">
        <f>IFERROR(IF(COUNTIF(AF543:AF552,"")=10,"",IF(COUNTIF(E543:E552,"N/A")&gt;0,IF(AF543&gt;=CMEMM1,AF543,0),"N/A")),"")</f>
        <v/>
      </c>
      <c r="CC543" s="4"/>
      <c r="CD543" s="4" t="str">
        <f>IFERROR(IF(COUNTIF(AF543:AF552,"")=10,"",IF(AF543="","",IF(AF543&gt;=CMEMM1,1,0))),"")</f>
        <v/>
      </c>
      <c r="CE543" s="4" t="str">
        <f>B543&amp;"-0"&amp;1</f>
        <v>P55-01</v>
      </c>
      <c r="CF543" s="4">
        <f>IFERROR(INDEX('DESEMPATE Y DISCAPACIDAD'!$D$3:$D$450,MATCH(CE543,'DESEMPATE Y DISCAPACIDAD'!$C$3:$C$450,0)),"")</f>
        <v>0</v>
      </c>
      <c r="CG543" s="4">
        <f>IF(OR(CE543="",CF543=""),"",SUMIF(D543:D552,CF543,CD543:CD552))</f>
        <v>0</v>
      </c>
      <c r="CH543" s="4" t="str">
        <f t="shared" si="435"/>
        <v>NO CUMPLE</v>
      </c>
      <c r="CI543" s="4">
        <f>IF(CF543="","",IF(ISTEXT(CF543),1,0))</f>
        <v>0</v>
      </c>
      <c r="CJ543" s="4" t="str">
        <f>IF(OR(CD543="",CE543="",CF543="",CG543="",CH543="",CI543=""),"",IF(COUNTIF(CH543:CH552,"CUMPLE")=COUNTIF(CI543:CI552,1),"CUMPLE","NO CUMPLE"))</f>
        <v/>
      </c>
      <c r="CK543" s="4"/>
      <c r="CL543" s="4" t="str">
        <f t="shared" si="470"/>
        <v/>
      </c>
      <c r="CM543" s="4" t="str">
        <f t="shared" si="471"/>
        <v/>
      </c>
      <c r="CN543" s="4" t="str">
        <f>IF(OR(CL543="",CM543=""),"",IF(AND(CL543=0,CM543=0),"N/A",IF(AND(CL543=1,CM543=0),"COND. A",IF(AND(CL543=0,CM543=1),"COND. B",IF(AND(CL543=1,CM543=1),"COND. A Y B","")))))</f>
        <v/>
      </c>
      <c r="CO543" s="4" t="str">
        <f>IF(COUNTIF(CN543:CN552,"N/A")=10,"NO CUMPLE",IF(COUNTIF(CN543:CN552,"COND. A Y B")&gt;1,"CUMPLE",IF(AND(COUNTIF(CN543:CN552,"COND. A")&gt;0,COUNTIF(CN543:CN552,"COND. B")&gt;0),"CUMPLE",IF(AND(COUNTIF(CN543:CN552,"COND. A Y B")&gt;0,COUNTIF(CN543:CN552,"COND. A")&gt;0),"CUMPLE",IF(AND(COUNTIF(CN543:CN552,"COND. A Y B")&gt;0,COUNTIF(CN543:CN552,"COND. B")&gt;0),"CUMPLE","NO CUMPLE")))))</f>
        <v>NO CUMPLE</v>
      </c>
      <c r="CP543" s="4"/>
      <c r="CQ543" s="29" t="str">
        <f t="shared" si="489"/>
        <v/>
      </c>
      <c r="CR543" s="29" t="str">
        <f t="shared" si="490"/>
        <v/>
      </c>
      <c r="CS543" s="4"/>
    </row>
    <row r="544" spans="1:97" ht="34.25" hidden="1" customHeight="1">
      <c r="B544" s="481"/>
      <c r="C544" s="118"/>
      <c r="D544" s="119" t="str">
        <f>+IFERROR(INDEX('DESEMPATE Y DISCAPACIDAD'!$D$3:$D$450,MATCH(C544,'DESEMPATE Y DISCAPACIDAD'!$C$3:$C$450,0)),"")</f>
        <v/>
      </c>
      <c r="E544" s="120" t="str">
        <f>IFERROR(IF(D544="","",IF(VLOOKUP(D544,'DESEMPATE Y DISCAPACIDAD'!D$3:$E$450,2,FALSE)=1,"N/A",IF(VLOOKUP(D544,'DESEMPATE Y DISCAPACIDAD'!D$3:$F$450,3,FALSE)="X","SI","NO"))),"")</f>
        <v/>
      </c>
      <c r="F544" s="125"/>
      <c r="G544" s="125"/>
      <c r="H544" s="121"/>
      <c r="I544" s="122"/>
      <c r="J544" s="121"/>
      <c r="K544" s="121"/>
      <c r="L544" s="179"/>
      <c r="M544" s="121"/>
      <c r="N544" s="121" t="str">
        <f t="shared" ref="N544:N552" si="491">IFERROR(IF(OR(J544="",K544=""),"",IF(J544="NO","NO",K544)),"")</f>
        <v/>
      </c>
      <c r="O544" s="121" t="str">
        <f>IFERROR(IF(OR(J544="",L544=""),"",IF(J544="NO","NO",L544)),"")</f>
        <v/>
      </c>
      <c r="P544" s="121" t="str">
        <f t="shared" ref="P544:P552" si="492">IFERROR(IF(OR(J544="",M544=""),"",IF(J544="NO","NO",M544)),"")</f>
        <v/>
      </c>
      <c r="Q544" s="121" t="str">
        <f t="shared" si="472"/>
        <v/>
      </c>
      <c r="R544" s="103"/>
      <c r="S544" s="123"/>
      <c r="T544" s="123"/>
      <c r="U544" s="121" t="str">
        <f t="shared" ref="U544:U552" si="493">IFERROR(IF(T544="","",YEAR(T544)),"")</f>
        <v/>
      </c>
      <c r="V544" s="124" t="str">
        <f>IF(U544=2023,1160000,IFERROR(INDEX(SMMLV!$B$2:$B$101,MATCH(U544,SMMLV!$A$2:$A$101,0)),""))</f>
        <v/>
      </c>
      <c r="W544" s="124"/>
      <c r="X544" s="125"/>
      <c r="Y544" s="125"/>
      <c r="Z544" s="474"/>
      <c r="AA544" s="475"/>
      <c r="AB544" s="476"/>
      <c r="AC544" s="125" t="str">
        <f t="shared" ref="AC544:AC552" si="494">IFERROR(IF(Y544="","",IF(ISNUMBER(Y544),IF(COUNTIF(Z544,"SI")&gt;0,"SI","NO"),Y544)),"")</f>
        <v/>
      </c>
      <c r="AD544" s="117" t="str">
        <f t="shared" si="473"/>
        <v/>
      </c>
      <c r="AE544" s="117" t="str">
        <f t="shared" si="469"/>
        <v/>
      </c>
      <c r="AF544" s="117" t="str">
        <f t="shared" si="461"/>
        <v/>
      </c>
      <c r="AG544" s="470"/>
      <c r="AH544" s="470"/>
      <c r="AI544" s="125" t="str">
        <f t="shared" si="462"/>
        <v/>
      </c>
      <c r="AJ544" s="470"/>
      <c r="AK544" s="470"/>
      <c r="AL544" s="472"/>
      <c r="AM544" s="496"/>
      <c r="AN544" s="125"/>
      <c r="AO544" s="490"/>
      <c r="AP544" s="125"/>
      <c r="AQ544" s="490"/>
      <c r="AR544" s="522"/>
      <c r="AS544" s="519"/>
      <c r="AT544" s="204"/>
      <c r="AU544" s="699"/>
      <c r="AV544" s="702"/>
      <c r="AW544" s="705"/>
      <c r="AX544" s="705"/>
      <c r="AY544" s="19"/>
      <c r="CB544" s="29" t="str">
        <f>IFERROR(IF(COUNTIF(AF543:AF552,"")=10,"",IF(COUNTIF(E543:E552,"N/A")&gt;0,IF(AF544&gt;=CMEMM1,AF544,0),"N/A")),"")</f>
        <v/>
      </c>
      <c r="CC544" s="4"/>
      <c r="CD544" s="4" t="str">
        <f>IFERROR(IF(COUNTIF(AF543:AF552,"")=10,"",IF(AF544="","",IF(AF544&gt;=CMEMM1,1,0))),"")</f>
        <v/>
      </c>
      <c r="CE544" s="4" t="str">
        <f>B543&amp;"-0"&amp;2</f>
        <v>P55-02</v>
      </c>
      <c r="CF544" s="4">
        <f>IFERROR(INDEX('DESEMPATE Y DISCAPACIDAD'!$D$3:$D$450,MATCH(CE544,'DESEMPATE Y DISCAPACIDAD'!$C$3:$C$450,0)),"")</f>
        <v>0</v>
      </c>
      <c r="CG544" s="4">
        <f>IF(OR(CE544="",CF544=""),"",SUMIF(D543:D552,CF544,CD543:CD552))</f>
        <v>0</v>
      </c>
      <c r="CH544" s="4" t="str">
        <f t="shared" si="435"/>
        <v>NO CUMPLE</v>
      </c>
      <c r="CI544" s="4">
        <f t="shared" ref="CI544:CI552" si="495">IF(CF544="","",IF(ISTEXT(CF544),1,0))</f>
        <v>0</v>
      </c>
      <c r="CJ544" s="4"/>
      <c r="CK544" s="4"/>
      <c r="CL544" s="4" t="str">
        <f t="shared" si="470"/>
        <v/>
      </c>
      <c r="CM544" s="4" t="str">
        <f t="shared" si="471"/>
        <v/>
      </c>
      <c r="CN544" s="4" t="str">
        <f t="shared" ref="CN544:CN552" si="496">IF(OR(CL544="",CM544=""),"",IF(AND(CL544=0,CM544=0),"N/A",IF(AND(CL544=1,CM544=0),"COND. A",IF(AND(CL544=0,CM544=1),"COND. B",IF(AND(CL544=1,CM544=1),"COND. A Y B","")))))</f>
        <v/>
      </c>
      <c r="CO544" s="4"/>
      <c r="CP544" s="4"/>
      <c r="CQ544" s="29" t="str">
        <f t="shared" si="489"/>
        <v/>
      </c>
      <c r="CR544" s="29" t="str">
        <f t="shared" si="490"/>
        <v/>
      </c>
      <c r="CS544" s="4"/>
    </row>
    <row r="545" spans="1:97" ht="34.25" hidden="1" customHeight="1">
      <c r="B545" s="481"/>
      <c r="C545" s="118"/>
      <c r="D545" s="126" t="str">
        <f>+IFERROR(INDEX('DESEMPATE Y DISCAPACIDAD'!$D$3:$D$450,MATCH(C545,'DESEMPATE Y DISCAPACIDAD'!$C$3:$C$450,0)),"")</f>
        <v/>
      </c>
      <c r="E545" s="127" t="str">
        <f>IFERROR(IF(D545="","",IF(VLOOKUP(D545,'DESEMPATE Y DISCAPACIDAD'!D$3:$E$450,2,FALSE)=1,"N/A",IF(VLOOKUP(D545,'DESEMPATE Y DISCAPACIDAD'!D$3:$F$450,3,FALSE)="X","SI","NO"))),"")</f>
        <v/>
      </c>
      <c r="F545" s="121"/>
      <c r="G545" s="121"/>
      <c r="H545" s="125"/>
      <c r="I545" s="128"/>
      <c r="J545" s="125"/>
      <c r="K545" s="125"/>
      <c r="L545" s="3"/>
      <c r="M545" s="125"/>
      <c r="N545" s="125" t="str">
        <f t="shared" si="491"/>
        <v/>
      </c>
      <c r="O545" s="125" t="str">
        <f>IFERROR(IF(OR(J545="",L545=""),"",IF(J545="NO","NO",L545)),"")</f>
        <v/>
      </c>
      <c r="P545" s="125" t="str">
        <f t="shared" si="492"/>
        <v/>
      </c>
      <c r="Q545" s="125" t="str">
        <f t="shared" si="472"/>
        <v/>
      </c>
      <c r="R545" s="68"/>
      <c r="S545" s="129"/>
      <c r="T545" s="129"/>
      <c r="U545" s="125" t="str">
        <f t="shared" si="493"/>
        <v/>
      </c>
      <c r="V545" s="117" t="str">
        <f>IF(U545=2023,1160000,IFERROR(INDEX(SMMLV!$B$2:$B$101,MATCH(U545,SMMLV!$A$2:$A$101,0)),""))</f>
        <v/>
      </c>
      <c r="W545" s="117"/>
      <c r="X545" s="125"/>
      <c r="Y545" s="125"/>
      <c r="Z545" s="474"/>
      <c r="AA545" s="475"/>
      <c r="AB545" s="476"/>
      <c r="AC545" s="125" t="str">
        <f t="shared" si="494"/>
        <v/>
      </c>
      <c r="AD545" s="117" t="str">
        <f t="shared" si="473"/>
        <v/>
      </c>
      <c r="AE545" s="117" t="str">
        <f t="shared" si="469"/>
        <v/>
      </c>
      <c r="AF545" s="117" t="str">
        <f t="shared" si="461"/>
        <v/>
      </c>
      <c r="AG545" s="470"/>
      <c r="AH545" s="470"/>
      <c r="AI545" s="125" t="str">
        <f t="shared" si="462"/>
        <v/>
      </c>
      <c r="AJ545" s="470"/>
      <c r="AK545" s="470"/>
      <c r="AL545" s="472"/>
      <c r="AM545" s="496"/>
      <c r="AN545" s="125"/>
      <c r="AO545" s="490"/>
      <c r="AP545" s="125"/>
      <c r="AQ545" s="490"/>
      <c r="AR545" s="522"/>
      <c r="AS545" s="519"/>
      <c r="AT545" s="204"/>
      <c r="AU545" s="699"/>
      <c r="AV545" s="702"/>
      <c r="AW545" s="705"/>
      <c r="AX545" s="705"/>
      <c r="AY545" s="19"/>
      <c r="CB545" s="29" t="str">
        <f>IFERROR(IF(COUNTIF(AF543:AF552,"")=10,"",IF(COUNTIF(E543:E552,"N/A")&gt;0,IF(AF545&gt;=CMEMM1,AF545,0),"N/A")),"")</f>
        <v/>
      </c>
      <c r="CC545" s="4"/>
      <c r="CD545" s="4" t="str">
        <f>IFERROR(IF(COUNTIF(AF543:AF552,"")=10,"",IF(AF545="","",IF(AF545&gt;=CMEMM1,1,0))),"")</f>
        <v/>
      </c>
      <c r="CE545" s="4" t="str">
        <f>B543&amp;"-0"&amp;3</f>
        <v>P55-03</v>
      </c>
      <c r="CF545" s="4">
        <f>IFERROR(INDEX('DESEMPATE Y DISCAPACIDAD'!$D$3:$D$450,MATCH(CE545,'DESEMPATE Y DISCAPACIDAD'!$C$3:$C$450,0)),"")</f>
        <v>0</v>
      </c>
      <c r="CG545" s="4">
        <f>IF(OR(CE545="",CF545=""),"",SUMIF(D543:D552,CF545,CD543:CD552))</f>
        <v>0</v>
      </c>
      <c r="CH545" s="4" t="str">
        <f t="shared" si="435"/>
        <v>NO CUMPLE</v>
      </c>
      <c r="CI545" s="4">
        <f t="shared" si="495"/>
        <v>0</v>
      </c>
      <c r="CJ545" s="4"/>
      <c r="CK545" s="4"/>
      <c r="CL545" s="4" t="str">
        <f t="shared" si="470"/>
        <v/>
      </c>
      <c r="CM545" s="4" t="str">
        <f t="shared" si="471"/>
        <v/>
      </c>
      <c r="CN545" s="4" t="str">
        <f t="shared" si="496"/>
        <v/>
      </c>
      <c r="CO545" s="4"/>
      <c r="CP545" s="4"/>
      <c r="CQ545" s="29" t="str">
        <f t="shared" si="489"/>
        <v/>
      </c>
      <c r="CR545" s="29" t="str">
        <f t="shared" si="490"/>
        <v/>
      </c>
      <c r="CS545" s="4"/>
    </row>
    <row r="546" spans="1:97" ht="34.25" hidden="1" customHeight="1">
      <c r="B546" s="481"/>
      <c r="C546" s="118"/>
      <c r="D546" s="126" t="str">
        <f>+IFERROR(INDEX('DESEMPATE Y DISCAPACIDAD'!$D$3:$D$450,MATCH(C546,'DESEMPATE Y DISCAPACIDAD'!$C$3:$C$450,0)),"")</f>
        <v/>
      </c>
      <c r="E546" s="127" t="str">
        <f>IFERROR(IF(D546="","",IF(VLOOKUP(D546,'DESEMPATE Y DISCAPACIDAD'!D$3:$E$450,2,FALSE)=1,"N/A",IF(VLOOKUP(D546,'DESEMPATE Y DISCAPACIDAD'!D$3:$F$450,3,FALSE)="X","SI","NO"))),"")</f>
        <v/>
      </c>
      <c r="F546" s="141"/>
      <c r="G546" s="125"/>
      <c r="H546" s="125"/>
      <c r="I546" s="128"/>
      <c r="J546" s="125"/>
      <c r="K546" s="125"/>
      <c r="L546" s="3"/>
      <c r="M546" s="125"/>
      <c r="N546" s="125" t="str">
        <f t="shared" si="491"/>
        <v/>
      </c>
      <c r="O546" s="125" t="str">
        <f>IFERROR(IF(OR(J546="",L546=""),"",IF(J546="NO","NO",L546)),"")</f>
        <v/>
      </c>
      <c r="P546" s="125" t="str">
        <f t="shared" si="492"/>
        <v/>
      </c>
      <c r="Q546" s="125" t="str">
        <f t="shared" si="472"/>
        <v/>
      </c>
      <c r="R546" s="68"/>
      <c r="S546" s="129"/>
      <c r="T546" s="129"/>
      <c r="U546" s="125" t="str">
        <f t="shared" si="493"/>
        <v/>
      </c>
      <c r="V546" s="117" t="str">
        <f>IF(U546=2023,1160000,IFERROR(INDEX(SMMLV!$B$2:$B$101,MATCH(U546,SMMLV!$A$2:$A$101,0)),""))</f>
        <v/>
      </c>
      <c r="W546" s="117"/>
      <c r="X546" s="125"/>
      <c r="Y546" s="125"/>
      <c r="Z546" s="474"/>
      <c r="AA546" s="475"/>
      <c r="AB546" s="476"/>
      <c r="AC546" s="125" t="str">
        <f t="shared" si="494"/>
        <v/>
      </c>
      <c r="AD546" s="117" t="str">
        <f t="shared" si="473"/>
        <v/>
      </c>
      <c r="AE546" s="117" t="str">
        <f t="shared" si="469"/>
        <v/>
      </c>
      <c r="AF546" s="117" t="str">
        <f t="shared" si="461"/>
        <v/>
      </c>
      <c r="AG546" s="470"/>
      <c r="AH546" s="470"/>
      <c r="AI546" s="125" t="str">
        <f t="shared" si="462"/>
        <v/>
      </c>
      <c r="AJ546" s="470"/>
      <c r="AK546" s="470"/>
      <c r="AL546" s="472"/>
      <c r="AM546" s="496"/>
      <c r="AN546" s="125"/>
      <c r="AO546" s="490"/>
      <c r="AP546" s="125"/>
      <c r="AQ546" s="490"/>
      <c r="AR546" s="522"/>
      <c r="AS546" s="519"/>
      <c r="AT546" s="204"/>
      <c r="AU546" s="699"/>
      <c r="AV546" s="702"/>
      <c r="AW546" s="705"/>
      <c r="AX546" s="705"/>
      <c r="AY546" s="19"/>
      <c r="CB546" s="29" t="str">
        <f>IFERROR(IF(COUNTIF(AF543:AF552,"")=10,"",IF(COUNTIF(E543:E552,"N/A")&gt;0,IF(AF546&gt;=CMEMM1,AF546,0),"N/A")),"")</f>
        <v/>
      </c>
      <c r="CC546" s="4"/>
      <c r="CD546" s="4" t="str">
        <f>IFERROR(IF(COUNTIF(AF543:AF552,"")=10,"",IF(AF546="","",IF(AF546&gt;=CMEMM1,1,0))),"")</f>
        <v/>
      </c>
      <c r="CE546" s="4" t="str">
        <f>B543&amp;"-0"&amp;4</f>
        <v>P55-04</v>
      </c>
      <c r="CF546" s="4">
        <f>IFERROR(INDEX('DESEMPATE Y DISCAPACIDAD'!$D$3:$D$450,MATCH(CE546,'DESEMPATE Y DISCAPACIDAD'!$C$3:$C$450,0)),"")</f>
        <v>0</v>
      </c>
      <c r="CG546" s="4">
        <f>IF(OR(CE546="",CF546=""),"",SUMIF(D543:D552,CF546,CD543:CD552))</f>
        <v>0</v>
      </c>
      <c r="CH546" s="4" t="str">
        <f t="shared" ref="CH546:CH562" si="497">IF(OR(CE546="",CF546="",CG546=""),"",IF(CG546&gt;0,"CUMPLE","NO CUMPLE"))</f>
        <v>NO CUMPLE</v>
      </c>
      <c r="CI546" s="4">
        <f t="shared" si="495"/>
        <v>0</v>
      </c>
      <c r="CJ546" s="4"/>
      <c r="CK546" s="4"/>
      <c r="CL546" s="4" t="str">
        <f t="shared" si="470"/>
        <v/>
      </c>
      <c r="CM546" s="4" t="str">
        <f t="shared" si="471"/>
        <v/>
      </c>
      <c r="CN546" s="4" t="str">
        <f t="shared" si="496"/>
        <v/>
      </c>
      <c r="CO546" s="4"/>
      <c r="CP546" s="4"/>
      <c r="CQ546" s="29" t="str">
        <f t="shared" si="489"/>
        <v/>
      </c>
      <c r="CR546" s="29" t="str">
        <f t="shared" si="490"/>
        <v/>
      </c>
      <c r="CS546" s="4"/>
    </row>
    <row r="547" spans="1:97" ht="34.25" hidden="1" customHeight="1">
      <c r="B547" s="481"/>
      <c r="C547" s="118"/>
      <c r="D547" s="126" t="str">
        <f>+IFERROR(INDEX('DESEMPATE Y DISCAPACIDAD'!$D$3:$D$450,MATCH(C547,'DESEMPATE Y DISCAPACIDAD'!$C$3:$C$450,0)),"")</f>
        <v/>
      </c>
      <c r="E547" s="127" t="str">
        <f>IFERROR(IF(D547="","",IF(VLOOKUP(D547,'DESEMPATE Y DISCAPACIDAD'!D$3:$E$450,2,FALSE)=1,"N/A",IF(VLOOKUP(D547,'DESEMPATE Y DISCAPACIDAD'!D$3:$F$450,3,FALSE)="X","SI","NO"))),"")</f>
        <v/>
      </c>
      <c r="F547" s="125"/>
      <c r="G547" s="125"/>
      <c r="H547" s="125"/>
      <c r="I547" s="128"/>
      <c r="J547" s="125"/>
      <c r="K547" s="125"/>
      <c r="L547" s="3"/>
      <c r="M547" s="125"/>
      <c r="N547" s="125" t="str">
        <f t="shared" si="491"/>
        <v/>
      </c>
      <c r="O547" s="125" t="str">
        <f t="shared" ref="O547:O552" si="498">IFERROR(IF(OR(J547="",L547=""),"",IF(J547="NO","NO",L547)),"")</f>
        <v/>
      </c>
      <c r="P547" s="125" t="str">
        <f t="shared" si="492"/>
        <v/>
      </c>
      <c r="Q547" s="125" t="str">
        <f t="shared" si="472"/>
        <v/>
      </c>
      <c r="R547" s="68"/>
      <c r="S547" s="129"/>
      <c r="T547" s="129"/>
      <c r="U547" s="125" t="str">
        <f t="shared" si="493"/>
        <v/>
      </c>
      <c r="V547" s="117" t="str">
        <f>IF(U547=2023,1160000,IFERROR(INDEX(SMMLV!$B$2:$B$101,MATCH(U547,SMMLV!$A$2:$A$101,0)),""))</f>
        <v/>
      </c>
      <c r="W547" s="117"/>
      <c r="X547" s="125"/>
      <c r="Y547" s="125"/>
      <c r="Z547" s="474"/>
      <c r="AA547" s="475"/>
      <c r="AB547" s="476"/>
      <c r="AC547" s="125" t="str">
        <f t="shared" si="494"/>
        <v/>
      </c>
      <c r="AD547" s="117" t="str">
        <f t="shared" si="473"/>
        <v/>
      </c>
      <c r="AE547" s="117" t="str">
        <f t="shared" si="469"/>
        <v/>
      </c>
      <c r="AF547" s="117" t="str">
        <f t="shared" si="461"/>
        <v/>
      </c>
      <c r="AG547" s="470"/>
      <c r="AH547" s="470"/>
      <c r="AI547" s="125" t="str">
        <f t="shared" si="462"/>
        <v/>
      </c>
      <c r="AJ547" s="470"/>
      <c r="AK547" s="470"/>
      <c r="AL547" s="472"/>
      <c r="AM547" s="496"/>
      <c r="AN547" s="125"/>
      <c r="AO547" s="490"/>
      <c r="AP547" s="125"/>
      <c r="AQ547" s="490"/>
      <c r="AR547" s="522"/>
      <c r="AS547" s="519"/>
      <c r="AT547" s="204"/>
      <c r="AU547" s="699"/>
      <c r="AV547" s="702"/>
      <c r="AW547" s="705"/>
      <c r="AX547" s="705"/>
      <c r="AY547" s="19"/>
      <c r="CB547" s="29" t="str">
        <f>IFERROR(IF(COUNTIF(AF543:AF552,"")=10,"",IF(COUNTIF(E543:E552,"N/A")&gt;0,IF(AF547&gt;=CMEMM1,AF547,0),"N/A")),"")</f>
        <v/>
      </c>
      <c r="CC547" s="4"/>
      <c r="CD547" s="4" t="str">
        <f>IFERROR(IF(COUNTIF(AF543:AF552,"")=10,"",IF(AF547="","",IF(AF547&gt;=CMEMM1,1,0))),"")</f>
        <v/>
      </c>
      <c r="CE547" s="4" t="str">
        <f>B543&amp;"-0"&amp;5</f>
        <v>P55-05</v>
      </c>
      <c r="CF547" s="4">
        <f>IFERROR(INDEX('DESEMPATE Y DISCAPACIDAD'!$D$3:$D$450,MATCH(CE547,'DESEMPATE Y DISCAPACIDAD'!$C$3:$C$450,0)),"")</f>
        <v>0</v>
      </c>
      <c r="CG547" s="4">
        <f>IF(OR(CE547="",CF547=""),"",SUMIF(D543:D552,CF547,CD543:CD552))</f>
        <v>0</v>
      </c>
      <c r="CH547" s="4" t="str">
        <f t="shared" si="497"/>
        <v>NO CUMPLE</v>
      </c>
      <c r="CI547" s="4">
        <f t="shared" si="495"/>
        <v>0</v>
      </c>
      <c r="CJ547" s="4"/>
      <c r="CK547" s="4"/>
      <c r="CL547" s="4" t="str">
        <f t="shared" si="470"/>
        <v/>
      </c>
      <c r="CM547" s="4" t="str">
        <f t="shared" si="471"/>
        <v/>
      </c>
      <c r="CN547" s="4" t="str">
        <f t="shared" si="496"/>
        <v/>
      </c>
      <c r="CO547" s="4"/>
      <c r="CP547" s="4"/>
      <c r="CQ547" s="29" t="str">
        <f t="shared" si="489"/>
        <v/>
      </c>
      <c r="CR547" s="29" t="str">
        <f t="shared" si="490"/>
        <v/>
      </c>
      <c r="CS547" s="4"/>
    </row>
    <row r="548" spans="1:97" ht="34.25" hidden="1" customHeight="1">
      <c r="B548" s="481"/>
      <c r="C548" s="118"/>
      <c r="D548" s="126" t="str">
        <f>+IFERROR(INDEX('DESEMPATE Y DISCAPACIDAD'!$D$3:$D$450,MATCH(C548,'DESEMPATE Y DISCAPACIDAD'!$C$3:$C$450,0)),"")</f>
        <v/>
      </c>
      <c r="E548" s="127" t="str">
        <f>IFERROR(IF(D548="","",IF(VLOOKUP(D548,'DESEMPATE Y DISCAPACIDAD'!D$3:$E$450,2,FALSE)=1,"N/A",IF(VLOOKUP(D548,'DESEMPATE Y DISCAPACIDAD'!D$3:$F$450,3,FALSE)="X","SI","NO"))),"")</f>
        <v/>
      </c>
      <c r="F548" s="125"/>
      <c r="G548" s="125"/>
      <c r="H548" s="125"/>
      <c r="I548" s="128"/>
      <c r="J548" s="125"/>
      <c r="K548" s="125"/>
      <c r="L548" s="3"/>
      <c r="M548" s="125"/>
      <c r="N548" s="125" t="str">
        <f t="shared" si="491"/>
        <v/>
      </c>
      <c r="O548" s="125" t="str">
        <f t="shared" si="498"/>
        <v/>
      </c>
      <c r="P548" s="125" t="str">
        <f t="shared" si="492"/>
        <v/>
      </c>
      <c r="Q548" s="125" t="str">
        <f t="shared" si="472"/>
        <v/>
      </c>
      <c r="R548" s="68"/>
      <c r="S548" s="129"/>
      <c r="T548" s="129"/>
      <c r="U548" s="125" t="str">
        <f t="shared" si="493"/>
        <v/>
      </c>
      <c r="V548" s="117" t="str">
        <f>IF(U548=2023,1160000,IFERROR(INDEX(SMMLV!$B$2:$B$101,MATCH(U548,SMMLV!$A$2:$A$101,0)),""))</f>
        <v/>
      </c>
      <c r="W548" s="117"/>
      <c r="X548" s="125"/>
      <c r="Y548" s="125"/>
      <c r="Z548" s="474"/>
      <c r="AA548" s="475"/>
      <c r="AB548" s="476"/>
      <c r="AC548" s="125" t="str">
        <f t="shared" si="494"/>
        <v/>
      </c>
      <c r="AD548" s="117" t="str">
        <f t="shared" si="473"/>
        <v/>
      </c>
      <c r="AE548" s="117" t="str">
        <f t="shared" si="469"/>
        <v/>
      </c>
      <c r="AF548" s="117" t="str">
        <f t="shared" si="461"/>
        <v/>
      </c>
      <c r="AG548" s="470"/>
      <c r="AH548" s="470"/>
      <c r="AI548" s="125" t="str">
        <f t="shared" si="462"/>
        <v/>
      </c>
      <c r="AJ548" s="470"/>
      <c r="AK548" s="470"/>
      <c r="AL548" s="472"/>
      <c r="AM548" s="496"/>
      <c r="AN548" s="125"/>
      <c r="AO548" s="490"/>
      <c r="AP548" s="125"/>
      <c r="AQ548" s="490"/>
      <c r="AR548" s="522"/>
      <c r="AS548" s="519"/>
      <c r="AT548" s="204"/>
      <c r="AU548" s="699"/>
      <c r="AV548" s="702"/>
      <c r="AW548" s="705"/>
      <c r="AX548" s="705"/>
      <c r="AY548" s="19"/>
      <c r="CB548" s="29" t="str">
        <f>IFERROR(IF(COUNTIF(AF543:AF552,"")=10,"",IF(COUNTIF(E543:E552,"N/A")&gt;0,IF(AF548&gt;=CMEMM1,AF548,0),"N/A")),"")</f>
        <v/>
      </c>
      <c r="CC548" s="4"/>
      <c r="CD548" s="4" t="str">
        <f>IFERROR(IF(COUNTIF(AF543:AF552,"")=10,"",IF(AF548="","",IF(AF548&gt;=CMEMM1,1,0))),"")</f>
        <v/>
      </c>
      <c r="CE548" s="4" t="str">
        <f>B543&amp;"-0"&amp;6</f>
        <v>P55-06</v>
      </c>
      <c r="CF548" s="4">
        <f>IFERROR(INDEX('DESEMPATE Y DISCAPACIDAD'!$D$3:$D$450,MATCH(CE548,'DESEMPATE Y DISCAPACIDAD'!$C$3:$C$450,0)),"")</f>
        <v>0</v>
      </c>
      <c r="CG548" s="4">
        <f>IF(OR(CE548="",CF548=""),"",SUMIF(D543:D552,CF548,CD543:CD552))</f>
        <v>0</v>
      </c>
      <c r="CH548" s="4" t="str">
        <f t="shared" si="497"/>
        <v>NO CUMPLE</v>
      </c>
      <c r="CI548" s="4">
        <f t="shared" si="495"/>
        <v>0</v>
      </c>
      <c r="CJ548" s="4"/>
      <c r="CK548" s="4"/>
      <c r="CL548" s="4" t="str">
        <f t="shared" si="470"/>
        <v/>
      </c>
      <c r="CM548" s="4" t="str">
        <f t="shared" si="471"/>
        <v/>
      </c>
      <c r="CN548" s="4" t="str">
        <f t="shared" si="496"/>
        <v/>
      </c>
      <c r="CO548" s="4"/>
      <c r="CP548" s="4"/>
      <c r="CQ548" s="29" t="str">
        <f t="shared" si="489"/>
        <v/>
      </c>
      <c r="CR548" s="29" t="str">
        <f t="shared" si="490"/>
        <v/>
      </c>
      <c r="CS548" s="4"/>
    </row>
    <row r="549" spans="1:97" ht="34.25" hidden="1" customHeight="1">
      <c r="B549" s="481"/>
      <c r="C549" s="118"/>
      <c r="D549" s="126" t="str">
        <f>+IFERROR(INDEX('DESEMPATE Y DISCAPACIDAD'!$D$3:$D$450,MATCH(C549,'DESEMPATE Y DISCAPACIDAD'!$C$3:$C$450,0)),"")</f>
        <v/>
      </c>
      <c r="E549" s="127" t="str">
        <f>IFERROR(IF(D549="","",IF(VLOOKUP(D549,'DESEMPATE Y DISCAPACIDAD'!D$3:$E$450,2,FALSE)=1,"N/A",IF(VLOOKUP(D549,'DESEMPATE Y DISCAPACIDAD'!D$3:$F$450,3,FALSE)="X","SI","NO"))),"")</f>
        <v/>
      </c>
      <c r="F549" s="125"/>
      <c r="G549" s="125"/>
      <c r="H549" s="125"/>
      <c r="I549" s="128"/>
      <c r="J549" s="125"/>
      <c r="K549" s="125"/>
      <c r="L549" s="3"/>
      <c r="M549" s="125"/>
      <c r="N549" s="125" t="str">
        <f t="shared" si="491"/>
        <v/>
      </c>
      <c r="O549" s="125" t="str">
        <f t="shared" si="498"/>
        <v/>
      </c>
      <c r="P549" s="125" t="str">
        <f t="shared" si="492"/>
        <v/>
      </c>
      <c r="Q549" s="125" t="str">
        <f t="shared" si="472"/>
        <v/>
      </c>
      <c r="R549" s="68"/>
      <c r="S549" s="129"/>
      <c r="T549" s="129"/>
      <c r="U549" s="125" t="str">
        <f t="shared" si="493"/>
        <v/>
      </c>
      <c r="V549" s="117" t="str">
        <f>IF(U549=2023,1160000,IFERROR(INDEX(SMMLV!$B$2:$B$101,MATCH(U549,SMMLV!$A$2:$A$101,0)),""))</f>
        <v/>
      </c>
      <c r="W549" s="117"/>
      <c r="X549" s="125"/>
      <c r="Y549" s="125"/>
      <c r="Z549" s="474"/>
      <c r="AA549" s="475"/>
      <c r="AB549" s="476"/>
      <c r="AC549" s="125" t="str">
        <f t="shared" si="494"/>
        <v/>
      </c>
      <c r="AD549" s="117" t="str">
        <f t="shared" si="473"/>
        <v/>
      </c>
      <c r="AE549" s="117" t="str">
        <f t="shared" si="469"/>
        <v/>
      </c>
      <c r="AF549" s="117" t="str">
        <f t="shared" si="461"/>
        <v/>
      </c>
      <c r="AG549" s="470"/>
      <c r="AH549" s="470"/>
      <c r="AI549" s="125" t="str">
        <f t="shared" si="462"/>
        <v/>
      </c>
      <c r="AJ549" s="470"/>
      <c r="AK549" s="470"/>
      <c r="AL549" s="472"/>
      <c r="AM549" s="496"/>
      <c r="AN549" s="125"/>
      <c r="AO549" s="490"/>
      <c r="AP549" s="125"/>
      <c r="AQ549" s="490"/>
      <c r="AR549" s="522"/>
      <c r="AS549" s="519"/>
      <c r="AT549" s="204"/>
      <c r="AU549" s="699"/>
      <c r="AV549" s="702"/>
      <c r="AW549" s="705"/>
      <c r="AX549" s="705"/>
      <c r="AY549" s="19"/>
      <c r="CB549" s="29" t="str">
        <f>IFERROR(IF(COUNTIF(AF543:AF552,"")=10,"",IF(COUNTIF(E543:E552,"N/A")&gt;0,IF(AF549&gt;=CMEMM1,AF549,0),"N/A")),"")</f>
        <v/>
      </c>
      <c r="CC549" s="4"/>
      <c r="CD549" s="4" t="str">
        <f>IFERROR(IF(COUNTIF(AF543:AF552,"")=10,"",IF(AF549="","",IF(AF549&gt;=CMEMM1,1,0))),"")</f>
        <v/>
      </c>
      <c r="CE549" s="4" t="str">
        <f>B543&amp;"-0"&amp;7</f>
        <v>P55-07</v>
      </c>
      <c r="CF549" s="4" t="str">
        <f>IFERROR(INDEX('DESEMPATE Y DISCAPACIDAD'!$D$3:$D$450,MATCH(CE549,'DESEMPATE Y DISCAPACIDAD'!$C$3:$C$450,0)),"")</f>
        <v/>
      </c>
      <c r="CG549" s="4" t="str">
        <f>IF(OR(CE549="",CF549=""),"",SUMIF(D543:D552,CF549,CD543:CD552))</f>
        <v/>
      </c>
      <c r="CH549" s="4" t="str">
        <f t="shared" si="497"/>
        <v/>
      </c>
      <c r="CI549" s="4" t="str">
        <f t="shared" si="495"/>
        <v/>
      </c>
      <c r="CJ549" s="4"/>
      <c r="CK549" s="4"/>
      <c r="CL549" s="4" t="str">
        <f t="shared" si="470"/>
        <v/>
      </c>
      <c r="CM549" s="4" t="str">
        <f t="shared" si="471"/>
        <v/>
      </c>
      <c r="CN549" s="4" t="str">
        <f t="shared" si="496"/>
        <v/>
      </c>
      <c r="CO549" s="4"/>
      <c r="CP549" s="4"/>
      <c r="CQ549" s="29" t="str">
        <f t="shared" si="489"/>
        <v/>
      </c>
      <c r="CR549" s="29" t="str">
        <f t="shared" si="490"/>
        <v/>
      </c>
      <c r="CS549" s="4"/>
    </row>
    <row r="550" spans="1:97" ht="34.25" hidden="1" customHeight="1">
      <c r="B550" s="481"/>
      <c r="C550" s="118"/>
      <c r="D550" s="126" t="str">
        <f>+IFERROR(INDEX('DESEMPATE Y DISCAPACIDAD'!$D$3:$D$450,MATCH(C550,'DESEMPATE Y DISCAPACIDAD'!$C$3:$C$450,0)),"")</f>
        <v/>
      </c>
      <c r="E550" s="127" t="str">
        <f>IFERROR(IF(D550="","",IF(VLOOKUP(D550,'DESEMPATE Y DISCAPACIDAD'!D$3:$E$450,2,FALSE)=1,"N/A",IF(VLOOKUP(D550,'DESEMPATE Y DISCAPACIDAD'!D$3:$F$450,3,FALSE)="X","SI","NO"))),"")</f>
        <v/>
      </c>
      <c r="F550" s="125"/>
      <c r="G550" s="125"/>
      <c r="H550" s="125"/>
      <c r="I550" s="128"/>
      <c r="J550" s="125"/>
      <c r="K550" s="125"/>
      <c r="L550" s="3"/>
      <c r="M550" s="125"/>
      <c r="N550" s="125" t="str">
        <f t="shared" si="491"/>
        <v/>
      </c>
      <c r="O550" s="125" t="str">
        <f t="shared" si="498"/>
        <v/>
      </c>
      <c r="P550" s="125" t="str">
        <f t="shared" si="492"/>
        <v/>
      </c>
      <c r="Q550" s="125" t="str">
        <f t="shared" si="472"/>
        <v/>
      </c>
      <c r="R550" s="68"/>
      <c r="S550" s="129"/>
      <c r="T550" s="129"/>
      <c r="U550" s="125" t="str">
        <f t="shared" si="493"/>
        <v/>
      </c>
      <c r="V550" s="117" t="str">
        <f>IF(U550=2023,1160000,IFERROR(INDEX(SMMLV!$B$2:$B$101,MATCH(U550,SMMLV!$A$2:$A$101,0)),""))</f>
        <v/>
      </c>
      <c r="W550" s="117"/>
      <c r="X550" s="125"/>
      <c r="Y550" s="125"/>
      <c r="Z550" s="474"/>
      <c r="AA550" s="475"/>
      <c r="AB550" s="476"/>
      <c r="AC550" s="125" t="str">
        <f t="shared" si="494"/>
        <v/>
      </c>
      <c r="AD550" s="117" t="str">
        <f t="shared" si="473"/>
        <v/>
      </c>
      <c r="AE550" s="117" t="str">
        <f t="shared" si="469"/>
        <v/>
      </c>
      <c r="AF550" s="117" t="str">
        <f t="shared" si="461"/>
        <v/>
      </c>
      <c r="AG550" s="470"/>
      <c r="AH550" s="470"/>
      <c r="AI550" s="125" t="str">
        <f t="shared" si="462"/>
        <v/>
      </c>
      <c r="AJ550" s="470"/>
      <c r="AK550" s="470"/>
      <c r="AL550" s="472"/>
      <c r="AM550" s="496"/>
      <c r="AN550" s="125"/>
      <c r="AO550" s="490"/>
      <c r="AP550" s="125"/>
      <c r="AQ550" s="490"/>
      <c r="AR550" s="522"/>
      <c r="AS550" s="519"/>
      <c r="AT550" s="204"/>
      <c r="AU550" s="699"/>
      <c r="AV550" s="702"/>
      <c r="AW550" s="705"/>
      <c r="AX550" s="705"/>
      <c r="AY550" s="19"/>
      <c r="CB550" s="29" t="str">
        <f>IFERROR(IF(COUNTIF(AF543:AF552,"")=10,"",IF(COUNTIF(E543:E552,"N/A")&gt;0,IF(AF550&gt;=CMEMM1,AF550,0),"N/A")),"")</f>
        <v/>
      </c>
      <c r="CC550" s="4"/>
      <c r="CD550" s="4" t="str">
        <f>IFERROR(IF(COUNTIF(AF543:AF552,"")=10,"",IF(AF550="","",IF(AF550&gt;=CMEMM1,1,0))),"")</f>
        <v/>
      </c>
      <c r="CE550" s="4" t="str">
        <f>B543&amp;"-0"&amp;8</f>
        <v>P55-08</v>
      </c>
      <c r="CF550" s="4" t="str">
        <f>IFERROR(INDEX('DESEMPATE Y DISCAPACIDAD'!$D$3:$D$450,MATCH(CE550,'DESEMPATE Y DISCAPACIDAD'!$C$3:$C$450,0)),"")</f>
        <v/>
      </c>
      <c r="CG550" s="4" t="str">
        <f>IF(OR(CE550="",CF550=""),"",SUMIF(D543:D552,CF550,CD543:CD552))</f>
        <v/>
      </c>
      <c r="CH550" s="4" t="str">
        <f t="shared" si="497"/>
        <v/>
      </c>
      <c r="CI550" s="4" t="str">
        <f t="shared" si="495"/>
        <v/>
      </c>
      <c r="CJ550" s="4"/>
      <c r="CK550" s="4"/>
      <c r="CL550" s="4" t="str">
        <f t="shared" si="470"/>
        <v/>
      </c>
      <c r="CM550" s="4" t="str">
        <f t="shared" si="471"/>
        <v/>
      </c>
      <c r="CN550" s="4" t="str">
        <f t="shared" si="496"/>
        <v/>
      </c>
      <c r="CO550" s="4"/>
      <c r="CP550" s="4"/>
      <c r="CQ550" s="29" t="str">
        <f t="shared" si="489"/>
        <v/>
      </c>
      <c r="CR550" s="29" t="str">
        <f t="shared" si="490"/>
        <v/>
      </c>
      <c r="CS550" s="4"/>
    </row>
    <row r="551" spans="1:97" ht="34.25" hidden="1" customHeight="1">
      <c r="B551" s="481"/>
      <c r="C551" s="118"/>
      <c r="D551" s="126" t="str">
        <f>+IFERROR(INDEX('DESEMPATE Y DISCAPACIDAD'!$D$3:$D$450,MATCH(C551,'DESEMPATE Y DISCAPACIDAD'!$C$3:$C$450,0)),"")</f>
        <v/>
      </c>
      <c r="E551" s="127" t="str">
        <f>IFERROR(IF(D551="","",IF(VLOOKUP(D551,'DESEMPATE Y DISCAPACIDAD'!D$3:$E$450,2,FALSE)=1,"N/A",IF(VLOOKUP(D551,'DESEMPATE Y DISCAPACIDAD'!D$3:$F$450,3,FALSE)="X","SI","NO"))),"")</f>
        <v/>
      </c>
      <c r="F551" s="125"/>
      <c r="G551" s="125"/>
      <c r="H551" s="125"/>
      <c r="I551" s="128"/>
      <c r="J551" s="125"/>
      <c r="K551" s="125"/>
      <c r="L551" s="3"/>
      <c r="M551" s="125"/>
      <c r="N551" s="125" t="str">
        <f t="shared" si="491"/>
        <v/>
      </c>
      <c r="O551" s="125" t="str">
        <f t="shared" si="498"/>
        <v/>
      </c>
      <c r="P551" s="125" t="str">
        <f t="shared" si="492"/>
        <v/>
      </c>
      <c r="Q551" s="125" t="str">
        <f t="shared" si="472"/>
        <v/>
      </c>
      <c r="R551" s="68"/>
      <c r="S551" s="129"/>
      <c r="T551" s="129"/>
      <c r="U551" s="125" t="str">
        <f t="shared" si="493"/>
        <v/>
      </c>
      <c r="V551" s="117" t="str">
        <f>IF(U551=2023,1160000,IFERROR(INDEX(SMMLV!$B$2:$B$101,MATCH(U551,SMMLV!$A$2:$A$101,0)),""))</f>
        <v/>
      </c>
      <c r="W551" s="117"/>
      <c r="X551" s="125"/>
      <c r="Y551" s="125"/>
      <c r="Z551" s="474"/>
      <c r="AA551" s="475"/>
      <c r="AB551" s="476"/>
      <c r="AC551" s="125" t="str">
        <f t="shared" si="494"/>
        <v/>
      </c>
      <c r="AD551" s="117" t="str">
        <f t="shared" si="473"/>
        <v/>
      </c>
      <c r="AE551" s="117" t="str">
        <f t="shared" si="469"/>
        <v/>
      </c>
      <c r="AF551" s="117" t="str">
        <f t="shared" si="461"/>
        <v/>
      </c>
      <c r="AG551" s="470"/>
      <c r="AH551" s="470"/>
      <c r="AI551" s="125" t="str">
        <f t="shared" si="462"/>
        <v/>
      </c>
      <c r="AJ551" s="470"/>
      <c r="AK551" s="470"/>
      <c r="AL551" s="472"/>
      <c r="AM551" s="496"/>
      <c r="AN551" s="125"/>
      <c r="AO551" s="490"/>
      <c r="AP551" s="125"/>
      <c r="AQ551" s="490"/>
      <c r="AR551" s="522"/>
      <c r="AS551" s="519"/>
      <c r="AT551" s="204"/>
      <c r="AU551" s="699"/>
      <c r="AV551" s="702"/>
      <c r="AW551" s="705"/>
      <c r="AX551" s="705"/>
      <c r="AY551" s="19"/>
      <c r="CB551" s="29" t="str">
        <f>IFERROR(IF(COUNTIF(AF543:AF552,"")=10,"",IF(COUNTIF(E543:E552,"N/A")&gt;0,IF(AF551&gt;=CMEMM1,AF551,0),"N/A")),"")</f>
        <v/>
      </c>
      <c r="CC551" s="4"/>
      <c r="CD551" s="4" t="str">
        <f>IFERROR(IF(COUNTIF(AF543:AF552,"")=10,"",IF(AF551="","",IF(AF551&gt;=CMEMM1,1,0))),"")</f>
        <v/>
      </c>
      <c r="CE551" s="4" t="str">
        <f>B543&amp;"-0"&amp;9</f>
        <v>P55-09</v>
      </c>
      <c r="CF551" s="4" t="str">
        <f>IFERROR(INDEX('DESEMPATE Y DISCAPACIDAD'!$D$3:$D$450,MATCH(CE551,'DESEMPATE Y DISCAPACIDAD'!$C$3:$C$450,0)),"")</f>
        <v/>
      </c>
      <c r="CG551" s="4" t="str">
        <f>IF(OR(CE551="",CF551=""),"",SUMIF(D543:D552,CF551,CD543:CD552))</f>
        <v/>
      </c>
      <c r="CH551" s="4" t="str">
        <f t="shared" si="497"/>
        <v/>
      </c>
      <c r="CI551" s="4" t="str">
        <f t="shared" si="495"/>
        <v/>
      </c>
      <c r="CJ551" s="4"/>
      <c r="CK551" s="4"/>
      <c r="CL551" s="4" t="str">
        <f t="shared" si="470"/>
        <v/>
      </c>
      <c r="CM551" s="4" t="str">
        <f t="shared" si="471"/>
        <v/>
      </c>
      <c r="CN551" s="4" t="str">
        <f t="shared" si="496"/>
        <v/>
      </c>
      <c r="CO551" s="4"/>
      <c r="CP551" s="4"/>
      <c r="CQ551" s="29" t="str">
        <f t="shared" si="489"/>
        <v/>
      </c>
      <c r="CR551" s="29" t="str">
        <f t="shared" si="490"/>
        <v/>
      </c>
      <c r="CS551" s="4"/>
    </row>
    <row r="552" spans="1:97" ht="34.25" hidden="1" customHeight="1" thickBot="1">
      <c r="B552" s="482"/>
      <c r="C552" s="130"/>
      <c r="D552" s="131" t="str">
        <f>+IFERROR(INDEX('DESEMPATE Y DISCAPACIDAD'!$D$3:$D$450,MATCH(C552,'DESEMPATE Y DISCAPACIDAD'!$C$3:$C$450,0)),"")</f>
        <v/>
      </c>
      <c r="E552" s="132" t="str">
        <f>IFERROR(IF(D552="","",IF(VLOOKUP(D552,'DESEMPATE Y DISCAPACIDAD'!D$3:$E$450,2,FALSE)=1,"N/A",IF(VLOOKUP(D552,'DESEMPATE Y DISCAPACIDAD'!D$3:$F$450,3,FALSE)="X","SI","NO"))),"")</f>
        <v/>
      </c>
      <c r="F552" s="133"/>
      <c r="G552" s="133"/>
      <c r="H552" s="133"/>
      <c r="I552" s="134"/>
      <c r="J552" s="133"/>
      <c r="K552" s="133"/>
      <c r="L552" s="5"/>
      <c r="M552" s="133"/>
      <c r="N552" s="133" t="str">
        <f t="shared" si="491"/>
        <v/>
      </c>
      <c r="O552" s="133" t="str">
        <f t="shared" si="498"/>
        <v/>
      </c>
      <c r="P552" s="133" t="str">
        <f t="shared" si="492"/>
        <v/>
      </c>
      <c r="Q552" s="133" t="str">
        <f t="shared" si="472"/>
        <v/>
      </c>
      <c r="R552" s="104"/>
      <c r="S552" s="135"/>
      <c r="T552" s="135"/>
      <c r="U552" s="133" t="str">
        <f t="shared" si="493"/>
        <v/>
      </c>
      <c r="V552" s="136" t="str">
        <f>IF(U552=2023,1160000,IFERROR(INDEX(SMMLV!$B$2:$B$101,MATCH(U552,SMMLV!$A$2:$A$101,0)),""))</f>
        <v/>
      </c>
      <c r="W552" s="136"/>
      <c r="X552" s="133"/>
      <c r="Y552" s="133"/>
      <c r="Z552" s="487"/>
      <c r="AA552" s="488"/>
      <c r="AB552" s="489"/>
      <c r="AC552" s="133" t="str">
        <f t="shared" si="494"/>
        <v/>
      </c>
      <c r="AD552" s="136" t="str">
        <f t="shared" si="473"/>
        <v/>
      </c>
      <c r="AE552" s="117" t="str">
        <f t="shared" si="469"/>
        <v/>
      </c>
      <c r="AF552" s="136" t="str">
        <f t="shared" si="461"/>
        <v/>
      </c>
      <c r="AG552" s="471"/>
      <c r="AH552" s="471"/>
      <c r="AI552" s="133" t="str">
        <f t="shared" si="462"/>
        <v/>
      </c>
      <c r="AJ552" s="471"/>
      <c r="AK552" s="471"/>
      <c r="AL552" s="473"/>
      <c r="AM552" s="497"/>
      <c r="AN552" s="133"/>
      <c r="AO552" s="491"/>
      <c r="AP552" s="133"/>
      <c r="AQ552" s="491"/>
      <c r="AR552" s="523"/>
      <c r="AS552" s="520"/>
      <c r="AT552" s="206"/>
      <c r="AU552" s="700"/>
      <c r="AV552" s="703"/>
      <c r="AW552" s="706"/>
      <c r="AX552" s="706"/>
      <c r="AY552" s="19"/>
      <c r="CB552" s="29" t="str">
        <f>IFERROR(IF(COUNTIF(AF543:AF552,"")=10,"",IF(COUNTIF(E543:E552,"N/A")&gt;0,IF(AF552&gt;=CMEMM1,AF552,0),"N/A")),"")</f>
        <v/>
      </c>
      <c r="CC552" s="4"/>
      <c r="CD552" s="4" t="str">
        <f>IFERROR(IF(COUNTIF(AF543:AF552,"")=10,"",IF(AF552="","",IF(AF552&gt;=CMEMM1,1,0))),"")</f>
        <v/>
      </c>
      <c r="CE552" s="4" t="str">
        <f>B543&amp;"-"&amp;10</f>
        <v>P55-10</v>
      </c>
      <c r="CF552" s="4" t="str">
        <f>IFERROR(INDEX('DESEMPATE Y DISCAPACIDAD'!$D$3:$D$450,MATCH(CE552,'DESEMPATE Y DISCAPACIDAD'!$C$3:$C$450,0)),"")</f>
        <v/>
      </c>
      <c r="CG552" s="4" t="str">
        <f>IF(OR(CE552="",CF552=""),"",SUMIF(D543:D552,CF552,CD543:CD552))</f>
        <v/>
      </c>
      <c r="CH552" s="4" t="str">
        <f t="shared" si="497"/>
        <v/>
      </c>
      <c r="CI552" s="4" t="str">
        <f t="shared" si="495"/>
        <v/>
      </c>
      <c r="CJ552" s="4"/>
      <c r="CK552" s="4"/>
      <c r="CL552" s="4" t="str">
        <f t="shared" si="470"/>
        <v/>
      </c>
      <c r="CM552" s="4" t="str">
        <f t="shared" si="471"/>
        <v/>
      </c>
      <c r="CN552" s="4" t="str">
        <f t="shared" si="496"/>
        <v/>
      </c>
      <c r="CO552" s="4"/>
      <c r="CP552" s="4"/>
      <c r="CQ552" s="29" t="str">
        <f t="shared" si="489"/>
        <v/>
      </c>
      <c r="CR552" s="29" t="str">
        <f t="shared" si="490"/>
        <v/>
      </c>
      <c r="CS552" s="4"/>
    </row>
    <row r="553" spans="1:97" ht="34.25" hidden="1" customHeight="1">
      <c r="A553" s="4" t="str">
        <f>"A"&amp;B553</f>
        <v>AP56</v>
      </c>
      <c r="B553" s="480" t="s">
        <v>317</v>
      </c>
      <c r="C553" s="108"/>
      <c r="D553" s="119" t="str">
        <f>+IFERROR(INDEX('DESEMPATE Y DISCAPACIDAD'!$D$3:$D$450,MATCH(C553,'DESEMPATE Y DISCAPACIDAD'!$C$3:$C$450,0)),"")</f>
        <v/>
      </c>
      <c r="E553" s="120" t="str">
        <f>IFERROR(IF(D553="","",IF(VLOOKUP(D553,'DESEMPATE Y DISCAPACIDAD'!D$3:$E$450,2,FALSE)=1,"N/A",IF(VLOOKUP(D553,'DESEMPATE Y DISCAPACIDAD'!D$3:$F$450,3,FALSE)="X","SI","NO"))),"")</f>
        <v/>
      </c>
      <c r="F553" s="125"/>
      <c r="G553" s="125"/>
      <c r="H553" s="121"/>
      <c r="I553" s="122"/>
      <c r="J553" s="121"/>
      <c r="K553" s="121"/>
      <c r="L553" s="179"/>
      <c r="M553" s="121"/>
      <c r="N553" s="121" t="str">
        <f>IFERROR(IF(OR(J553="",K553=""),"",IF(J553="NO","NO",K553)),"")</f>
        <v/>
      </c>
      <c r="O553" s="121" t="str">
        <f>IFERROR(IF(OR(J553="",L553=""),"",IF(J553="NO","NO",L553)),"")</f>
        <v/>
      </c>
      <c r="P553" s="121" t="str">
        <f>IFERROR(IF(OR(J553="",M553=""),"",IF(J553="NO","NO",M553)),"")</f>
        <v/>
      </c>
      <c r="Q553" s="121" t="str">
        <f t="shared" si="472"/>
        <v/>
      </c>
      <c r="R553" s="103"/>
      <c r="S553" s="123"/>
      <c r="T553" s="123"/>
      <c r="U553" s="121" t="str">
        <f>IFERROR(IF(T553="","",YEAR(T553)),"")</f>
        <v/>
      </c>
      <c r="V553" s="124" t="str">
        <f>IF(U553=2023,1160000,IFERROR(INDEX(SMMLV!$B$2:$B$101,MATCH(U553,SMMLV!$A$2:$A$101,0)),""))</f>
        <v/>
      </c>
      <c r="W553" s="124"/>
      <c r="X553" s="121"/>
      <c r="Y553" s="121"/>
      <c r="Z553" s="483"/>
      <c r="AA553" s="484"/>
      <c r="AB553" s="485"/>
      <c r="AC553" s="121" t="str">
        <f>IFERROR(IF(Y553="","",IF(ISNUMBER(Y553),IF(COUNTIF(Z553,"SI")&gt;0,"SI","NO"),Y553)),"")</f>
        <v/>
      </c>
      <c r="AD553" s="124" t="str">
        <f t="shared" si="473"/>
        <v/>
      </c>
      <c r="AE553" s="117" t="str">
        <f t="shared" si="469"/>
        <v/>
      </c>
      <c r="AF553" s="117" t="str">
        <f t="shared" si="461"/>
        <v/>
      </c>
      <c r="AG553" s="486" t="str">
        <f>IFERROR(IF(COUNTIF(AF553:AF562,"")=10,"",IF(COUNTIF(E553:E562,"N/A")&gt;0,IF(SUM(CB553:CB562)&gt;=CMEM1,"CUMPLE","NO CUMPLE"),IF(SUM(AF553:AF562)&gt;=CMEM1,"CUMPLE","NO CUMPLE"))),"")</f>
        <v/>
      </c>
      <c r="AH553" s="486" t="str">
        <f>IF(COUNTIF(AF553:AF562,"")=10,"",IF(SUMIF(C553:C562,C553,AF553:AF562)&gt;=CMLM1,"CUMPLE",IF(SUMIF(C553:C562,C554,AF553:AF562)&gt;=CMLM1,"CUMPLE",IF(SUMIF(C553:C562,C555,AF553:AF562)&gt;=CMLM1,"CUMPLE",IF(SUMIF(C553:C562,C556,AF553:AF562)&gt;=CMLM1,"CUMPLE",IF(SUMIF(C553:C562,C557,AF553:AF562)&gt;=CMLM1,"CUMPLE",IF(SUMIF(C553:C562,C558,AF553:AF562)&gt;=CMLM1,"CUMPLE",IF(SUMIF(C553:C562,C559,AF553:AF562)&gt;=CMLM1,"CUMPLE",IF(SUMIF(C553:C562,C560,AF553:AF562)&gt;=CMLM1,"CUMPLE",IF(SUMIF(C553:C562,C561,AF553:AF562)&gt;=CMLM1,"CUMPLE",IF(SUMIF(C553:C562,C562,AF553:AF562)&gt;=CMLM1,"CUMPLE","NO CUMPLE")))))))))))</f>
        <v/>
      </c>
      <c r="AI553" s="121" t="str">
        <f t="shared" si="462"/>
        <v/>
      </c>
      <c r="AJ553" s="469" t="str">
        <f>IFERROR(IF(COUNTIF(AF553:AF562,"")=10,"",IF(COUNTIF(E553:E562,"N/A")&gt;0,"N/A",CJ553)),"")</f>
        <v/>
      </c>
      <c r="AK553" s="469" t="str">
        <f>IFERROR(IF(AND(COUNTIF(N553:N562,"SI")&gt;=1,COUNTIF(O553:O562,"SI")&gt;=1,COUNTIF(P553:P562,"SI")&gt;=1,COUNTIF(J553:J562,"SI")&lt;=10,CO553="CUMPLE"),"CUMPLE","NO CUMPLE"),"")</f>
        <v>NO CUMPLE</v>
      </c>
      <c r="AL553" s="472"/>
      <c r="AM553" s="495">
        <f>IFERROR(IF(B553&lt;&gt;"",IF(VLOOKUP(B553,'DESEMPATE Y DISCAPACIDAD'!$A$3:$Q$450,10,FALSE)="","",VLOOKUP(B553,'DESEMPATE Y DISCAPACIDAD'!$A$3:$Q$450,10,FALSE)+6),""),"")</f>
        <v>6</v>
      </c>
      <c r="AN553" s="121"/>
      <c r="AO553" s="490"/>
      <c r="AP553" s="121"/>
      <c r="AQ553" s="490" t="str">
        <f>IFERROR(IF(COUNTIF(AP553:AP562,"")=10,"",IF(AO553="NO",0,COUNTIF(AP553:AP562,"SI"))),"")</f>
        <v/>
      </c>
      <c r="AR553" s="521" t="str">
        <f>IFERROR(IF(COUNTIF(AF553:AF562,"")=10,"",IF(AO553="NO",0,IF(COUNTIF(E553:E562,"N/A")&gt;0,SUM(CQ553:CQ562),SUM(CR553:CR562)))),"")</f>
        <v/>
      </c>
      <c r="AS553" s="518" t="str">
        <f>IFERROR(IF(OR(COUNTIF(AF553:AF562,"")=10,AQ553="",AR553=""),"",IF(AO553="NO",0,AR553/AQ553)),"")</f>
        <v/>
      </c>
      <c r="AT553" s="207"/>
      <c r="AU553" s="698"/>
      <c r="AV553" s="701"/>
      <c r="AW553" s="707"/>
      <c r="AX553" s="707"/>
      <c r="AY553" s="19"/>
      <c r="CB553" s="29" t="str">
        <f>IFERROR(IF(COUNTIF(AF553:AF562,"")=10,"",IF(COUNTIF(E553:E562,"N/A")&gt;0,IF(AF553&gt;=CMEMM1,AF553,0),"N/A")),"")</f>
        <v/>
      </c>
      <c r="CC553" s="4"/>
      <c r="CD553" s="4" t="str">
        <f>IFERROR(IF(COUNTIF(AF553:AF562,"")=10,"",IF(AF553="","",IF(AF553&gt;=CMEMM1,1,0))),"")</f>
        <v/>
      </c>
      <c r="CE553" s="4" t="str">
        <f>B553&amp;"-0"&amp;1</f>
        <v>P56-01</v>
      </c>
      <c r="CF553" s="4">
        <f>IFERROR(INDEX('DESEMPATE Y DISCAPACIDAD'!$D$3:$D$450,MATCH(CE553,'DESEMPATE Y DISCAPACIDAD'!$C$3:$C$450,0)),"")</f>
        <v>0</v>
      </c>
      <c r="CG553" s="4">
        <f>IF(OR(CE553="",CF553=""),"",SUMIF(D553:D562,CF553,CD553:CD562))</f>
        <v>0</v>
      </c>
      <c r="CH553" s="4" t="str">
        <f t="shared" si="497"/>
        <v>NO CUMPLE</v>
      </c>
      <c r="CI553" s="4">
        <f>IF(CF553="","",IF(ISTEXT(CF553),1,0))</f>
        <v>0</v>
      </c>
      <c r="CJ553" s="4" t="str">
        <f>IF(OR(CE553="",CF553="",CG553="",CH553="",CI553=""),"",IF(COUNTIF(CH553:CH562,"CUMPLE")=COUNTIF(CI553:CI562,1),"CUMPLE","NO CUMPLE"))</f>
        <v>CUMPLE</v>
      </c>
      <c r="CK553" s="4"/>
      <c r="CL553" s="4" t="str">
        <f t="shared" si="470"/>
        <v/>
      </c>
      <c r="CM553" s="4" t="str">
        <f t="shared" si="471"/>
        <v/>
      </c>
      <c r="CN553" s="4" t="str">
        <f>IF(OR(CL553="",CM553=""),"",IF(AND(CL553=0,CM553=0),"N/A",IF(AND(CL553=1,CM553=0),"COND. A",IF(AND(CL553=0,CM553=1),"COND. B",IF(AND(CL553=1,CM553=1),"COND. A Y B","")))))</f>
        <v/>
      </c>
      <c r="CO553" s="4" t="str">
        <f>IF(COUNTIF(CN553:CN562,"N/A")=10,"NO CUMPLE",IF(COUNTIF(CN553:CN562,"COND. A Y B")&gt;1,"CUMPLE",IF(AND(COUNTIF(CN553:CN562,"COND. A")&gt;0,COUNTIF(CN553:CN562,"COND. B")&gt;0),"CUMPLE",IF(AND(COUNTIF(CN553:CN562,"COND. A Y B")&gt;0,COUNTIF(CN553:CN562,"COND. A")&gt;0),"CUMPLE",IF(AND(COUNTIF(CN553:CN562,"COND. A Y B")&gt;0,COUNTIF(CN553:CN562,"COND. B")&gt;0),"CUMPLE","NO CUMPLE")))))</f>
        <v>NO CUMPLE</v>
      </c>
      <c r="CP553" s="4"/>
      <c r="CQ553" s="29" t="str">
        <f t="shared" si="489"/>
        <v/>
      </c>
      <c r="CR553" s="29" t="str">
        <f t="shared" si="490"/>
        <v/>
      </c>
      <c r="CS553" s="4"/>
    </row>
    <row r="554" spans="1:97" ht="34.25" hidden="1" customHeight="1">
      <c r="B554" s="481"/>
      <c r="C554" s="118"/>
      <c r="D554" s="119" t="str">
        <f>+IFERROR(INDEX('DESEMPATE Y DISCAPACIDAD'!$D$3:$D$450,MATCH(C554,'DESEMPATE Y DISCAPACIDAD'!$C$3:$C$450,0)),"")</f>
        <v/>
      </c>
      <c r="E554" s="120" t="str">
        <f>IFERROR(IF(D554="","",IF(VLOOKUP(D554,'DESEMPATE Y DISCAPACIDAD'!D$3:$E$450,2,FALSE)=1,"N/A",IF(VLOOKUP(D554,'DESEMPATE Y DISCAPACIDAD'!D$3:$F$450,3,FALSE)="X","SI","NO"))),"")</f>
        <v/>
      </c>
      <c r="F554" s="125"/>
      <c r="G554" s="125"/>
      <c r="H554" s="121"/>
      <c r="I554" s="122"/>
      <c r="J554" s="121"/>
      <c r="K554" s="121"/>
      <c r="L554" s="179"/>
      <c r="M554" s="121"/>
      <c r="N554" s="121" t="str">
        <f t="shared" ref="N554:N562" si="499">IFERROR(IF(OR(J554="",K554=""),"",IF(J554="NO","NO",K554)),"")</f>
        <v/>
      </c>
      <c r="O554" s="121" t="str">
        <f>IFERROR(IF(OR(J554="",L554=""),"",IF(J554="NO","NO",L554)),"")</f>
        <v/>
      </c>
      <c r="P554" s="121" t="str">
        <f t="shared" ref="P554:P562" si="500">IFERROR(IF(OR(J554="",M554=""),"",IF(J554="NO","NO",M554)),"")</f>
        <v/>
      </c>
      <c r="Q554" s="121" t="str">
        <f t="shared" si="472"/>
        <v/>
      </c>
      <c r="R554" s="103"/>
      <c r="S554" s="123"/>
      <c r="T554" s="123"/>
      <c r="U554" s="121" t="str">
        <f t="shared" ref="U554:U562" si="501">IFERROR(IF(T554="","",YEAR(T554)),"")</f>
        <v/>
      </c>
      <c r="V554" s="124" t="str">
        <f>IF(U554=2023,1160000,IFERROR(INDEX(SMMLV!$B$2:$B$101,MATCH(U554,SMMLV!$A$2:$A$101,0)),""))</f>
        <v/>
      </c>
      <c r="W554" s="124"/>
      <c r="X554" s="125"/>
      <c r="Y554" s="125"/>
      <c r="Z554" s="474"/>
      <c r="AA554" s="475"/>
      <c r="AB554" s="476"/>
      <c r="AC554" s="125" t="str">
        <f t="shared" ref="AC554:AC562" si="502">IFERROR(IF(Y554="","",IF(ISNUMBER(Y554),IF(COUNTIF(Z554,"SI")&gt;0,"SI","NO"),Y554)),"")</f>
        <v/>
      </c>
      <c r="AD554" s="117" t="str">
        <f t="shared" si="473"/>
        <v/>
      </c>
      <c r="AE554" s="117" t="str">
        <f t="shared" si="469"/>
        <v/>
      </c>
      <c r="AF554" s="117" t="str">
        <f t="shared" si="461"/>
        <v/>
      </c>
      <c r="AG554" s="470"/>
      <c r="AH554" s="470"/>
      <c r="AI554" s="125" t="str">
        <f t="shared" si="462"/>
        <v/>
      </c>
      <c r="AJ554" s="470"/>
      <c r="AK554" s="470"/>
      <c r="AL554" s="472"/>
      <c r="AM554" s="496"/>
      <c r="AN554" s="125"/>
      <c r="AO554" s="490"/>
      <c r="AP554" s="125"/>
      <c r="AQ554" s="490"/>
      <c r="AR554" s="522"/>
      <c r="AS554" s="519"/>
      <c r="AT554" s="204"/>
      <c r="AU554" s="699"/>
      <c r="AV554" s="702"/>
      <c r="AW554" s="708"/>
      <c r="AX554" s="708"/>
      <c r="AY554" s="19"/>
      <c r="CB554" s="29" t="str">
        <f>IFERROR(IF(COUNTIF(AF553:AF562,"")=10,"",IF(COUNTIF(E553:E562,"N/A")&gt;0,IF(AF554&gt;=CMEMM1,AF554,0),"N/A")),"")</f>
        <v/>
      </c>
      <c r="CC554" s="4"/>
      <c r="CD554" s="4" t="str">
        <f>IFERROR(IF(COUNTIF(AF553:AF562,"")=10,"",IF(AF554="","",IF(AF554&gt;=CMEMM1,1,0))),"")</f>
        <v/>
      </c>
      <c r="CE554" s="4" t="str">
        <f>B553&amp;"-0"&amp;2</f>
        <v>P56-02</v>
      </c>
      <c r="CF554" s="4">
        <f>IFERROR(INDEX('DESEMPATE Y DISCAPACIDAD'!$D$3:$D$450,MATCH(CE554,'DESEMPATE Y DISCAPACIDAD'!$C$3:$C$450,0)),"")</f>
        <v>0</v>
      </c>
      <c r="CG554" s="4">
        <f>IF(OR(CE554="",CF554=""),"",SUMIF(D553:D562,CF554,CD553:CD562))</f>
        <v>0</v>
      </c>
      <c r="CH554" s="4" t="str">
        <f t="shared" si="497"/>
        <v>NO CUMPLE</v>
      </c>
      <c r="CI554" s="4">
        <f t="shared" ref="CI554:CI562" si="503">IF(CF554="","",IF(ISTEXT(CF554),1,0))</f>
        <v>0</v>
      </c>
      <c r="CJ554" s="4"/>
      <c r="CK554" s="4"/>
      <c r="CL554" s="4" t="str">
        <f t="shared" si="470"/>
        <v/>
      </c>
      <c r="CM554" s="4" t="str">
        <f t="shared" si="471"/>
        <v/>
      </c>
      <c r="CN554" s="4" t="str">
        <f t="shared" ref="CN554:CN562" si="504">IF(OR(CL554="",CM554=""),"",IF(AND(CL554=0,CM554=0),"N/A",IF(AND(CL554=1,CM554=0),"COND. A",IF(AND(CL554=0,CM554=1),"COND. B",IF(AND(CL554=1,CM554=1),"COND. A Y B","")))))</f>
        <v/>
      </c>
      <c r="CO554" s="4"/>
      <c r="CP554" s="4"/>
      <c r="CQ554" s="29" t="str">
        <f t="shared" si="489"/>
        <v/>
      </c>
      <c r="CR554" s="29" t="str">
        <f t="shared" si="490"/>
        <v/>
      </c>
      <c r="CS554" s="4"/>
    </row>
    <row r="555" spans="1:97" ht="34.25" hidden="1" customHeight="1">
      <c r="B555" s="481"/>
      <c r="C555" s="118"/>
      <c r="D555" s="126" t="str">
        <f>+IFERROR(INDEX('DESEMPATE Y DISCAPACIDAD'!$D$3:$D$450,MATCH(C555,'DESEMPATE Y DISCAPACIDAD'!$C$3:$C$450,0)),"")</f>
        <v/>
      </c>
      <c r="E555" s="127" t="str">
        <f>IFERROR(IF(D555="","",IF(VLOOKUP(D555,'DESEMPATE Y DISCAPACIDAD'!D$3:$E$450,2,FALSE)=1,"N/A",IF(VLOOKUP(D555,'DESEMPATE Y DISCAPACIDAD'!D$3:$F$450,3,FALSE)="X","SI","NO"))),"")</f>
        <v/>
      </c>
      <c r="F555" s="121"/>
      <c r="G555" s="121"/>
      <c r="H555" s="125"/>
      <c r="I555" s="128"/>
      <c r="J555" s="125"/>
      <c r="K555" s="125"/>
      <c r="L555" s="3"/>
      <c r="M555" s="125"/>
      <c r="N555" s="125" t="str">
        <f t="shared" si="499"/>
        <v/>
      </c>
      <c r="O555" s="125" t="str">
        <f>IFERROR(IF(OR(J555="",L555=""),"",IF(J555="NO","NO",L555)),"")</f>
        <v/>
      </c>
      <c r="P555" s="125" t="str">
        <f t="shared" si="500"/>
        <v/>
      </c>
      <c r="Q555" s="125" t="str">
        <f t="shared" si="472"/>
        <v/>
      </c>
      <c r="R555" s="68"/>
      <c r="S555" s="129"/>
      <c r="T555" s="129"/>
      <c r="U555" s="125" t="str">
        <f t="shared" si="501"/>
        <v/>
      </c>
      <c r="V555" s="117" t="str">
        <f>IF(U555=2023,1160000,IFERROR(INDEX(SMMLV!$B$2:$B$101,MATCH(U555,SMMLV!$A$2:$A$101,0)),""))</f>
        <v/>
      </c>
      <c r="W555" s="117"/>
      <c r="X555" s="125"/>
      <c r="Y555" s="125"/>
      <c r="Z555" s="474"/>
      <c r="AA555" s="475"/>
      <c r="AB555" s="476"/>
      <c r="AC555" s="125" t="str">
        <f t="shared" si="502"/>
        <v/>
      </c>
      <c r="AD555" s="117" t="str">
        <f t="shared" si="473"/>
        <v/>
      </c>
      <c r="AE555" s="117" t="str">
        <f t="shared" si="469"/>
        <v/>
      </c>
      <c r="AF555" s="117" t="str">
        <f t="shared" si="461"/>
        <v/>
      </c>
      <c r="AG555" s="470"/>
      <c r="AH555" s="470"/>
      <c r="AI555" s="125" t="str">
        <f t="shared" si="462"/>
        <v/>
      </c>
      <c r="AJ555" s="470"/>
      <c r="AK555" s="470"/>
      <c r="AL555" s="472"/>
      <c r="AM555" s="496"/>
      <c r="AN555" s="125"/>
      <c r="AO555" s="490"/>
      <c r="AP555" s="125"/>
      <c r="AQ555" s="490"/>
      <c r="AR555" s="522"/>
      <c r="AS555" s="519"/>
      <c r="AT555" s="204"/>
      <c r="AU555" s="699"/>
      <c r="AV555" s="702"/>
      <c r="AW555" s="708"/>
      <c r="AX555" s="708"/>
      <c r="AY555" s="19"/>
      <c r="CB555" s="29" t="str">
        <f>IFERROR(IF(COUNTIF(AF553:AF562,"")=10,"",IF(COUNTIF(E553:E562,"N/A")&gt;0,IF(AF555&gt;=CMEMM1,AF555,0),"N/A")),"")</f>
        <v/>
      </c>
      <c r="CC555" s="4"/>
      <c r="CD555" s="4" t="str">
        <f>IFERROR(IF(COUNTIF(AF553:AF562,"")=10,"",IF(AF555="","",IF(AF555&gt;=CMEMM1,1,0))),"")</f>
        <v/>
      </c>
      <c r="CE555" s="4" t="str">
        <f>B553&amp;"-0"&amp;3</f>
        <v>P56-03</v>
      </c>
      <c r="CF555" s="4">
        <f>IFERROR(INDEX('DESEMPATE Y DISCAPACIDAD'!$D$3:$D$450,MATCH(CE555,'DESEMPATE Y DISCAPACIDAD'!$C$3:$C$450,0)),"")</f>
        <v>0</v>
      </c>
      <c r="CG555" s="4">
        <f>IF(OR(CE555="",CF555=""),"",SUMIF(D553:D562,CF555,CD553:CD562))</f>
        <v>0</v>
      </c>
      <c r="CH555" s="4" t="str">
        <f t="shared" si="497"/>
        <v>NO CUMPLE</v>
      </c>
      <c r="CI555" s="4">
        <f t="shared" si="503"/>
        <v>0</v>
      </c>
      <c r="CJ555" s="4"/>
      <c r="CK555" s="4"/>
      <c r="CL555" s="4" t="str">
        <f t="shared" si="470"/>
        <v/>
      </c>
      <c r="CM555" s="4" t="str">
        <f t="shared" si="471"/>
        <v/>
      </c>
      <c r="CN555" s="4" t="str">
        <f t="shared" si="504"/>
        <v/>
      </c>
      <c r="CO555" s="4"/>
      <c r="CP555" s="4"/>
      <c r="CQ555" s="29" t="str">
        <f t="shared" si="489"/>
        <v/>
      </c>
      <c r="CR555" s="29" t="str">
        <f t="shared" si="490"/>
        <v/>
      </c>
      <c r="CS555" s="4"/>
    </row>
    <row r="556" spans="1:97" ht="34.25" hidden="1" customHeight="1">
      <c r="B556" s="481"/>
      <c r="C556" s="118"/>
      <c r="D556" s="126" t="str">
        <f>+IFERROR(INDEX('DESEMPATE Y DISCAPACIDAD'!$D$3:$D$450,MATCH(C556,'DESEMPATE Y DISCAPACIDAD'!$C$3:$C$450,0)),"")</f>
        <v/>
      </c>
      <c r="E556" s="127" t="str">
        <f>IFERROR(IF(D556="","",IF(VLOOKUP(D556,'DESEMPATE Y DISCAPACIDAD'!D$3:$E$450,2,FALSE)=1,"N/A",IF(VLOOKUP(D556,'DESEMPATE Y DISCAPACIDAD'!D$3:$F$450,3,FALSE)="X","SI","NO"))),"")</f>
        <v/>
      </c>
      <c r="F556" s="141"/>
      <c r="G556" s="125"/>
      <c r="H556" s="125"/>
      <c r="I556" s="128"/>
      <c r="J556" s="125"/>
      <c r="K556" s="125"/>
      <c r="L556" s="3"/>
      <c r="M556" s="125"/>
      <c r="N556" s="125" t="str">
        <f t="shared" si="499"/>
        <v/>
      </c>
      <c r="O556" s="125" t="str">
        <f>IFERROR(IF(OR(J556="",L556=""),"",IF(J556="NO","NO",L556)),"")</f>
        <v/>
      </c>
      <c r="P556" s="125" t="str">
        <f t="shared" si="500"/>
        <v/>
      </c>
      <c r="Q556" s="125" t="str">
        <f t="shared" si="472"/>
        <v/>
      </c>
      <c r="R556" s="68"/>
      <c r="S556" s="129"/>
      <c r="T556" s="129"/>
      <c r="U556" s="125" t="str">
        <f t="shared" si="501"/>
        <v/>
      </c>
      <c r="V556" s="117" t="str">
        <f>IF(U556=2023,1160000,IFERROR(INDEX(SMMLV!$B$2:$B$101,MATCH(U556,SMMLV!$A$2:$A$101,0)),""))</f>
        <v/>
      </c>
      <c r="W556" s="117"/>
      <c r="X556" s="125"/>
      <c r="Y556" s="125"/>
      <c r="Z556" s="474"/>
      <c r="AA556" s="475"/>
      <c r="AB556" s="476"/>
      <c r="AC556" s="125" t="str">
        <f t="shared" si="502"/>
        <v/>
      </c>
      <c r="AD556" s="117" t="str">
        <f t="shared" si="473"/>
        <v/>
      </c>
      <c r="AE556" s="117" t="str">
        <f t="shared" si="469"/>
        <v/>
      </c>
      <c r="AF556" s="117" t="str">
        <f t="shared" si="461"/>
        <v/>
      </c>
      <c r="AG556" s="470"/>
      <c r="AH556" s="470"/>
      <c r="AI556" s="125" t="str">
        <f t="shared" si="462"/>
        <v/>
      </c>
      <c r="AJ556" s="470"/>
      <c r="AK556" s="470"/>
      <c r="AL556" s="472"/>
      <c r="AM556" s="496"/>
      <c r="AN556" s="125"/>
      <c r="AO556" s="490"/>
      <c r="AP556" s="125"/>
      <c r="AQ556" s="490"/>
      <c r="AR556" s="522"/>
      <c r="AS556" s="519"/>
      <c r="AT556" s="204"/>
      <c r="AU556" s="699"/>
      <c r="AV556" s="702"/>
      <c r="AW556" s="708"/>
      <c r="AX556" s="708"/>
      <c r="AY556" s="19"/>
      <c r="CB556" s="29" t="str">
        <f>IFERROR(IF(COUNTIF(AF553:AF562,"")=10,"",IF(COUNTIF(E553:E562,"N/A")&gt;0,IF(AF556&gt;=CMEMM1,AF556,0),"N/A")),"")</f>
        <v/>
      </c>
      <c r="CC556" s="4"/>
      <c r="CD556" s="4" t="str">
        <f>IFERROR(IF(COUNTIF(AF553:AF562,"")=10,"",IF(AF556="","",IF(AF556&gt;=CMEMM1,1,0))),"")</f>
        <v/>
      </c>
      <c r="CE556" s="4" t="str">
        <f>B553&amp;"-0"&amp;4</f>
        <v>P56-04</v>
      </c>
      <c r="CF556" s="4">
        <f>IFERROR(INDEX('DESEMPATE Y DISCAPACIDAD'!$D$3:$D$450,MATCH(CE556,'DESEMPATE Y DISCAPACIDAD'!$C$3:$C$450,0)),"")</f>
        <v>0</v>
      </c>
      <c r="CG556" s="4">
        <f>IF(OR(CE556="",CF556=""),"",SUMIF(D553:D562,CF556,CD553:CD562))</f>
        <v>0</v>
      </c>
      <c r="CH556" s="4" t="str">
        <f t="shared" si="497"/>
        <v>NO CUMPLE</v>
      </c>
      <c r="CI556" s="4">
        <f t="shared" si="503"/>
        <v>0</v>
      </c>
      <c r="CJ556" s="4"/>
      <c r="CK556" s="4"/>
      <c r="CL556" s="4" t="str">
        <f t="shared" si="470"/>
        <v/>
      </c>
      <c r="CM556" s="4" t="str">
        <f t="shared" si="471"/>
        <v/>
      </c>
      <c r="CN556" s="4" t="str">
        <f t="shared" si="504"/>
        <v/>
      </c>
      <c r="CO556" s="4"/>
      <c r="CP556" s="4"/>
      <c r="CQ556" s="29" t="str">
        <f t="shared" si="489"/>
        <v/>
      </c>
      <c r="CR556" s="29" t="str">
        <f t="shared" si="490"/>
        <v/>
      </c>
      <c r="CS556" s="4"/>
    </row>
    <row r="557" spans="1:97" ht="34.25" hidden="1" customHeight="1">
      <c r="B557" s="481"/>
      <c r="C557" s="118"/>
      <c r="D557" s="126" t="str">
        <f>+IFERROR(INDEX('DESEMPATE Y DISCAPACIDAD'!$D$3:$D$450,MATCH(C557,'DESEMPATE Y DISCAPACIDAD'!$C$3:$C$450,0)),"")</f>
        <v/>
      </c>
      <c r="E557" s="127" t="str">
        <f>IFERROR(IF(D557="","",IF(VLOOKUP(D557,'DESEMPATE Y DISCAPACIDAD'!D$3:$E$450,2,FALSE)=1,"N/A",IF(VLOOKUP(D557,'DESEMPATE Y DISCAPACIDAD'!D$3:$F$450,3,FALSE)="X","SI","NO"))),"")</f>
        <v/>
      </c>
      <c r="F557" s="125"/>
      <c r="G557" s="125"/>
      <c r="H557" s="125"/>
      <c r="I557" s="128"/>
      <c r="J557" s="125"/>
      <c r="K557" s="125"/>
      <c r="L557" s="3"/>
      <c r="M557" s="125"/>
      <c r="N557" s="125" t="str">
        <f t="shared" si="499"/>
        <v/>
      </c>
      <c r="O557" s="125" t="str">
        <f t="shared" ref="O557:O562" si="505">IFERROR(IF(OR(J557="",L557=""),"",IF(J557="NO","NO",L557)),"")</f>
        <v/>
      </c>
      <c r="P557" s="125" t="str">
        <f t="shared" si="500"/>
        <v/>
      </c>
      <c r="Q557" s="125" t="str">
        <f t="shared" si="472"/>
        <v/>
      </c>
      <c r="R557" s="68"/>
      <c r="S557" s="129"/>
      <c r="T557" s="129"/>
      <c r="U557" s="125" t="str">
        <f t="shared" si="501"/>
        <v/>
      </c>
      <c r="V557" s="117" t="str">
        <f>IF(U557=2023,1160000,IFERROR(INDEX(SMMLV!$B$2:$B$101,MATCH(U557,SMMLV!$A$2:$A$101,0)),""))</f>
        <v/>
      </c>
      <c r="W557" s="117"/>
      <c r="X557" s="125"/>
      <c r="Y557" s="125"/>
      <c r="Z557" s="474"/>
      <c r="AA557" s="475"/>
      <c r="AB557" s="476"/>
      <c r="AC557" s="125" t="str">
        <f t="shared" si="502"/>
        <v/>
      </c>
      <c r="AD557" s="117" t="str">
        <f t="shared" si="473"/>
        <v/>
      </c>
      <c r="AE557" s="117" t="str">
        <f t="shared" si="469"/>
        <v/>
      </c>
      <c r="AF557" s="117" t="str">
        <f t="shared" si="461"/>
        <v/>
      </c>
      <c r="AG557" s="470"/>
      <c r="AH557" s="470"/>
      <c r="AI557" s="125" t="str">
        <f t="shared" si="462"/>
        <v/>
      </c>
      <c r="AJ557" s="470"/>
      <c r="AK557" s="470"/>
      <c r="AL557" s="472"/>
      <c r="AM557" s="496"/>
      <c r="AN557" s="125"/>
      <c r="AO557" s="490"/>
      <c r="AP557" s="125"/>
      <c r="AQ557" s="490"/>
      <c r="AR557" s="522"/>
      <c r="AS557" s="519"/>
      <c r="AT557" s="204"/>
      <c r="AU557" s="699"/>
      <c r="AV557" s="702"/>
      <c r="AW557" s="708"/>
      <c r="AX557" s="708"/>
      <c r="AY557" s="19"/>
      <c r="CB557" s="29" t="str">
        <f>IFERROR(IF(COUNTIF(AF553:AF562,"")=10,"",IF(COUNTIF(E553:E562,"N/A")&gt;0,IF(AF557&gt;=CMEMM1,AF557,0),"N/A")),"")</f>
        <v/>
      </c>
      <c r="CC557" s="4"/>
      <c r="CD557" s="4" t="str">
        <f>IFERROR(IF(COUNTIF(AF553:AF562,"")=10,"",IF(AF557="","",IF(AF557&gt;=CMEMM1,1,0))),"")</f>
        <v/>
      </c>
      <c r="CE557" s="4" t="str">
        <f>B553&amp;"-0"&amp;5</f>
        <v>P56-05</v>
      </c>
      <c r="CF557" s="4">
        <f>IFERROR(INDEX('DESEMPATE Y DISCAPACIDAD'!$D$3:$D$450,MATCH(CE557,'DESEMPATE Y DISCAPACIDAD'!$C$3:$C$450,0)),"")</f>
        <v>0</v>
      </c>
      <c r="CG557" s="4">
        <f>IF(OR(CE557="",CF557=""),"",SUMIF(D553:D562,CF557,CD553:CD562))</f>
        <v>0</v>
      </c>
      <c r="CH557" s="4" t="str">
        <f t="shared" si="497"/>
        <v>NO CUMPLE</v>
      </c>
      <c r="CI557" s="4">
        <f t="shared" si="503"/>
        <v>0</v>
      </c>
      <c r="CJ557" s="4"/>
      <c r="CK557" s="4"/>
      <c r="CL557" s="4" t="str">
        <f t="shared" si="470"/>
        <v/>
      </c>
      <c r="CM557" s="4" t="str">
        <f t="shared" si="471"/>
        <v/>
      </c>
      <c r="CN557" s="4" t="str">
        <f t="shared" si="504"/>
        <v/>
      </c>
      <c r="CO557" s="4"/>
      <c r="CP557" s="4"/>
      <c r="CQ557" s="29" t="str">
        <f t="shared" si="489"/>
        <v/>
      </c>
      <c r="CR557" s="29" t="str">
        <f t="shared" si="490"/>
        <v/>
      </c>
      <c r="CS557" s="4"/>
    </row>
    <row r="558" spans="1:97" ht="34.25" hidden="1" customHeight="1">
      <c r="B558" s="481"/>
      <c r="C558" s="118"/>
      <c r="D558" s="126" t="str">
        <f>+IFERROR(INDEX('DESEMPATE Y DISCAPACIDAD'!$D$3:$D$450,MATCH(C558,'DESEMPATE Y DISCAPACIDAD'!$C$3:$C$450,0)),"")</f>
        <v/>
      </c>
      <c r="E558" s="127" t="str">
        <f>IFERROR(IF(D558="","",IF(VLOOKUP(D558,'DESEMPATE Y DISCAPACIDAD'!D$3:$E$450,2,FALSE)=1,"N/A",IF(VLOOKUP(D558,'DESEMPATE Y DISCAPACIDAD'!D$3:$F$450,3,FALSE)="X","SI","NO"))),"")</f>
        <v/>
      </c>
      <c r="F558" s="125"/>
      <c r="G558" s="125"/>
      <c r="H558" s="125"/>
      <c r="I558" s="128"/>
      <c r="J558" s="125"/>
      <c r="K558" s="125"/>
      <c r="L558" s="3"/>
      <c r="M558" s="125"/>
      <c r="N558" s="125" t="str">
        <f t="shared" si="499"/>
        <v/>
      </c>
      <c r="O558" s="125" t="str">
        <f t="shared" si="505"/>
        <v/>
      </c>
      <c r="P558" s="125" t="str">
        <f t="shared" si="500"/>
        <v/>
      </c>
      <c r="Q558" s="125" t="str">
        <f t="shared" si="472"/>
        <v/>
      </c>
      <c r="R558" s="68"/>
      <c r="S558" s="129"/>
      <c r="T558" s="129"/>
      <c r="U558" s="125" t="str">
        <f t="shared" si="501"/>
        <v/>
      </c>
      <c r="V558" s="117" t="str">
        <f>IF(U558=2023,1160000,IFERROR(INDEX(SMMLV!$B$2:$B$101,MATCH(U558,SMMLV!$A$2:$A$101,0)),""))</f>
        <v/>
      </c>
      <c r="W558" s="117"/>
      <c r="X558" s="125"/>
      <c r="Y558" s="125"/>
      <c r="Z558" s="474"/>
      <c r="AA558" s="475"/>
      <c r="AB558" s="476"/>
      <c r="AC558" s="125" t="str">
        <f t="shared" si="502"/>
        <v/>
      </c>
      <c r="AD558" s="117" t="str">
        <f t="shared" si="473"/>
        <v/>
      </c>
      <c r="AE558" s="117" t="str">
        <f t="shared" si="469"/>
        <v/>
      </c>
      <c r="AF558" s="117" t="str">
        <f t="shared" si="461"/>
        <v/>
      </c>
      <c r="AG558" s="470"/>
      <c r="AH558" s="470"/>
      <c r="AI558" s="125" t="str">
        <f t="shared" si="462"/>
        <v/>
      </c>
      <c r="AJ558" s="470"/>
      <c r="AK558" s="470"/>
      <c r="AL558" s="472"/>
      <c r="AM558" s="496"/>
      <c r="AN558" s="125"/>
      <c r="AO558" s="490"/>
      <c r="AP558" s="125"/>
      <c r="AQ558" s="490"/>
      <c r="AR558" s="522"/>
      <c r="AS558" s="519"/>
      <c r="AT558" s="204"/>
      <c r="AU558" s="699"/>
      <c r="AV558" s="702"/>
      <c r="AW558" s="708"/>
      <c r="AX558" s="708"/>
      <c r="AY558" s="19"/>
      <c r="CB558" s="29" t="str">
        <f>IFERROR(IF(COUNTIF(AF553:AF562,"")=10,"",IF(COUNTIF(E553:E562,"N/A")&gt;0,IF(AF558&gt;=CMEMM1,AF558,0),"N/A")),"")</f>
        <v/>
      </c>
      <c r="CC558" s="4"/>
      <c r="CD558" s="4" t="str">
        <f>IFERROR(IF(COUNTIF(AF553:AF562,"")=10,"",IF(AF558="","",IF(AF558&gt;=CMEMM1,1,0))),"")</f>
        <v/>
      </c>
      <c r="CE558" s="4" t="str">
        <f>B553&amp;"-0"&amp;6</f>
        <v>P56-06</v>
      </c>
      <c r="CF558" s="4">
        <f>IFERROR(INDEX('DESEMPATE Y DISCAPACIDAD'!$D$3:$D$450,MATCH(CE558,'DESEMPATE Y DISCAPACIDAD'!$C$3:$C$450,0)),"")</f>
        <v>0</v>
      </c>
      <c r="CG558" s="4">
        <f>IF(OR(CE558="",CF558=""),"",SUMIF(D553:D562,CF558,CD553:CD562))</f>
        <v>0</v>
      </c>
      <c r="CH558" s="4" t="str">
        <f t="shared" si="497"/>
        <v>NO CUMPLE</v>
      </c>
      <c r="CI558" s="4">
        <f t="shared" si="503"/>
        <v>0</v>
      </c>
      <c r="CJ558" s="4"/>
      <c r="CK558" s="4"/>
      <c r="CL558" s="4" t="str">
        <f t="shared" si="470"/>
        <v/>
      </c>
      <c r="CM558" s="4" t="str">
        <f t="shared" si="471"/>
        <v/>
      </c>
      <c r="CN558" s="4" t="str">
        <f t="shared" si="504"/>
        <v/>
      </c>
      <c r="CO558" s="4"/>
      <c r="CP558" s="4"/>
      <c r="CQ558" s="29" t="str">
        <f t="shared" si="489"/>
        <v/>
      </c>
      <c r="CR558" s="29" t="str">
        <f t="shared" si="490"/>
        <v/>
      </c>
      <c r="CS558" s="4"/>
    </row>
    <row r="559" spans="1:97" ht="34.25" hidden="1" customHeight="1">
      <c r="B559" s="481"/>
      <c r="C559" s="118"/>
      <c r="D559" s="126" t="str">
        <f>+IFERROR(INDEX('DESEMPATE Y DISCAPACIDAD'!$D$3:$D$450,MATCH(C559,'DESEMPATE Y DISCAPACIDAD'!$C$3:$C$450,0)),"")</f>
        <v/>
      </c>
      <c r="E559" s="127" t="str">
        <f>IFERROR(IF(D559="","",IF(VLOOKUP(D559,'DESEMPATE Y DISCAPACIDAD'!D$3:$E$450,2,FALSE)=1,"N/A",IF(VLOOKUP(D559,'DESEMPATE Y DISCAPACIDAD'!D$3:$F$450,3,FALSE)="X","SI","NO"))),"")</f>
        <v/>
      </c>
      <c r="F559" s="125"/>
      <c r="G559" s="125"/>
      <c r="H559" s="125"/>
      <c r="I559" s="128"/>
      <c r="J559" s="125"/>
      <c r="K559" s="125"/>
      <c r="L559" s="3"/>
      <c r="M559" s="125"/>
      <c r="N559" s="125" t="str">
        <f t="shared" si="499"/>
        <v/>
      </c>
      <c r="O559" s="125" t="str">
        <f t="shared" si="505"/>
        <v/>
      </c>
      <c r="P559" s="125" t="str">
        <f t="shared" si="500"/>
        <v/>
      </c>
      <c r="Q559" s="125" t="str">
        <f t="shared" si="472"/>
        <v/>
      </c>
      <c r="R559" s="68"/>
      <c r="S559" s="129"/>
      <c r="T559" s="129"/>
      <c r="U559" s="125" t="str">
        <f t="shared" si="501"/>
        <v/>
      </c>
      <c r="V559" s="117" t="str">
        <f>IF(U559=2023,1160000,IFERROR(INDEX(SMMLV!$B$2:$B$101,MATCH(U559,SMMLV!$A$2:$A$101,0)),""))</f>
        <v/>
      </c>
      <c r="W559" s="117"/>
      <c r="X559" s="125"/>
      <c r="Y559" s="125"/>
      <c r="Z559" s="474"/>
      <c r="AA559" s="475"/>
      <c r="AB559" s="476"/>
      <c r="AC559" s="125" t="str">
        <f t="shared" si="502"/>
        <v/>
      </c>
      <c r="AD559" s="117" t="str">
        <f t="shared" ref="AD559:AD568" si="506">IF(W559="","",IF(W559="N/A","N/A",W559))</f>
        <v/>
      </c>
      <c r="AE559" s="117" t="str">
        <f t="shared" si="469"/>
        <v/>
      </c>
      <c r="AF559" s="117" t="str">
        <f t="shared" si="461"/>
        <v/>
      </c>
      <c r="AG559" s="470"/>
      <c r="AH559" s="470"/>
      <c r="AI559" s="125" t="str">
        <f t="shared" si="462"/>
        <v/>
      </c>
      <c r="AJ559" s="470"/>
      <c r="AK559" s="470"/>
      <c r="AL559" s="472"/>
      <c r="AM559" s="496"/>
      <c r="AN559" s="125"/>
      <c r="AO559" s="490"/>
      <c r="AP559" s="125"/>
      <c r="AQ559" s="490"/>
      <c r="AR559" s="522"/>
      <c r="AS559" s="519"/>
      <c r="AT559" s="204"/>
      <c r="AU559" s="699"/>
      <c r="AV559" s="702"/>
      <c r="AW559" s="708"/>
      <c r="AX559" s="708"/>
      <c r="AY559" s="19"/>
      <c r="CB559" s="29" t="str">
        <f>IFERROR(IF(COUNTIF(AF553:AF562,"")=10,"",IF(COUNTIF(E553:E562,"N/A")&gt;0,IF(AF559&gt;=CMEMM1,AF559,0),"N/A")),"")</f>
        <v/>
      </c>
      <c r="CC559" s="4"/>
      <c r="CD559" s="4" t="str">
        <f>IFERROR(IF(COUNTIF(AF553:AF562,"")=10,"",IF(AF559="","",IF(AF559&gt;=CMEMM1,1,0))),"")</f>
        <v/>
      </c>
      <c r="CE559" s="4" t="str">
        <f>B553&amp;"-0"&amp;7</f>
        <v>P56-07</v>
      </c>
      <c r="CF559" s="4" t="str">
        <f>IFERROR(INDEX('DESEMPATE Y DISCAPACIDAD'!$D$3:$D$450,MATCH(CE559,'DESEMPATE Y DISCAPACIDAD'!$C$3:$C$450,0)),"")</f>
        <v/>
      </c>
      <c r="CG559" s="4" t="str">
        <f>IF(OR(CE559="",CF559=""),"",SUMIF(D553:D562,CF559,CD553:CD562))</f>
        <v/>
      </c>
      <c r="CH559" s="4" t="str">
        <f t="shared" si="497"/>
        <v/>
      </c>
      <c r="CI559" s="4" t="str">
        <f t="shared" si="503"/>
        <v/>
      </c>
      <c r="CJ559" s="4"/>
      <c r="CK559" s="4"/>
      <c r="CL559" s="4" t="str">
        <f t="shared" si="470"/>
        <v/>
      </c>
      <c r="CM559" s="4" t="str">
        <f t="shared" si="471"/>
        <v/>
      </c>
      <c r="CN559" s="4" t="str">
        <f t="shared" si="504"/>
        <v/>
      </c>
      <c r="CO559" s="4"/>
      <c r="CP559" s="4"/>
      <c r="CQ559" s="29" t="str">
        <f t="shared" si="489"/>
        <v/>
      </c>
      <c r="CR559" s="29" t="str">
        <f t="shared" si="490"/>
        <v/>
      </c>
      <c r="CS559" s="4"/>
    </row>
    <row r="560" spans="1:97" ht="34.25" hidden="1" customHeight="1">
      <c r="B560" s="481"/>
      <c r="C560" s="118"/>
      <c r="D560" s="126" t="str">
        <f>+IFERROR(INDEX('DESEMPATE Y DISCAPACIDAD'!$D$3:$D$450,MATCH(C560,'DESEMPATE Y DISCAPACIDAD'!$C$3:$C$450,0)),"")</f>
        <v/>
      </c>
      <c r="E560" s="127" t="str">
        <f>IFERROR(IF(D560="","",IF(VLOOKUP(D560,'DESEMPATE Y DISCAPACIDAD'!D$3:$E$450,2,FALSE)=1,"N/A",IF(VLOOKUP(D560,'DESEMPATE Y DISCAPACIDAD'!D$3:$F$450,3,FALSE)="X","SI","NO"))),"")</f>
        <v/>
      </c>
      <c r="F560" s="125"/>
      <c r="G560" s="125"/>
      <c r="H560" s="125"/>
      <c r="I560" s="128"/>
      <c r="J560" s="125"/>
      <c r="K560" s="125"/>
      <c r="L560" s="3"/>
      <c r="M560" s="125"/>
      <c r="N560" s="125" t="str">
        <f t="shared" si="499"/>
        <v/>
      </c>
      <c r="O560" s="125" t="str">
        <f t="shared" si="505"/>
        <v/>
      </c>
      <c r="P560" s="125" t="str">
        <f t="shared" si="500"/>
        <v/>
      </c>
      <c r="Q560" s="125" t="str">
        <f t="shared" si="472"/>
        <v/>
      </c>
      <c r="R560" s="68"/>
      <c r="S560" s="129"/>
      <c r="T560" s="129"/>
      <c r="U560" s="125" t="str">
        <f t="shared" si="501"/>
        <v/>
      </c>
      <c r="V560" s="117" t="str">
        <f>IF(U560=2023,1160000,IFERROR(INDEX(SMMLV!$B$2:$B$101,MATCH(U560,SMMLV!$A$2:$A$101,0)),""))</f>
        <v/>
      </c>
      <c r="W560" s="117"/>
      <c r="X560" s="125"/>
      <c r="Y560" s="125"/>
      <c r="Z560" s="474"/>
      <c r="AA560" s="475"/>
      <c r="AB560" s="476"/>
      <c r="AC560" s="125" t="str">
        <f t="shared" si="502"/>
        <v/>
      </c>
      <c r="AD560" s="117" t="str">
        <f t="shared" si="506"/>
        <v/>
      </c>
      <c r="AE560" s="117" t="str">
        <f t="shared" si="469"/>
        <v/>
      </c>
      <c r="AF560" s="117" t="str">
        <f t="shared" si="461"/>
        <v/>
      </c>
      <c r="AG560" s="470"/>
      <c r="AH560" s="470"/>
      <c r="AI560" s="125" t="str">
        <f t="shared" si="462"/>
        <v/>
      </c>
      <c r="AJ560" s="470"/>
      <c r="AK560" s="470"/>
      <c r="AL560" s="472"/>
      <c r="AM560" s="496"/>
      <c r="AN560" s="125"/>
      <c r="AO560" s="490"/>
      <c r="AP560" s="125"/>
      <c r="AQ560" s="490"/>
      <c r="AR560" s="522"/>
      <c r="AS560" s="519"/>
      <c r="AT560" s="204"/>
      <c r="AU560" s="699"/>
      <c r="AV560" s="702"/>
      <c r="AW560" s="708"/>
      <c r="AX560" s="708"/>
      <c r="AY560" s="19"/>
      <c r="CB560" s="29" t="str">
        <f>IFERROR(IF(COUNTIF(AF553:AF562,"")=10,"",IF(COUNTIF(E553:E562,"N/A")&gt;0,IF(AF560&gt;=CMEMM1,AF560,0),"N/A")),"")</f>
        <v/>
      </c>
      <c r="CC560" s="4"/>
      <c r="CD560" s="4" t="str">
        <f>IFERROR(IF(COUNTIF(AF553:AF562,"")=10,"",IF(AF560="","",IF(AF560&gt;=CMEMM1,1,0))),"")</f>
        <v/>
      </c>
      <c r="CE560" s="4" t="str">
        <f>B553&amp;"-0"&amp;8</f>
        <v>P56-08</v>
      </c>
      <c r="CF560" s="4" t="str">
        <f>IFERROR(INDEX('DESEMPATE Y DISCAPACIDAD'!$D$3:$D$450,MATCH(CE560,'DESEMPATE Y DISCAPACIDAD'!$C$3:$C$450,0)),"")</f>
        <v/>
      </c>
      <c r="CG560" s="4" t="str">
        <f>IF(OR(CE560="",CF560=""),"",SUMIF(D553:D562,CF560,CD553:CD562))</f>
        <v/>
      </c>
      <c r="CH560" s="4" t="str">
        <f t="shared" si="497"/>
        <v/>
      </c>
      <c r="CI560" s="4" t="str">
        <f t="shared" si="503"/>
        <v/>
      </c>
      <c r="CJ560" s="4"/>
      <c r="CK560" s="4"/>
      <c r="CL560" s="4" t="str">
        <f t="shared" si="470"/>
        <v/>
      </c>
      <c r="CM560" s="4" t="str">
        <f t="shared" si="471"/>
        <v/>
      </c>
      <c r="CN560" s="4" t="str">
        <f t="shared" si="504"/>
        <v/>
      </c>
      <c r="CO560" s="4"/>
      <c r="CP560" s="4"/>
      <c r="CQ560" s="29" t="str">
        <f t="shared" si="489"/>
        <v/>
      </c>
      <c r="CR560" s="29" t="str">
        <f t="shared" si="490"/>
        <v/>
      </c>
      <c r="CS560" s="4"/>
    </row>
    <row r="561" spans="1:97" ht="34.25" hidden="1" customHeight="1">
      <c r="B561" s="481"/>
      <c r="C561" s="118"/>
      <c r="D561" s="126" t="str">
        <f>+IFERROR(INDEX('DESEMPATE Y DISCAPACIDAD'!$D$3:$D$450,MATCH(C561,'DESEMPATE Y DISCAPACIDAD'!$C$3:$C$450,0)),"")</f>
        <v/>
      </c>
      <c r="E561" s="127" t="str">
        <f>IFERROR(IF(D561="","",IF(VLOOKUP(D561,'DESEMPATE Y DISCAPACIDAD'!D$3:$E$450,2,FALSE)=1,"N/A",IF(VLOOKUP(D561,'DESEMPATE Y DISCAPACIDAD'!D$3:$F$450,3,FALSE)="X","SI","NO"))),"")</f>
        <v/>
      </c>
      <c r="F561" s="125"/>
      <c r="G561" s="125"/>
      <c r="H561" s="125"/>
      <c r="I561" s="128"/>
      <c r="J561" s="125"/>
      <c r="K561" s="125"/>
      <c r="L561" s="3"/>
      <c r="M561" s="125"/>
      <c r="N561" s="125" t="str">
        <f t="shared" si="499"/>
        <v/>
      </c>
      <c r="O561" s="125" t="str">
        <f t="shared" si="505"/>
        <v/>
      </c>
      <c r="P561" s="125" t="str">
        <f t="shared" si="500"/>
        <v/>
      </c>
      <c r="Q561" s="125" t="str">
        <f t="shared" si="472"/>
        <v/>
      </c>
      <c r="R561" s="68"/>
      <c r="S561" s="129"/>
      <c r="T561" s="129"/>
      <c r="U561" s="125" t="str">
        <f t="shared" si="501"/>
        <v/>
      </c>
      <c r="V561" s="117" t="str">
        <f>IF(U561=2023,1160000,IFERROR(INDEX(SMMLV!$B$2:$B$101,MATCH(U561,SMMLV!$A$2:$A$101,0)),""))</f>
        <v/>
      </c>
      <c r="W561" s="117"/>
      <c r="X561" s="125"/>
      <c r="Y561" s="125"/>
      <c r="Z561" s="474"/>
      <c r="AA561" s="475"/>
      <c r="AB561" s="476"/>
      <c r="AC561" s="125" t="str">
        <f t="shared" si="502"/>
        <v/>
      </c>
      <c r="AD561" s="117" t="str">
        <f t="shared" si="506"/>
        <v/>
      </c>
      <c r="AE561" s="117" t="str">
        <f t="shared" si="469"/>
        <v/>
      </c>
      <c r="AF561" s="117" t="str">
        <f t="shared" si="461"/>
        <v/>
      </c>
      <c r="AG561" s="470"/>
      <c r="AH561" s="470"/>
      <c r="AI561" s="125" t="str">
        <f t="shared" si="462"/>
        <v/>
      </c>
      <c r="AJ561" s="470"/>
      <c r="AK561" s="470"/>
      <c r="AL561" s="472"/>
      <c r="AM561" s="496"/>
      <c r="AN561" s="125"/>
      <c r="AO561" s="490"/>
      <c r="AP561" s="125"/>
      <c r="AQ561" s="490"/>
      <c r="AR561" s="522"/>
      <c r="AS561" s="519"/>
      <c r="AT561" s="204"/>
      <c r="AU561" s="699"/>
      <c r="AV561" s="702"/>
      <c r="AW561" s="708"/>
      <c r="AX561" s="708"/>
      <c r="AY561" s="19"/>
      <c r="CB561" s="29" t="str">
        <f>IFERROR(IF(COUNTIF(AF553:AF562,"")=10,"",IF(COUNTIF(E553:E562,"N/A")&gt;0,IF(AF561&gt;=CMEMM1,AF561,0),"N/A")),"")</f>
        <v/>
      </c>
      <c r="CC561" s="4"/>
      <c r="CD561" s="4" t="str">
        <f>IFERROR(IF(COUNTIF(AF553:AF562,"")=10,"",IF(AF561="","",IF(AF561&gt;=CMEMM1,1,0))),"")</f>
        <v/>
      </c>
      <c r="CE561" s="4" t="str">
        <f>B553&amp;"-0"&amp;9</f>
        <v>P56-09</v>
      </c>
      <c r="CF561" s="4" t="str">
        <f>IFERROR(INDEX('DESEMPATE Y DISCAPACIDAD'!$D$3:$D$450,MATCH(CE561,'DESEMPATE Y DISCAPACIDAD'!$C$3:$C$450,0)),"")</f>
        <v/>
      </c>
      <c r="CG561" s="4" t="str">
        <f>IF(OR(CE561="",CF561=""),"",SUMIF(D553:D562,CF561,CD553:CD562))</f>
        <v/>
      </c>
      <c r="CH561" s="4" t="str">
        <f t="shared" si="497"/>
        <v/>
      </c>
      <c r="CI561" s="4" t="str">
        <f t="shared" si="503"/>
        <v/>
      </c>
      <c r="CJ561" s="4"/>
      <c r="CK561" s="4"/>
      <c r="CL561" s="4" t="str">
        <f t="shared" si="470"/>
        <v/>
      </c>
      <c r="CM561" s="4" t="str">
        <f t="shared" si="471"/>
        <v/>
      </c>
      <c r="CN561" s="4" t="str">
        <f t="shared" si="504"/>
        <v/>
      </c>
      <c r="CO561" s="4"/>
      <c r="CP561" s="4"/>
      <c r="CQ561" s="29" t="str">
        <f t="shared" si="489"/>
        <v/>
      </c>
      <c r="CR561" s="29" t="str">
        <f t="shared" si="490"/>
        <v/>
      </c>
      <c r="CS561" s="4"/>
    </row>
    <row r="562" spans="1:97" ht="34.25" hidden="1" customHeight="1" thickBot="1">
      <c r="B562" s="482"/>
      <c r="C562" s="130"/>
      <c r="D562" s="131" t="str">
        <f>+IFERROR(INDEX('DESEMPATE Y DISCAPACIDAD'!$D$3:$D$450,MATCH(C562,'DESEMPATE Y DISCAPACIDAD'!$C$3:$C$450,0)),"")</f>
        <v/>
      </c>
      <c r="E562" s="132" t="str">
        <f>IFERROR(IF(D562="","",IF(VLOOKUP(D562,'DESEMPATE Y DISCAPACIDAD'!D$3:$E$450,2,FALSE)=1,"N/A",IF(VLOOKUP(D562,'DESEMPATE Y DISCAPACIDAD'!D$3:$F$450,3,FALSE)="X","SI","NO"))),"")</f>
        <v/>
      </c>
      <c r="F562" s="133"/>
      <c r="G562" s="133"/>
      <c r="H562" s="133"/>
      <c r="I562" s="134"/>
      <c r="J562" s="133"/>
      <c r="K562" s="133"/>
      <c r="L562" s="5"/>
      <c r="M562" s="133"/>
      <c r="N562" s="133" t="str">
        <f t="shared" si="499"/>
        <v/>
      </c>
      <c r="O562" s="133" t="str">
        <f t="shared" si="505"/>
        <v/>
      </c>
      <c r="P562" s="133" t="str">
        <f t="shared" si="500"/>
        <v/>
      </c>
      <c r="Q562" s="133" t="str">
        <f t="shared" si="472"/>
        <v/>
      </c>
      <c r="R562" s="104"/>
      <c r="S562" s="135"/>
      <c r="T562" s="135"/>
      <c r="U562" s="133" t="str">
        <f t="shared" si="501"/>
        <v/>
      </c>
      <c r="V562" s="136" t="str">
        <f>IF(U562=2023,1160000,IFERROR(INDEX(SMMLV!$B$2:$B$101,MATCH(U562,SMMLV!$A$2:$A$101,0)),""))</f>
        <v/>
      </c>
      <c r="W562" s="136"/>
      <c r="X562" s="133"/>
      <c r="Y562" s="133"/>
      <c r="Z562" s="487"/>
      <c r="AA562" s="488"/>
      <c r="AB562" s="489"/>
      <c r="AC562" s="133" t="str">
        <f t="shared" si="502"/>
        <v/>
      </c>
      <c r="AD562" s="136" t="str">
        <f t="shared" si="506"/>
        <v/>
      </c>
      <c r="AE562" s="117" t="str">
        <f t="shared" si="469"/>
        <v/>
      </c>
      <c r="AF562" s="136" t="str">
        <f t="shared" si="461"/>
        <v/>
      </c>
      <c r="AG562" s="471"/>
      <c r="AH562" s="471"/>
      <c r="AI562" s="133" t="str">
        <f t="shared" si="462"/>
        <v/>
      </c>
      <c r="AJ562" s="471"/>
      <c r="AK562" s="471"/>
      <c r="AL562" s="473"/>
      <c r="AM562" s="497"/>
      <c r="AN562" s="133"/>
      <c r="AO562" s="491"/>
      <c r="AP562" s="133"/>
      <c r="AQ562" s="491"/>
      <c r="AR562" s="523"/>
      <c r="AS562" s="520"/>
      <c r="AT562" s="206"/>
      <c r="AU562" s="700"/>
      <c r="AV562" s="703"/>
      <c r="AW562" s="709"/>
      <c r="AX562" s="709"/>
      <c r="AY562" s="19"/>
      <c r="CB562" s="29" t="str">
        <f>IFERROR(IF(COUNTIF(AF553:AF562,"")=10,"",IF(COUNTIF(E553:E562,"N/A")&gt;0,IF(AF562&gt;=CMEMM1,AF562,0),"N/A")),"")</f>
        <v/>
      </c>
      <c r="CC562" s="4"/>
      <c r="CD562" s="4" t="str">
        <f>IFERROR(IF(COUNTIF(AF553:AF562,"")=10,"",IF(AF562="","",IF(AF562&gt;=CMEMM1,1,0))),"")</f>
        <v/>
      </c>
      <c r="CE562" s="4" t="str">
        <f>B553&amp;"-"&amp;10</f>
        <v>P56-10</v>
      </c>
      <c r="CF562" s="4" t="str">
        <f>IFERROR(INDEX('DESEMPATE Y DISCAPACIDAD'!$D$3:$D$450,MATCH(CE562,'DESEMPATE Y DISCAPACIDAD'!$C$3:$C$450,0)),"")</f>
        <v/>
      </c>
      <c r="CG562" s="4" t="str">
        <f>IF(OR(CE562="",CF562=""),"",SUMIF(D553:D562,CF562,CD553:CD562))</f>
        <v/>
      </c>
      <c r="CH562" s="4" t="str">
        <f t="shared" si="497"/>
        <v/>
      </c>
      <c r="CI562" s="4" t="str">
        <f t="shared" si="503"/>
        <v/>
      </c>
      <c r="CJ562" s="4"/>
      <c r="CK562" s="4"/>
      <c r="CL562" s="4" t="str">
        <f t="shared" si="470"/>
        <v/>
      </c>
      <c r="CM562" s="4" t="str">
        <f t="shared" si="471"/>
        <v/>
      </c>
      <c r="CN562" s="4" t="str">
        <f t="shared" si="504"/>
        <v/>
      </c>
      <c r="CO562" s="4"/>
      <c r="CP562" s="4"/>
      <c r="CQ562" s="29" t="str">
        <f t="shared" si="489"/>
        <v/>
      </c>
      <c r="CR562" s="29" t="str">
        <f t="shared" si="490"/>
        <v/>
      </c>
      <c r="CS562" s="4"/>
    </row>
    <row r="563" spans="1:97" ht="34.25" hidden="1" customHeight="1">
      <c r="A563" s="4" t="str">
        <f>"A"&amp;B563</f>
        <v>AP57</v>
      </c>
      <c r="B563" s="480" t="s">
        <v>574</v>
      </c>
      <c r="C563" s="108"/>
      <c r="D563" s="119" t="str">
        <f>+IFERROR(INDEX('DESEMPATE Y DISCAPACIDAD'!$D$3:$D$450,MATCH(C563,'DESEMPATE Y DISCAPACIDAD'!$C$3:$C$450,0)),"")</f>
        <v/>
      </c>
      <c r="E563" s="120" t="str">
        <f>IFERROR(IF(D563="","",IF(VLOOKUP(D563,'DESEMPATE Y DISCAPACIDAD'!D$3:$E$450,2,FALSE)=1,"N/A",IF(VLOOKUP(D563,'DESEMPATE Y DISCAPACIDAD'!D$3:$F$450,3,FALSE)="X","SI","NO"))),"")</f>
        <v/>
      </c>
      <c r="F563" s="125"/>
      <c r="G563" s="125"/>
      <c r="H563" s="121"/>
      <c r="I563" s="122"/>
      <c r="J563" s="121"/>
      <c r="K563" s="121"/>
      <c r="L563" s="179"/>
      <c r="M563" s="179"/>
      <c r="N563" s="121" t="str">
        <f>IFERROR(IF(OR(J563="",K563=""),"",IF(J563="NO","NO",K563)),"")</f>
        <v/>
      </c>
      <c r="O563" s="121" t="str">
        <f>IFERROR(IF(OR(J563="",L563=""),"",IF(J563="NO","NO",L563)),"")</f>
        <v/>
      </c>
      <c r="P563" s="121" t="str">
        <f>IFERROR(IF(OR(J563="",M563=""),"",IF(J563="NO","NO",M563)),"")</f>
        <v/>
      </c>
      <c r="Q563" s="121" t="str">
        <f t="shared" ref="Q563:Q582" si="507">IFERROR(IF(S563="","",IF(S563&gt;=DATE(1900,1,1),"SI","NO")),"")</f>
        <v/>
      </c>
      <c r="R563" s="103"/>
      <c r="S563" s="123"/>
      <c r="T563" s="123"/>
      <c r="U563" s="121" t="str">
        <f>IFERROR(IF(T563="","",YEAR(T563)),"")</f>
        <v/>
      </c>
      <c r="V563" s="124" t="str">
        <f>IF(U563=2023,1160000,IFERROR(INDEX(SMMLV!$B$2:$B$101,MATCH(U563,SMMLV!$A$2:$A$101,0)),""))</f>
        <v/>
      </c>
      <c r="W563" s="124"/>
      <c r="X563" s="121"/>
      <c r="Y563" s="121"/>
      <c r="Z563" s="483"/>
      <c r="AA563" s="484"/>
      <c r="AB563" s="485"/>
      <c r="AC563" s="121" t="str">
        <f>IFERROR(IF(Y563="","",IF(ISNUMBER(Y563),IF(COUNTIF(Z563,"SI")&gt;0,"SI","NO"),Y563)),"")</f>
        <v/>
      </c>
      <c r="AD563" s="124" t="str">
        <f t="shared" si="506"/>
        <v/>
      </c>
      <c r="AE563" s="117" t="str">
        <f t="shared" si="469"/>
        <v/>
      </c>
      <c r="AF563" s="124" t="str">
        <f t="shared" ref="AF563:AF582" si="508">IFERROR(IF(OR(J563="",J563="NO"),"",IF(AND(J563="SI",Q563="SI"),IFERROR(AE563*R563,""),"")),"")</f>
        <v/>
      </c>
      <c r="AG563" s="486" t="str">
        <f>IFERROR(IF(COUNTIF(AF563:AF572,"")=10,"",IF(COUNTIF(E563:E572,"N/A")&gt;0,IF(SUM(CB563:CB572)&gt;=CMEM1,"CUMPLE","NO CUMPLE"),IF(SUM(AF563:AF572)&gt;=CMEM1,"CUMPLE","NO CUMPLE"))),"")</f>
        <v/>
      </c>
      <c r="AH563" s="486" t="str">
        <f>IF(COUNTIF(AF563:AF572,"")=10,"",IF(SUMIF(C563:C572,C563,AF563:AF572)&gt;=CMLM1,"CUMPLE",IF(SUMIF(C563:C572,C564,AF563:AF572)&gt;=CMLM1,"CUMPLE",IF(SUMIF(C563:C572,C565,AF563:AF572)&gt;=CMLM1,"CUMPLE",IF(SUMIF(C563:C572,C566,AF563:AF572)&gt;=CMLM1,"CUMPLE",IF(SUMIF(C563:C572,C567,AF563:AF572)&gt;=CMLM1,"CUMPLE",IF(SUMIF(C563:C572,C568,AF563:AF572)&gt;=CMLM1,"CUMPLE",IF(SUMIF(C563:C572,C569,AF563:AF572)&gt;=CMLM1,"CUMPLE",IF(SUMIF(C563:C572,C570,AF563:AF572)&gt;=CMLM1,"CUMPLE",IF(SUMIF(C563:C572,C571,AF563:AF572)&gt;=CMLM1,"CUMPLE",IF(SUMIF(C563:C572,C572,AF563:AF572)&gt;=CMLM1,"CUMPLE","NO CUMPLE")))))))))))</f>
        <v/>
      </c>
      <c r="AI563" s="121" t="str">
        <f t="shared" ref="AI563:AI582" si="509">IFERROR(IF(AF563="","",IF(AF563&gt;=CMEMM1,"CUMPLE","NO CUMPLE")),"")</f>
        <v/>
      </c>
      <c r="AJ563" s="469" t="str">
        <f>IFERROR(IF(COUNTIF(AF563:AF572,"")=10,"",IF(COUNTIF(E563:E572,"N/A")&gt;0,"N/A",CJ563)),"")</f>
        <v/>
      </c>
      <c r="AK563" s="469" t="str">
        <f>IFERROR(IF(AND(COUNTIF(N563:N572,"SI")&gt;=1,COUNTIF(O563:O572,"SI")&gt;=1,COUNTIF(P563:P572,"SI")&gt;=1,COUNTIF(J563:J572,"SI")&lt;=10,CO563="CUMPLE"),"CUMPLE","NO CUMPLE"),"")</f>
        <v>NO CUMPLE</v>
      </c>
      <c r="AL563" s="472"/>
      <c r="AM563" s="495">
        <f>IFERROR(IF(B563&lt;&gt;"",IF(VLOOKUP(B563,'DESEMPATE Y DISCAPACIDAD'!$A$3:$Q$450,10,FALSE)="","",VLOOKUP(B563,'DESEMPATE Y DISCAPACIDAD'!$A$3:$Q$450,10,FALSE)+6),""),"")</f>
        <v>6</v>
      </c>
      <c r="AN563" s="121"/>
      <c r="AO563" s="490"/>
      <c r="AP563" s="121"/>
      <c r="AQ563" s="490" t="str">
        <f>IFERROR(IF(COUNTIF(AP563:AP572,"")=10,"",IF(AO563="NO",0,COUNTIF(AP563:AP572,"SI"))),"")</f>
        <v/>
      </c>
      <c r="AR563" s="521" t="str">
        <f>IFERROR(IF(COUNTIF(AF563:AF572,"")=10,"",IF(AO563="NO",0,IF(COUNTIF(E563:E572,"N/A")&gt;0,SUM(CQ563:CQ572),SUM(CR563:CR572)))),"")</f>
        <v/>
      </c>
      <c r="AS563" s="518" t="str">
        <f>IFERROR(IF(OR(COUNTIF(AF563:AF572,"")=10,AQ563="",AR563=""),"",IF(AO563="NO",0,AR563/AQ563)),"")</f>
        <v/>
      </c>
      <c r="AT563" s="207"/>
      <c r="AU563" s="698"/>
      <c r="AV563" s="701"/>
      <c r="AW563" s="707"/>
      <c r="AX563" s="707"/>
      <c r="AY563" s="19"/>
      <c r="CB563" s="29" t="str">
        <f>IFERROR(IF(COUNTIF(AF563:AF572,"")=10,"",IF(COUNTIF(E563:E572,"N/A")&gt;0,IF(AF563&gt;=CMEMM1,AF563,0),"N/A")),"")</f>
        <v/>
      </c>
      <c r="CC563" s="4"/>
      <c r="CD563" s="4" t="str">
        <f>IFERROR(IF(COUNTIF(AF563:AF572,"")=10,"",IF(AF563="","",IF(AF563&gt;=CMEMM1,1,0))),"")</f>
        <v/>
      </c>
      <c r="CE563" s="4" t="str">
        <f>B563&amp;"-0"&amp;1</f>
        <v>P57-01</v>
      </c>
      <c r="CF563" s="4">
        <f>IFERROR(INDEX('DESEMPATE Y DISCAPACIDAD'!$D$3:$D$450,MATCH(CE563,'DESEMPATE Y DISCAPACIDAD'!$C$3:$C$450,0)),"")</f>
        <v>0</v>
      </c>
      <c r="CG563" s="4">
        <f>IF(OR(CE563="",CF563=""),"",SUMIF(D563:D572,CF563,CD563:CD572))</f>
        <v>0</v>
      </c>
      <c r="CH563" s="4" t="str">
        <f t="shared" ref="CH563:CH582" si="510">IF(OR(CE563="",CF563="",CG563=""),"",IF(CG563&gt;0,"CUMPLE","NO CUMPLE"))</f>
        <v>NO CUMPLE</v>
      </c>
      <c r="CI563" s="4">
        <f>IF(CF563="","",IF(ISTEXT(CF563),1,0))</f>
        <v>0</v>
      </c>
      <c r="CJ563" s="4" t="str">
        <f>IF(OR(CE563="",CF563="",CG563="",CH563="",CI563=""),"",IF(COUNTIF(CH563:CH572,"CUMPLE")=COUNTIF(CI563:CI572,1),"CUMPLE","NO CUMPLE"))</f>
        <v>CUMPLE</v>
      </c>
      <c r="CK563" s="4"/>
      <c r="CL563" s="4" t="str">
        <f t="shared" ref="CL563:CL582" si="511">IF(N563="","",IF(N563="SI",1,0))</f>
        <v/>
      </c>
      <c r="CM563" s="4" t="str">
        <f t="shared" ref="CM563:CM582" si="512">IF(O563="","",IF(O563="SI",1,0))</f>
        <v/>
      </c>
      <c r="CN563" s="4" t="str">
        <f>IF(OR(CL563="",CM563=""),"",IF(AND(CL563=0,CM563=0),"N/A",IF(AND(CL563=1,CM563=0),"COND. A",IF(AND(CL563=0,CM563=1),"COND. B",IF(AND(CL563=1,CM563=1),"COND. A Y B","")))))</f>
        <v/>
      </c>
      <c r="CO563" s="4" t="str">
        <f>IF(COUNTIF(CN563:CN572,"N/A")=10,"NO CUMPLE",IF(COUNTIF(CN563:CN572,"COND. A Y B")&gt;1,"CUMPLE",IF(AND(COUNTIF(CN563:CN572,"COND. A")&gt;0,COUNTIF(CN563:CN572,"COND. B")&gt;0),"CUMPLE",IF(AND(COUNTIF(CN563:CN572,"COND. A Y B")&gt;0,COUNTIF(CN563:CN572,"COND. A")&gt;0),"CUMPLE",IF(AND(COUNTIF(CN563:CN572,"COND. A Y B")&gt;0,COUNTIF(CN563:CN572,"COND. B")&gt;0),"CUMPLE","NO CUMPLE")))))</f>
        <v>NO CUMPLE</v>
      </c>
      <c r="CP563" s="4"/>
      <c r="CQ563" s="29" t="str">
        <f t="shared" ref="CQ563:CQ582" si="513">IF(OR(AN563="",CB563=""),"",IF(AN563="NO",CB563,0))</f>
        <v/>
      </c>
      <c r="CR563" s="29" t="str">
        <f t="shared" ref="CR563:CR582" si="514">IF(OR(AN563="",AF563=""),"",IF(AN563="NO",AF563,0))</f>
        <v/>
      </c>
      <c r="CS563" s="4"/>
    </row>
    <row r="564" spans="1:97" ht="34.25" hidden="1" customHeight="1">
      <c r="B564" s="481"/>
      <c r="C564" s="118"/>
      <c r="D564" s="119" t="str">
        <f>+IFERROR(INDEX('DESEMPATE Y DISCAPACIDAD'!$D$3:$D$450,MATCH(C564,'DESEMPATE Y DISCAPACIDAD'!$C$3:$C$450,0)),"")</f>
        <v/>
      </c>
      <c r="E564" s="120" t="str">
        <f>IFERROR(IF(D564="","",IF(VLOOKUP(D564,'DESEMPATE Y DISCAPACIDAD'!D$3:$E$450,2,FALSE)=1,"N/A",IF(VLOOKUP(D564,'DESEMPATE Y DISCAPACIDAD'!D$3:$F$450,3,FALSE)="X","SI","NO"))),"")</f>
        <v/>
      </c>
      <c r="F564" s="125"/>
      <c r="G564" s="125"/>
      <c r="H564" s="121"/>
      <c r="I564" s="122"/>
      <c r="J564" s="121"/>
      <c r="K564" s="121"/>
      <c r="L564" s="179"/>
      <c r="M564" s="121"/>
      <c r="N564" s="121" t="str">
        <f t="shared" ref="N564:N572" si="515">IFERROR(IF(OR(J564="",K564=""),"",IF(J564="NO","NO",K564)),"")</f>
        <v/>
      </c>
      <c r="O564" s="121" t="str">
        <f>IFERROR(IF(OR(J564="",L564=""),"",IF(J564="NO","NO",L564)),"")</f>
        <v/>
      </c>
      <c r="P564" s="121" t="str">
        <f t="shared" ref="P564:P572" si="516">IFERROR(IF(OR(J564="",M564=""),"",IF(J564="NO","NO",M564)),"")</f>
        <v/>
      </c>
      <c r="Q564" s="121" t="str">
        <f t="shared" si="507"/>
        <v/>
      </c>
      <c r="R564" s="103"/>
      <c r="S564" s="123"/>
      <c r="T564" s="123"/>
      <c r="U564" s="121" t="str">
        <f t="shared" ref="U564:U572" si="517">IFERROR(IF(T564="","",YEAR(T564)),"")</f>
        <v/>
      </c>
      <c r="V564" s="124" t="str">
        <f>IF(U564=2023,1160000,IFERROR(INDEX(SMMLV!$B$2:$B$101,MATCH(U564,SMMLV!$A$2:$A$101,0)),""))</f>
        <v/>
      </c>
      <c r="W564" s="124"/>
      <c r="X564" s="125"/>
      <c r="Y564" s="125"/>
      <c r="Z564" s="474"/>
      <c r="AA564" s="475"/>
      <c r="AB564" s="476"/>
      <c r="AC564" s="125" t="str">
        <f t="shared" ref="AC564:AC572" si="518">IFERROR(IF(Y564="","",IF(ISNUMBER(Y564),IF(COUNTIF(Z564,"SI")&gt;0,"SI","NO"),Y564)),"")</f>
        <v/>
      </c>
      <c r="AD564" s="117" t="str">
        <f t="shared" si="506"/>
        <v/>
      </c>
      <c r="AE564" s="117" t="str">
        <f t="shared" si="469"/>
        <v/>
      </c>
      <c r="AF564" s="117" t="str">
        <f t="shared" si="508"/>
        <v/>
      </c>
      <c r="AG564" s="470"/>
      <c r="AH564" s="470"/>
      <c r="AI564" s="125" t="str">
        <f t="shared" si="509"/>
        <v/>
      </c>
      <c r="AJ564" s="470"/>
      <c r="AK564" s="470"/>
      <c r="AL564" s="472"/>
      <c r="AM564" s="496"/>
      <c r="AN564" s="125"/>
      <c r="AO564" s="490"/>
      <c r="AP564" s="125"/>
      <c r="AQ564" s="490"/>
      <c r="AR564" s="522"/>
      <c r="AS564" s="519"/>
      <c r="AT564" s="204"/>
      <c r="AU564" s="699"/>
      <c r="AV564" s="702"/>
      <c r="AW564" s="708"/>
      <c r="AX564" s="708"/>
      <c r="AY564" s="19"/>
      <c r="CB564" s="29" t="str">
        <f>IFERROR(IF(COUNTIF(AF563:AF572,"")=10,"",IF(COUNTIF(E563:E572,"N/A")&gt;0,IF(AF564&gt;=CMEMM1,AF564,0),"N/A")),"")</f>
        <v/>
      </c>
      <c r="CC564" s="4"/>
      <c r="CD564" s="4" t="str">
        <f>IFERROR(IF(COUNTIF(AF563:AF572,"")=10,"",IF(AF564="","",IF(AF564&gt;=CMEMM1,1,0))),"")</f>
        <v/>
      </c>
      <c r="CE564" s="4" t="str">
        <f>B563&amp;"-0"&amp;2</f>
        <v>P57-02</v>
      </c>
      <c r="CF564" s="4">
        <f>IFERROR(INDEX('DESEMPATE Y DISCAPACIDAD'!$D$3:$D$450,MATCH(CE564,'DESEMPATE Y DISCAPACIDAD'!$C$3:$C$450,0)),"")</f>
        <v>0</v>
      </c>
      <c r="CG564" s="4">
        <f>IF(OR(CE564="",CF564=""),"",SUMIF(D563:D572,CF564,CD563:CD572))</f>
        <v>0</v>
      </c>
      <c r="CH564" s="4" t="str">
        <f t="shared" si="510"/>
        <v>NO CUMPLE</v>
      </c>
      <c r="CI564" s="4">
        <f t="shared" ref="CI564:CI572" si="519">IF(CF564="","",IF(ISTEXT(CF564),1,0))</f>
        <v>0</v>
      </c>
      <c r="CJ564" s="4"/>
      <c r="CK564" s="4"/>
      <c r="CL564" s="4" t="str">
        <f t="shared" si="511"/>
        <v/>
      </c>
      <c r="CM564" s="4" t="str">
        <f t="shared" si="512"/>
        <v/>
      </c>
      <c r="CN564" s="4" t="str">
        <f t="shared" ref="CN564:CN572" si="520">IF(OR(CL564="",CM564=""),"",IF(AND(CL564=0,CM564=0),"N/A",IF(AND(CL564=1,CM564=0),"COND. A",IF(AND(CL564=0,CM564=1),"COND. B",IF(AND(CL564=1,CM564=1),"COND. A Y B","")))))</f>
        <v/>
      </c>
      <c r="CO564" s="4"/>
      <c r="CP564" s="4"/>
      <c r="CQ564" s="29" t="str">
        <f t="shared" si="513"/>
        <v/>
      </c>
      <c r="CR564" s="29" t="str">
        <f t="shared" si="514"/>
        <v/>
      </c>
      <c r="CS564" s="4"/>
    </row>
    <row r="565" spans="1:97" ht="34.25" hidden="1" customHeight="1">
      <c r="B565" s="481"/>
      <c r="C565" s="118"/>
      <c r="D565" s="126" t="str">
        <f>+IFERROR(INDEX('DESEMPATE Y DISCAPACIDAD'!$D$3:$D$450,MATCH(C565,'DESEMPATE Y DISCAPACIDAD'!$C$3:$C$450,0)),"")</f>
        <v/>
      </c>
      <c r="E565" s="127" t="str">
        <f>IFERROR(IF(D565="","",IF(VLOOKUP(D565,'DESEMPATE Y DISCAPACIDAD'!D$3:$E$450,2,FALSE)=1,"N/A",IF(VLOOKUP(D565,'DESEMPATE Y DISCAPACIDAD'!D$3:$F$450,3,FALSE)="X","SI","NO"))),"")</f>
        <v/>
      </c>
      <c r="F565" s="121"/>
      <c r="G565" s="121"/>
      <c r="H565" s="125"/>
      <c r="I565" s="128"/>
      <c r="J565" s="125"/>
      <c r="K565" s="125"/>
      <c r="L565" s="3"/>
      <c r="M565" s="125"/>
      <c r="N565" s="125" t="str">
        <f t="shared" si="515"/>
        <v/>
      </c>
      <c r="O565" s="125" t="str">
        <f>IFERROR(IF(OR(J565="",L565=""),"",IF(J565="NO","NO",L565)),"")</f>
        <v/>
      </c>
      <c r="P565" s="125" t="str">
        <f t="shared" si="516"/>
        <v/>
      </c>
      <c r="Q565" s="125" t="str">
        <f t="shared" si="507"/>
        <v/>
      </c>
      <c r="R565" s="68"/>
      <c r="S565" s="129"/>
      <c r="T565" s="129"/>
      <c r="U565" s="125" t="str">
        <f t="shared" si="517"/>
        <v/>
      </c>
      <c r="V565" s="117" t="str">
        <f>IF(U565=2023,1160000,IFERROR(INDEX(SMMLV!$B$2:$B$101,MATCH(U565,SMMLV!$A$2:$A$101,0)),""))</f>
        <v/>
      </c>
      <c r="W565" s="117"/>
      <c r="X565" s="125"/>
      <c r="Y565" s="125"/>
      <c r="Z565" s="474"/>
      <c r="AA565" s="475"/>
      <c r="AB565" s="476"/>
      <c r="AC565" s="125" t="str">
        <f t="shared" si="518"/>
        <v/>
      </c>
      <c r="AD565" s="117" t="str">
        <f t="shared" si="506"/>
        <v/>
      </c>
      <c r="AE565" s="117" t="str">
        <f t="shared" si="469"/>
        <v/>
      </c>
      <c r="AF565" s="117" t="str">
        <f t="shared" si="508"/>
        <v/>
      </c>
      <c r="AG565" s="470"/>
      <c r="AH565" s="470"/>
      <c r="AI565" s="125" t="str">
        <f t="shared" si="509"/>
        <v/>
      </c>
      <c r="AJ565" s="470"/>
      <c r="AK565" s="470"/>
      <c r="AL565" s="472"/>
      <c r="AM565" s="496"/>
      <c r="AN565" s="125"/>
      <c r="AO565" s="490"/>
      <c r="AP565" s="125"/>
      <c r="AQ565" s="490"/>
      <c r="AR565" s="522"/>
      <c r="AS565" s="519"/>
      <c r="AT565" s="204"/>
      <c r="AU565" s="699"/>
      <c r="AV565" s="702"/>
      <c r="AW565" s="708"/>
      <c r="AX565" s="708"/>
      <c r="AY565" s="19"/>
      <c r="CB565" s="29" t="str">
        <f>IFERROR(IF(COUNTIF(AF563:AF572,"")=10,"",IF(COUNTIF(E563:E572,"N/A")&gt;0,IF(AF565&gt;=CMEMM1,AF565,0),"N/A")),"")</f>
        <v/>
      </c>
      <c r="CC565" s="4"/>
      <c r="CD565" s="4" t="str">
        <f>IFERROR(IF(COUNTIF(AF563:AF572,"")=10,"",IF(AF565="","",IF(AF565&gt;=CMEMM1,1,0))),"")</f>
        <v/>
      </c>
      <c r="CE565" s="4" t="str">
        <f>B563&amp;"-0"&amp;3</f>
        <v>P57-03</v>
      </c>
      <c r="CF565" s="4">
        <f>IFERROR(INDEX('DESEMPATE Y DISCAPACIDAD'!$D$3:$D$450,MATCH(CE565,'DESEMPATE Y DISCAPACIDAD'!$C$3:$C$450,0)),"")</f>
        <v>0</v>
      </c>
      <c r="CG565" s="4">
        <f>IF(OR(CE565="",CF565=""),"",SUMIF(D563:D572,CF565,CD563:CD572))</f>
        <v>0</v>
      </c>
      <c r="CH565" s="4" t="str">
        <f t="shared" si="510"/>
        <v>NO CUMPLE</v>
      </c>
      <c r="CI565" s="4">
        <f t="shared" si="519"/>
        <v>0</v>
      </c>
      <c r="CJ565" s="4"/>
      <c r="CK565" s="4"/>
      <c r="CL565" s="4" t="str">
        <f t="shared" si="511"/>
        <v/>
      </c>
      <c r="CM565" s="4" t="str">
        <f t="shared" si="512"/>
        <v/>
      </c>
      <c r="CN565" s="4" t="str">
        <f t="shared" si="520"/>
        <v/>
      </c>
      <c r="CO565" s="4"/>
      <c r="CP565" s="4"/>
      <c r="CQ565" s="29" t="str">
        <f t="shared" si="513"/>
        <v/>
      </c>
      <c r="CR565" s="29" t="str">
        <f t="shared" si="514"/>
        <v/>
      </c>
      <c r="CS565" s="4"/>
    </row>
    <row r="566" spans="1:97" ht="34.25" hidden="1" customHeight="1">
      <c r="B566" s="481"/>
      <c r="C566" s="118"/>
      <c r="D566" s="126" t="str">
        <f>+IFERROR(INDEX('DESEMPATE Y DISCAPACIDAD'!$D$3:$D$450,MATCH(C566,'DESEMPATE Y DISCAPACIDAD'!$C$3:$C$450,0)),"")</f>
        <v/>
      </c>
      <c r="E566" s="127" t="str">
        <f>IFERROR(IF(D566="","",IF(VLOOKUP(D566,'DESEMPATE Y DISCAPACIDAD'!D$3:$E$450,2,FALSE)=1,"N/A",IF(VLOOKUP(D566,'DESEMPATE Y DISCAPACIDAD'!D$3:$F$450,3,FALSE)="X","SI","NO"))),"")</f>
        <v/>
      </c>
      <c r="F566" s="141"/>
      <c r="G566" s="125"/>
      <c r="H566" s="125"/>
      <c r="I566" s="128"/>
      <c r="J566" s="125"/>
      <c r="K566" s="125"/>
      <c r="L566" s="3"/>
      <c r="M566" s="125"/>
      <c r="N566" s="125" t="str">
        <f t="shared" si="515"/>
        <v/>
      </c>
      <c r="O566" s="125" t="str">
        <f>IFERROR(IF(OR(J566="",L566=""),"",IF(J566="NO","NO",L566)),"")</f>
        <v/>
      </c>
      <c r="P566" s="125" t="str">
        <f t="shared" si="516"/>
        <v/>
      </c>
      <c r="Q566" s="125" t="str">
        <f t="shared" si="507"/>
        <v/>
      </c>
      <c r="R566" s="68"/>
      <c r="S566" s="129"/>
      <c r="T566" s="129"/>
      <c r="U566" s="125" t="str">
        <f t="shared" si="517"/>
        <v/>
      </c>
      <c r="V566" s="117" t="str">
        <f>IF(U566=2023,1160000,IFERROR(INDEX(SMMLV!$B$2:$B$101,MATCH(U566,SMMLV!$A$2:$A$101,0)),""))</f>
        <v/>
      </c>
      <c r="W566" s="117"/>
      <c r="X566" s="125"/>
      <c r="Y566" s="125"/>
      <c r="Z566" s="474"/>
      <c r="AA566" s="475"/>
      <c r="AB566" s="476"/>
      <c r="AC566" s="125" t="str">
        <f t="shared" si="518"/>
        <v/>
      </c>
      <c r="AD566" s="117" t="str">
        <f t="shared" si="506"/>
        <v/>
      </c>
      <c r="AE566" s="117" t="str">
        <f t="shared" si="469"/>
        <v/>
      </c>
      <c r="AF566" s="117" t="str">
        <f t="shared" si="508"/>
        <v/>
      </c>
      <c r="AG566" s="470"/>
      <c r="AH566" s="470"/>
      <c r="AI566" s="125" t="str">
        <f t="shared" si="509"/>
        <v/>
      </c>
      <c r="AJ566" s="470"/>
      <c r="AK566" s="470"/>
      <c r="AL566" s="472"/>
      <c r="AM566" s="496"/>
      <c r="AN566" s="125"/>
      <c r="AO566" s="490"/>
      <c r="AP566" s="125"/>
      <c r="AQ566" s="490"/>
      <c r="AR566" s="522"/>
      <c r="AS566" s="519"/>
      <c r="AT566" s="204"/>
      <c r="AU566" s="699"/>
      <c r="AV566" s="702"/>
      <c r="AW566" s="708"/>
      <c r="AX566" s="708"/>
      <c r="AY566" s="19"/>
      <c r="CB566" s="29" t="str">
        <f>IFERROR(IF(COUNTIF(AF563:AF572,"")=10,"",IF(COUNTIF(E563:E572,"N/A")&gt;0,IF(AF566&gt;=CMEMM1,AF566,0),"N/A")),"")</f>
        <v/>
      </c>
      <c r="CC566" s="4"/>
      <c r="CD566" s="4" t="str">
        <f>IFERROR(IF(COUNTIF(AF563:AF572,"")=10,"",IF(AF566="","",IF(AF566&gt;=CMEMM1,1,0))),"")</f>
        <v/>
      </c>
      <c r="CE566" s="4" t="str">
        <f>B563&amp;"-0"&amp;4</f>
        <v>P57-04</v>
      </c>
      <c r="CF566" s="4">
        <f>IFERROR(INDEX('DESEMPATE Y DISCAPACIDAD'!$D$3:$D$450,MATCH(CE566,'DESEMPATE Y DISCAPACIDAD'!$C$3:$C$450,0)),"")</f>
        <v>0</v>
      </c>
      <c r="CG566" s="4">
        <f>IF(OR(CE566="",CF566=""),"",SUMIF(D563:D572,CF566,CD563:CD572))</f>
        <v>0</v>
      </c>
      <c r="CH566" s="4" t="str">
        <f t="shared" si="510"/>
        <v>NO CUMPLE</v>
      </c>
      <c r="CI566" s="4">
        <f t="shared" si="519"/>
        <v>0</v>
      </c>
      <c r="CJ566" s="4"/>
      <c r="CK566" s="4"/>
      <c r="CL566" s="4" t="str">
        <f t="shared" si="511"/>
        <v/>
      </c>
      <c r="CM566" s="4" t="str">
        <f t="shared" si="512"/>
        <v/>
      </c>
      <c r="CN566" s="4" t="str">
        <f t="shared" si="520"/>
        <v/>
      </c>
      <c r="CO566" s="4"/>
      <c r="CP566" s="4"/>
      <c r="CQ566" s="29" t="str">
        <f t="shared" si="513"/>
        <v/>
      </c>
      <c r="CR566" s="29" t="str">
        <f t="shared" si="514"/>
        <v/>
      </c>
      <c r="CS566" s="4"/>
    </row>
    <row r="567" spans="1:97" ht="34.25" hidden="1" customHeight="1">
      <c r="B567" s="481"/>
      <c r="C567" s="118"/>
      <c r="D567" s="126" t="str">
        <f>+IFERROR(INDEX('DESEMPATE Y DISCAPACIDAD'!$D$3:$D$450,MATCH(C567,'DESEMPATE Y DISCAPACIDAD'!$C$3:$C$450,0)),"")</f>
        <v/>
      </c>
      <c r="E567" s="127" t="str">
        <f>IFERROR(IF(D567="","",IF(VLOOKUP(D567,'DESEMPATE Y DISCAPACIDAD'!D$3:$E$450,2,FALSE)=1,"N/A",IF(VLOOKUP(D567,'DESEMPATE Y DISCAPACIDAD'!D$3:$F$450,3,FALSE)="X","SI","NO"))),"")</f>
        <v/>
      </c>
      <c r="F567" s="125"/>
      <c r="G567" s="125"/>
      <c r="H567" s="125"/>
      <c r="I567" s="128"/>
      <c r="J567" s="125"/>
      <c r="K567" s="125"/>
      <c r="L567" s="3"/>
      <c r="M567" s="125"/>
      <c r="N567" s="125" t="str">
        <f t="shared" si="515"/>
        <v/>
      </c>
      <c r="O567" s="125" t="str">
        <f t="shared" ref="O567:O572" si="521">IFERROR(IF(OR(J567="",L567=""),"",IF(J567="NO","NO",L567)),"")</f>
        <v/>
      </c>
      <c r="P567" s="125" t="str">
        <f t="shared" si="516"/>
        <v/>
      </c>
      <c r="Q567" s="125" t="str">
        <f t="shared" si="507"/>
        <v/>
      </c>
      <c r="R567" s="68"/>
      <c r="S567" s="129"/>
      <c r="T567" s="129"/>
      <c r="U567" s="125" t="str">
        <f t="shared" si="517"/>
        <v/>
      </c>
      <c r="V567" s="117" t="str">
        <f>IF(U567=2023,1160000,IFERROR(INDEX(SMMLV!$B$2:$B$101,MATCH(U567,SMMLV!$A$2:$A$101,0)),""))</f>
        <v/>
      </c>
      <c r="W567" s="117"/>
      <c r="X567" s="125"/>
      <c r="Y567" s="125"/>
      <c r="Z567" s="474"/>
      <c r="AA567" s="475"/>
      <c r="AB567" s="476"/>
      <c r="AC567" s="125" t="str">
        <f t="shared" si="518"/>
        <v/>
      </c>
      <c r="AD567" s="117" t="str">
        <f t="shared" si="506"/>
        <v/>
      </c>
      <c r="AE567" s="117" t="str">
        <f t="shared" si="469"/>
        <v/>
      </c>
      <c r="AF567" s="117" t="str">
        <f t="shared" si="508"/>
        <v/>
      </c>
      <c r="AG567" s="470"/>
      <c r="AH567" s="470"/>
      <c r="AI567" s="125" t="str">
        <f t="shared" si="509"/>
        <v/>
      </c>
      <c r="AJ567" s="470"/>
      <c r="AK567" s="470"/>
      <c r="AL567" s="472"/>
      <c r="AM567" s="496"/>
      <c r="AN567" s="125"/>
      <c r="AO567" s="490"/>
      <c r="AP567" s="125"/>
      <c r="AQ567" s="490"/>
      <c r="AR567" s="522"/>
      <c r="AS567" s="519"/>
      <c r="AT567" s="204"/>
      <c r="AU567" s="699"/>
      <c r="AV567" s="702"/>
      <c r="AW567" s="708"/>
      <c r="AX567" s="708"/>
      <c r="AY567" s="19"/>
      <c r="CB567" s="29" t="str">
        <f>IFERROR(IF(COUNTIF(AF563:AF572,"")=10,"",IF(COUNTIF(E563:E572,"N/A")&gt;0,IF(AF567&gt;=CMEMM1,AF567,0),"N/A")),"")</f>
        <v/>
      </c>
      <c r="CC567" s="4"/>
      <c r="CD567" s="4" t="str">
        <f>IFERROR(IF(COUNTIF(AF563:AF572,"")=10,"",IF(AF567="","",IF(AF567&gt;=CMEMM1,1,0))),"")</f>
        <v/>
      </c>
      <c r="CE567" s="4" t="str">
        <f>B563&amp;"-0"&amp;5</f>
        <v>P57-05</v>
      </c>
      <c r="CF567" s="4">
        <f>IFERROR(INDEX('DESEMPATE Y DISCAPACIDAD'!$D$3:$D$450,MATCH(CE567,'DESEMPATE Y DISCAPACIDAD'!$C$3:$C$450,0)),"")</f>
        <v>0</v>
      </c>
      <c r="CG567" s="4">
        <f>IF(OR(CE567="",CF567=""),"",SUMIF(D563:D572,CF567,CD563:CD572))</f>
        <v>0</v>
      </c>
      <c r="CH567" s="4" t="str">
        <f t="shared" si="510"/>
        <v>NO CUMPLE</v>
      </c>
      <c r="CI567" s="4">
        <f t="shared" si="519"/>
        <v>0</v>
      </c>
      <c r="CJ567" s="4"/>
      <c r="CK567" s="4"/>
      <c r="CL567" s="4" t="str">
        <f t="shared" si="511"/>
        <v/>
      </c>
      <c r="CM567" s="4" t="str">
        <f t="shared" si="512"/>
        <v/>
      </c>
      <c r="CN567" s="4" t="str">
        <f t="shared" si="520"/>
        <v/>
      </c>
      <c r="CO567" s="4"/>
      <c r="CP567" s="4"/>
      <c r="CQ567" s="29" t="str">
        <f t="shared" si="513"/>
        <v/>
      </c>
      <c r="CR567" s="29" t="str">
        <f t="shared" si="514"/>
        <v/>
      </c>
      <c r="CS567" s="4"/>
    </row>
    <row r="568" spans="1:97" ht="34.25" hidden="1" customHeight="1">
      <c r="B568" s="481"/>
      <c r="C568" s="118"/>
      <c r="D568" s="126" t="str">
        <f>+IFERROR(INDEX('DESEMPATE Y DISCAPACIDAD'!$D$3:$D$450,MATCH(C568,'DESEMPATE Y DISCAPACIDAD'!$C$3:$C$450,0)),"")</f>
        <v/>
      </c>
      <c r="E568" s="127" t="str">
        <f>IFERROR(IF(D568="","",IF(VLOOKUP(D568,'DESEMPATE Y DISCAPACIDAD'!D$3:$E$450,2,FALSE)=1,"N/A",IF(VLOOKUP(D568,'DESEMPATE Y DISCAPACIDAD'!D$3:$F$450,3,FALSE)="X","SI","NO"))),"")</f>
        <v/>
      </c>
      <c r="F568" s="125"/>
      <c r="G568" s="125"/>
      <c r="H568" s="125"/>
      <c r="I568" s="128"/>
      <c r="J568" s="125"/>
      <c r="K568" s="125"/>
      <c r="L568" s="3"/>
      <c r="M568" s="125"/>
      <c r="N568" s="125" t="str">
        <f t="shared" si="515"/>
        <v/>
      </c>
      <c r="O568" s="125" t="str">
        <f t="shared" si="521"/>
        <v/>
      </c>
      <c r="P568" s="125" t="str">
        <f t="shared" si="516"/>
        <v/>
      </c>
      <c r="Q568" s="125" t="str">
        <f t="shared" si="507"/>
        <v/>
      </c>
      <c r="R568" s="68"/>
      <c r="S568" s="129"/>
      <c r="T568" s="129"/>
      <c r="U568" s="125" t="str">
        <f t="shared" si="517"/>
        <v/>
      </c>
      <c r="V568" s="117" t="str">
        <f>IF(U568=2023,1160000,IFERROR(INDEX(SMMLV!$B$2:$B$101,MATCH(U568,SMMLV!$A$2:$A$101,0)),""))</f>
        <v/>
      </c>
      <c r="W568" s="117"/>
      <c r="X568" s="125"/>
      <c r="Y568" s="125"/>
      <c r="Z568" s="474"/>
      <c r="AA568" s="475"/>
      <c r="AB568" s="476"/>
      <c r="AC568" s="125" t="str">
        <f t="shared" si="518"/>
        <v/>
      </c>
      <c r="AD568" s="117" t="str">
        <f t="shared" si="506"/>
        <v/>
      </c>
      <c r="AE568" s="117" t="str">
        <f t="shared" si="469"/>
        <v/>
      </c>
      <c r="AF568" s="117" t="str">
        <f t="shared" si="508"/>
        <v/>
      </c>
      <c r="AG568" s="470"/>
      <c r="AH568" s="470"/>
      <c r="AI568" s="125" t="str">
        <f t="shared" si="509"/>
        <v/>
      </c>
      <c r="AJ568" s="470"/>
      <c r="AK568" s="470"/>
      <c r="AL568" s="472"/>
      <c r="AM568" s="496"/>
      <c r="AN568" s="125"/>
      <c r="AO568" s="490"/>
      <c r="AP568" s="125"/>
      <c r="AQ568" s="490"/>
      <c r="AR568" s="522"/>
      <c r="AS568" s="519"/>
      <c r="AT568" s="204"/>
      <c r="AU568" s="699"/>
      <c r="AV568" s="702"/>
      <c r="AW568" s="708"/>
      <c r="AX568" s="708"/>
      <c r="AY568" s="19"/>
      <c r="CB568" s="29" t="str">
        <f>IFERROR(IF(COUNTIF(AF563:AF572,"")=10,"",IF(COUNTIF(E563:E572,"N/A")&gt;0,IF(AF568&gt;=CMEMM1,AF568,0),"N/A")),"")</f>
        <v/>
      </c>
      <c r="CC568" s="4"/>
      <c r="CD568" s="4" t="str">
        <f>IFERROR(IF(COUNTIF(AF563:AF572,"")=10,"",IF(AF568="","",IF(AF568&gt;=CMEMM1,1,0))),"")</f>
        <v/>
      </c>
      <c r="CE568" s="4" t="str">
        <f>B563&amp;"-0"&amp;6</f>
        <v>P57-06</v>
      </c>
      <c r="CF568" s="4">
        <f>IFERROR(INDEX('DESEMPATE Y DISCAPACIDAD'!$D$3:$D$450,MATCH(CE568,'DESEMPATE Y DISCAPACIDAD'!$C$3:$C$450,0)),"")</f>
        <v>0</v>
      </c>
      <c r="CG568" s="4">
        <f>IF(OR(CE568="",CF568=""),"",SUMIF(D563:D572,CF568,CD563:CD572))</f>
        <v>0</v>
      </c>
      <c r="CH568" s="4" t="str">
        <f t="shared" si="510"/>
        <v>NO CUMPLE</v>
      </c>
      <c r="CI568" s="4">
        <f t="shared" si="519"/>
        <v>0</v>
      </c>
      <c r="CJ568" s="4"/>
      <c r="CK568" s="4"/>
      <c r="CL568" s="4" t="str">
        <f t="shared" si="511"/>
        <v/>
      </c>
      <c r="CM568" s="4" t="str">
        <f t="shared" si="512"/>
        <v/>
      </c>
      <c r="CN568" s="4" t="str">
        <f t="shared" si="520"/>
        <v/>
      </c>
      <c r="CO568" s="4"/>
      <c r="CP568" s="4"/>
      <c r="CQ568" s="29" t="str">
        <f t="shared" si="513"/>
        <v/>
      </c>
      <c r="CR568" s="29" t="str">
        <f t="shared" si="514"/>
        <v/>
      </c>
      <c r="CS568" s="4"/>
    </row>
    <row r="569" spans="1:97" ht="34.25" hidden="1" customHeight="1">
      <c r="B569" s="481"/>
      <c r="C569" s="118"/>
      <c r="D569" s="126" t="str">
        <f>+IFERROR(INDEX('DESEMPATE Y DISCAPACIDAD'!$D$3:$D$450,MATCH(C569,'DESEMPATE Y DISCAPACIDAD'!$C$3:$C$450,0)),"")</f>
        <v/>
      </c>
      <c r="E569" s="127" t="str">
        <f>IFERROR(IF(D569="","",IF(VLOOKUP(D569,'DESEMPATE Y DISCAPACIDAD'!D$3:$E$450,2,FALSE)=1,"N/A",IF(VLOOKUP(D569,'DESEMPATE Y DISCAPACIDAD'!D$3:$F$450,3,FALSE)="X","SI","NO"))),"")</f>
        <v/>
      </c>
      <c r="F569" s="125"/>
      <c r="G569" s="125"/>
      <c r="H569" s="125"/>
      <c r="I569" s="128"/>
      <c r="J569" s="125"/>
      <c r="K569" s="125"/>
      <c r="L569" s="3"/>
      <c r="M569" s="125"/>
      <c r="N569" s="125" t="str">
        <f t="shared" si="515"/>
        <v/>
      </c>
      <c r="O569" s="125" t="str">
        <f t="shared" si="521"/>
        <v/>
      </c>
      <c r="P569" s="125" t="str">
        <f t="shared" si="516"/>
        <v/>
      </c>
      <c r="Q569" s="125" t="str">
        <f t="shared" si="507"/>
        <v/>
      </c>
      <c r="R569" s="68"/>
      <c r="S569" s="129"/>
      <c r="T569" s="129"/>
      <c r="U569" s="125" t="str">
        <f t="shared" si="517"/>
        <v/>
      </c>
      <c r="V569" s="117" t="str">
        <f>IF(U569=2023,1160000,IFERROR(INDEX(SMMLV!$B$2:$B$101,MATCH(U569,SMMLV!$A$2:$A$101,0)),""))</f>
        <v/>
      </c>
      <c r="W569" s="117"/>
      <c r="X569" s="125"/>
      <c r="Y569" s="125"/>
      <c r="Z569" s="474"/>
      <c r="AA569" s="475"/>
      <c r="AB569" s="476"/>
      <c r="AC569" s="125" t="str">
        <f t="shared" si="518"/>
        <v/>
      </c>
      <c r="AD569" s="117" t="str">
        <f t="shared" ref="AD569:AD582" si="522">IF(W569="","",IF(W569="N/A","N/A",W569))</f>
        <v/>
      </c>
      <c r="AE569" s="117" t="str">
        <f t="shared" si="469"/>
        <v/>
      </c>
      <c r="AF569" s="117" t="str">
        <f t="shared" si="508"/>
        <v/>
      </c>
      <c r="AG569" s="470"/>
      <c r="AH569" s="470"/>
      <c r="AI569" s="125" t="str">
        <f t="shared" si="509"/>
        <v/>
      </c>
      <c r="AJ569" s="470"/>
      <c r="AK569" s="470"/>
      <c r="AL569" s="472"/>
      <c r="AM569" s="496"/>
      <c r="AN569" s="125"/>
      <c r="AO569" s="490"/>
      <c r="AP569" s="125"/>
      <c r="AQ569" s="490"/>
      <c r="AR569" s="522"/>
      <c r="AS569" s="519"/>
      <c r="AT569" s="204"/>
      <c r="AU569" s="699"/>
      <c r="AV569" s="702"/>
      <c r="AW569" s="708"/>
      <c r="AX569" s="708"/>
      <c r="AY569" s="19"/>
      <c r="CB569" s="29" t="str">
        <f>IFERROR(IF(COUNTIF(AF563:AF572,"")=10,"",IF(COUNTIF(E563:E572,"N/A")&gt;0,IF(AF569&gt;=CMEMM1,AF569,0),"N/A")),"")</f>
        <v/>
      </c>
      <c r="CC569" s="4"/>
      <c r="CD569" s="4" t="str">
        <f>IFERROR(IF(COUNTIF(AF563:AF572,"")=10,"",IF(AF569="","",IF(AF569&gt;=CMEMM1,1,0))),"")</f>
        <v/>
      </c>
      <c r="CE569" s="4" t="str">
        <f>B563&amp;"-0"&amp;7</f>
        <v>P57-07</v>
      </c>
      <c r="CF569" s="4" t="str">
        <f>IFERROR(INDEX('DESEMPATE Y DISCAPACIDAD'!$D$3:$D$450,MATCH(CE569,'DESEMPATE Y DISCAPACIDAD'!$C$3:$C$450,0)),"")</f>
        <v/>
      </c>
      <c r="CG569" s="4" t="str">
        <f>IF(OR(CE569="",CF569=""),"",SUMIF(D563:D572,CF569,CD563:CD572))</f>
        <v/>
      </c>
      <c r="CH569" s="4" t="str">
        <f t="shared" si="510"/>
        <v/>
      </c>
      <c r="CI569" s="4" t="str">
        <f t="shared" si="519"/>
        <v/>
      </c>
      <c r="CJ569" s="4"/>
      <c r="CK569" s="4"/>
      <c r="CL569" s="4" t="str">
        <f t="shared" si="511"/>
        <v/>
      </c>
      <c r="CM569" s="4" t="str">
        <f t="shared" si="512"/>
        <v/>
      </c>
      <c r="CN569" s="4" t="str">
        <f t="shared" si="520"/>
        <v/>
      </c>
      <c r="CO569" s="4"/>
      <c r="CP569" s="4"/>
      <c r="CQ569" s="29" t="str">
        <f t="shared" si="513"/>
        <v/>
      </c>
      <c r="CR569" s="29" t="str">
        <f t="shared" si="514"/>
        <v/>
      </c>
      <c r="CS569" s="4"/>
    </row>
    <row r="570" spans="1:97" ht="34.25" hidden="1" customHeight="1">
      <c r="B570" s="481"/>
      <c r="C570" s="118"/>
      <c r="D570" s="126" t="str">
        <f>+IFERROR(INDEX('DESEMPATE Y DISCAPACIDAD'!$D$3:$D$450,MATCH(C570,'DESEMPATE Y DISCAPACIDAD'!$C$3:$C$450,0)),"")</f>
        <v/>
      </c>
      <c r="E570" s="127" t="str">
        <f>IFERROR(IF(D570="","",IF(VLOOKUP(D570,'DESEMPATE Y DISCAPACIDAD'!D$3:$E$450,2,FALSE)=1,"N/A",IF(VLOOKUP(D570,'DESEMPATE Y DISCAPACIDAD'!D$3:$F$450,3,FALSE)="X","SI","NO"))),"")</f>
        <v/>
      </c>
      <c r="F570" s="125"/>
      <c r="G570" s="125"/>
      <c r="H570" s="125"/>
      <c r="I570" s="128"/>
      <c r="J570" s="125"/>
      <c r="K570" s="125"/>
      <c r="L570" s="3"/>
      <c r="M570" s="125"/>
      <c r="N570" s="125" t="str">
        <f t="shared" si="515"/>
        <v/>
      </c>
      <c r="O570" s="125" t="str">
        <f t="shared" si="521"/>
        <v/>
      </c>
      <c r="P570" s="125" t="str">
        <f t="shared" si="516"/>
        <v/>
      </c>
      <c r="Q570" s="125" t="str">
        <f t="shared" si="507"/>
        <v/>
      </c>
      <c r="R570" s="68"/>
      <c r="S570" s="129"/>
      <c r="T570" s="129"/>
      <c r="U570" s="125" t="str">
        <f t="shared" si="517"/>
        <v/>
      </c>
      <c r="V570" s="117" t="str">
        <f>IF(U570=2023,1160000,IFERROR(INDEX(SMMLV!$B$2:$B$101,MATCH(U570,SMMLV!$A$2:$A$101,0)),""))</f>
        <v/>
      </c>
      <c r="W570" s="117"/>
      <c r="X570" s="125"/>
      <c r="Y570" s="125"/>
      <c r="Z570" s="474"/>
      <c r="AA570" s="475"/>
      <c r="AB570" s="476"/>
      <c r="AC570" s="125" t="str">
        <f t="shared" si="518"/>
        <v/>
      </c>
      <c r="AD570" s="117" t="str">
        <f t="shared" si="522"/>
        <v/>
      </c>
      <c r="AE570" s="117" t="str">
        <f t="shared" si="469"/>
        <v/>
      </c>
      <c r="AF570" s="117" t="str">
        <f t="shared" si="508"/>
        <v/>
      </c>
      <c r="AG570" s="470"/>
      <c r="AH570" s="470"/>
      <c r="AI570" s="125" t="str">
        <f t="shared" si="509"/>
        <v/>
      </c>
      <c r="AJ570" s="470"/>
      <c r="AK570" s="470"/>
      <c r="AL570" s="472"/>
      <c r="AM570" s="496"/>
      <c r="AN570" s="125"/>
      <c r="AO570" s="490"/>
      <c r="AP570" s="125"/>
      <c r="AQ570" s="490"/>
      <c r="AR570" s="522"/>
      <c r="AS570" s="519"/>
      <c r="AT570" s="204"/>
      <c r="AU570" s="699"/>
      <c r="AV570" s="702"/>
      <c r="AW570" s="708"/>
      <c r="AX570" s="708"/>
      <c r="AY570" s="19"/>
      <c r="CB570" s="29" t="str">
        <f>IFERROR(IF(COUNTIF(AF563:AF572,"")=10,"",IF(COUNTIF(E563:E572,"N/A")&gt;0,IF(AF570&gt;=CMEMM1,AF570,0),"N/A")),"")</f>
        <v/>
      </c>
      <c r="CC570" s="4"/>
      <c r="CD570" s="4" t="str">
        <f>IFERROR(IF(COUNTIF(AF563:AF572,"")=10,"",IF(AF570="","",IF(AF570&gt;=CMEMM1,1,0))),"")</f>
        <v/>
      </c>
      <c r="CE570" s="4" t="str">
        <f>B563&amp;"-0"&amp;8</f>
        <v>P57-08</v>
      </c>
      <c r="CF570" s="4" t="str">
        <f>IFERROR(INDEX('DESEMPATE Y DISCAPACIDAD'!$D$3:$D$450,MATCH(CE570,'DESEMPATE Y DISCAPACIDAD'!$C$3:$C$450,0)),"")</f>
        <v/>
      </c>
      <c r="CG570" s="4" t="str">
        <f>IF(OR(CE570="",CF570=""),"",SUMIF(D563:D572,CF570,CD563:CD572))</f>
        <v/>
      </c>
      <c r="CH570" s="4" t="str">
        <f t="shared" si="510"/>
        <v/>
      </c>
      <c r="CI570" s="4" t="str">
        <f t="shared" si="519"/>
        <v/>
      </c>
      <c r="CJ570" s="4"/>
      <c r="CK570" s="4"/>
      <c r="CL570" s="4" t="str">
        <f t="shared" si="511"/>
        <v/>
      </c>
      <c r="CM570" s="4" t="str">
        <f t="shared" si="512"/>
        <v/>
      </c>
      <c r="CN570" s="4" t="str">
        <f t="shared" si="520"/>
        <v/>
      </c>
      <c r="CO570" s="4"/>
      <c r="CP570" s="4"/>
      <c r="CQ570" s="29" t="str">
        <f t="shared" si="513"/>
        <v/>
      </c>
      <c r="CR570" s="29" t="str">
        <f t="shared" si="514"/>
        <v/>
      </c>
      <c r="CS570" s="4"/>
    </row>
    <row r="571" spans="1:97" ht="34.25" hidden="1" customHeight="1">
      <c r="B571" s="481"/>
      <c r="C571" s="118"/>
      <c r="D571" s="126" t="str">
        <f>+IFERROR(INDEX('DESEMPATE Y DISCAPACIDAD'!$D$3:$D$450,MATCH(C571,'DESEMPATE Y DISCAPACIDAD'!$C$3:$C$450,0)),"")</f>
        <v/>
      </c>
      <c r="E571" s="127" t="str">
        <f>IFERROR(IF(D571="","",IF(VLOOKUP(D571,'DESEMPATE Y DISCAPACIDAD'!D$3:$E$450,2,FALSE)=1,"N/A",IF(VLOOKUP(D571,'DESEMPATE Y DISCAPACIDAD'!D$3:$F$450,3,FALSE)="X","SI","NO"))),"")</f>
        <v/>
      </c>
      <c r="F571" s="125"/>
      <c r="G571" s="125"/>
      <c r="H571" s="125"/>
      <c r="I571" s="128"/>
      <c r="J571" s="125"/>
      <c r="K571" s="125"/>
      <c r="L571" s="3"/>
      <c r="M571" s="125"/>
      <c r="N571" s="125" t="str">
        <f t="shared" si="515"/>
        <v/>
      </c>
      <c r="O571" s="125" t="str">
        <f t="shared" si="521"/>
        <v/>
      </c>
      <c r="P571" s="125" t="str">
        <f t="shared" si="516"/>
        <v/>
      </c>
      <c r="Q571" s="125" t="str">
        <f t="shared" si="507"/>
        <v/>
      </c>
      <c r="R571" s="68"/>
      <c r="S571" s="129"/>
      <c r="T571" s="129"/>
      <c r="U571" s="125" t="str">
        <f t="shared" si="517"/>
        <v/>
      </c>
      <c r="V571" s="117" t="str">
        <f>IF(U571=2023,1160000,IFERROR(INDEX(SMMLV!$B$2:$B$101,MATCH(U571,SMMLV!$A$2:$A$101,0)),""))</f>
        <v/>
      </c>
      <c r="W571" s="117"/>
      <c r="X571" s="125"/>
      <c r="Y571" s="125"/>
      <c r="Z571" s="474"/>
      <c r="AA571" s="475"/>
      <c r="AB571" s="476"/>
      <c r="AC571" s="125" t="str">
        <f t="shared" si="518"/>
        <v/>
      </c>
      <c r="AD571" s="117" t="str">
        <f t="shared" si="522"/>
        <v/>
      </c>
      <c r="AE571" s="117" t="str">
        <f t="shared" si="469"/>
        <v/>
      </c>
      <c r="AF571" s="117" t="str">
        <f t="shared" si="508"/>
        <v/>
      </c>
      <c r="AG571" s="470"/>
      <c r="AH571" s="470"/>
      <c r="AI571" s="125" t="str">
        <f t="shared" si="509"/>
        <v/>
      </c>
      <c r="AJ571" s="470"/>
      <c r="AK571" s="470"/>
      <c r="AL571" s="472"/>
      <c r="AM571" s="496"/>
      <c r="AN571" s="125"/>
      <c r="AO571" s="490"/>
      <c r="AP571" s="125"/>
      <c r="AQ571" s="490"/>
      <c r="AR571" s="522"/>
      <c r="AS571" s="519"/>
      <c r="AT571" s="204"/>
      <c r="AU571" s="699"/>
      <c r="AV571" s="702"/>
      <c r="AW571" s="708"/>
      <c r="AX571" s="708"/>
      <c r="AY571" s="19"/>
      <c r="CB571" s="29" t="str">
        <f>IFERROR(IF(COUNTIF(AF563:AF572,"")=10,"",IF(COUNTIF(E563:E572,"N/A")&gt;0,IF(AF571&gt;=CMEMM1,AF571,0),"N/A")),"")</f>
        <v/>
      </c>
      <c r="CC571" s="4"/>
      <c r="CD571" s="4" t="str">
        <f>IFERROR(IF(COUNTIF(AF563:AF572,"")=10,"",IF(AF571="","",IF(AF571&gt;=CMEMM1,1,0))),"")</f>
        <v/>
      </c>
      <c r="CE571" s="4" t="str">
        <f>B563&amp;"-0"&amp;9</f>
        <v>P57-09</v>
      </c>
      <c r="CF571" s="4" t="str">
        <f>IFERROR(INDEX('DESEMPATE Y DISCAPACIDAD'!$D$3:$D$450,MATCH(CE571,'DESEMPATE Y DISCAPACIDAD'!$C$3:$C$450,0)),"")</f>
        <v/>
      </c>
      <c r="CG571" s="4" t="str">
        <f>IF(OR(CE571="",CF571=""),"",SUMIF(D563:D572,CF571,CD563:CD572))</f>
        <v/>
      </c>
      <c r="CH571" s="4" t="str">
        <f t="shared" si="510"/>
        <v/>
      </c>
      <c r="CI571" s="4" t="str">
        <f t="shared" si="519"/>
        <v/>
      </c>
      <c r="CJ571" s="4"/>
      <c r="CK571" s="4"/>
      <c r="CL571" s="4" t="str">
        <f t="shared" si="511"/>
        <v/>
      </c>
      <c r="CM571" s="4" t="str">
        <f t="shared" si="512"/>
        <v/>
      </c>
      <c r="CN571" s="4" t="str">
        <f t="shared" si="520"/>
        <v/>
      </c>
      <c r="CO571" s="4"/>
      <c r="CP571" s="4"/>
      <c r="CQ571" s="29" t="str">
        <f t="shared" si="513"/>
        <v/>
      </c>
      <c r="CR571" s="29" t="str">
        <f t="shared" si="514"/>
        <v/>
      </c>
      <c r="CS571" s="4"/>
    </row>
    <row r="572" spans="1:97" ht="34.25" hidden="1" customHeight="1" thickBot="1">
      <c r="B572" s="482"/>
      <c r="C572" s="130"/>
      <c r="D572" s="131" t="str">
        <f>+IFERROR(INDEX('DESEMPATE Y DISCAPACIDAD'!$D$3:$D$450,MATCH(C572,'DESEMPATE Y DISCAPACIDAD'!$C$3:$C$450,0)),"")</f>
        <v/>
      </c>
      <c r="E572" s="132" t="str">
        <f>IFERROR(IF(D572="","",IF(VLOOKUP(D572,'DESEMPATE Y DISCAPACIDAD'!D$3:$E$450,2,FALSE)=1,"N/A",IF(VLOOKUP(D572,'DESEMPATE Y DISCAPACIDAD'!D$3:$F$450,3,FALSE)="X","SI","NO"))),"")</f>
        <v/>
      </c>
      <c r="F572" s="133"/>
      <c r="G572" s="133"/>
      <c r="H572" s="133"/>
      <c r="I572" s="134"/>
      <c r="J572" s="133"/>
      <c r="K572" s="133"/>
      <c r="L572" s="5"/>
      <c r="M572" s="133"/>
      <c r="N572" s="133" t="str">
        <f t="shared" si="515"/>
        <v/>
      </c>
      <c r="O572" s="133" t="str">
        <f t="shared" si="521"/>
        <v/>
      </c>
      <c r="P572" s="133" t="str">
        <f t="shared" si="516"/>
        <v/>
      </c>
      <c r="Q572" s="133" t="str">
        <f t="shared" si="507"/>
        <v/>
      </c>
      <c r="R572" s="104"/>
      <c r="S572" s="135"/>
      <c r="T572" s="135"/>
      <c r="U572" s="133" t="str">
        <f t="shared" si="517"/>
        <v/>
      </c>
      <c r="V572" s="136" t="str">
        <f>IF(U572=2023,1160000,IFERROR(INDEX(SMMLV!$B$2:$B$101,MATCH(U572,SMMLV!$A$2:$A$101,0)),""))</f>
        <v/>
      </c>
      <c r="W572" s="136"/>
      <c r="X572" s="133"/>
      <c r="Y572" s="133"/>
      <c r="Z572" s="487"/>
      <c r="AA572" s="488"/>
      <c r="AB572" s="489"/>
      <c r="AC572" s="133" t="str">
        <f t="shared" si="518"/>
        <v/>
      </c>
      <c r="AD572" s="136" t="str">
        <f t="shared" si="522"/>
        <v/>
      </c>
      <c r="AE572" s="117" t="str">
        <f t="shared" si="469"/>
        <v/>
      </c>
      <c r="AF572" s="136" t="str">
        <f t="shared" si="508"/>
        <v/>
      </c>
      <c r="AG572" s="471"/>
      <c r="AH572" s="471"/>
      <c r="AI572" s="133" t="str">
        <f t="shared" si="509"/>
        <v/>
      </c>
      <c r="AJ572" s="471"/>
      <c r="AK572" s="471"/>
      <c r="AL572" s="473"/>
      <c r="AM572" s="497"/>
      <c r="AN572" s="133"/>
      <c r="AO572" s="491"/>
      <c r="AP572" s="133"/>
      <c r="AQ572" s="491"/>
      <c r="AR572" s="523"/>
      <c r="AS572" s="520"/>
      <c r="AT572" s="206"/>
      <c r="AU572" s="700"/>
      <c r="AV572" s="703"/>
      <c r="AW572" s="709"/>
      <c r="AX572" s="709"/>
      <c r="AY572" s="19"/>
      <c r="CB572" s="29" t="str">
        <f>IFERROR(IF(COUNTIF(AF563:AF572,"")=10,"",IF(COUNTIF(E563:E572,"N/A")&gt;0,IF(AF572&gt;=CMEMM1,AF572,0),"N/A")),"")</f>
        <v/>
      </c>
      <c r="CC572" s="4"/>
      <c r="CD572" s="4" t="str">
        <f>IFERROR(IF(COUNTIF(AF563:AF572,"")=10,"",IF(AF572="","",IF(AF572&gt;=CMEMM1,1,0))),"")</f>
        <v/>
      </c>
      <c r="CE572" s="4" t="str">
        <f>B563&amp;"-"&amp;10</f>
        <v>P57-10</v>
      </c>
      <c r="CF572" s="4" t="str">
        <f>IFERROR(INDEX('DESEMPATE Y DISCAPACIDAD'!$D$3:$D$450,MATCH(CE572,'DESEMPATE Y DISCAPACIDAD'!$C$3:$C$450,0)),"")</f>
        <v/>
      </c>
      <c r="CG572" s="4" t="str">
        <f>IF(OR(CE572="",CF572=""),"",SUMIF(D563:D572,CF572,CD563:CD572))</f>
        <v/>
      </c>
      <c r="CH572" s="4" t="str">
        <f t="shared" si="510"/>
        <v/>
      </c>
      <c r="CI572" s="4" t="str">
        <f t="shared" si="519"/>
        <v/>
      </c>
      <c r="CJ572" s="4"/>
      <c r="CK572" s="4"/>
      <c r="CL572" s="4" t="str">
        <f t="shared" si="511"/>
        <v/>
      </c>
      <c r="CM572" s="4" t="str">
        <f t="shared" si="512"/>
        <v/>
      </c>
      <c r="CN572" s="4" t="str">
        <f t="shared" si="520"/>
        <v/>
      </c>
      <c r="CO572" s="4"/>
      <c r="CP572" s="4"/>
      <c r="CQ572" s="29" t="str">
        <f t="shared" si="513"/>
        <v/>
      </c>
      <c r="CR572" s="29" t="str">
        <f t="shared" si="514"/>
        <v/>
      </c>
      <c r="CS572" s="4"/>
    </row>
    <row r="573" spans="1:97" ht="34.25" hidden="1" customHeight="1">
      <c r="A573" s="4" t="str">
        <f>"A"&amp;B573</f>
        <v>AP58</v>
      </c>
      <c r="B573" s="480" t="s">
        <v>575</v>
      </c>
      <c r="C573" s="108"/>
      <c r="D573" s="119" t="str">
        <f>+IFERROR(INDEX('DESEMPATE Y DISCAPACIDAD'!$D$3:$D$450,MATCH(C573,'DESEMPATE Y DISCAPACIDAD'!$C$3:$C$450,0)),"")</f>
        <v/>
      </c>
      <c r="E573" s="120" t="str">
        <f>IFERROR(IF(D573="","",IF(VLOOKUP(D573,'DESEMPATE Y DISCAPACIDAD'!D$3:$E$450,2,FALSE)=1,"N/A",IF(VLOOKUP(D573,'DESEMPATE Y DISCAPACIDAD'!D$3:$F$450,3,FALSE)="X","SI","NO"))),"")</f>
        <v/>
      </c>
      <c r="F573" s="125"/>
      <c r="G573" s="125"/>
      <c r="H573" s="121"/>
      <c r="I573" s="122"/>
      <c r="J573" s="121"/>
      <c r="K573" s="121"/>
      <c r="L573" s="179"/>
      <c r="M573" s="121"/>
      <c r="N573" s="121" t="str">
        <f>IFERROR(IF(OR(J573="",K573=""),"",IF(J573="NO","NO",K573)),"")</f>
        <v/>
      </c>
      <c r="O573" s="121" t="str">
        <f>IFERROR(IF(OR(J573="",L573=""),"",IF(J573="NO","NO",L573)),"")</f>
        <v/>
      </c>
      <c r="P573" s="121" t="str">
        <f>IFERROR(IF(OR(J573="",M573=""),"",IF(J573="NO","NO",M573)),"")</f>
        <v/>
      </c>
      <c r="Q573" s="121" t="str">
        <f t="shared" si="507"/>
        <v/>
      </c>
      <c r="R573" s="103"/>
      <c r="S573" s="123"/>
      <c r="T573" s="123"/>
      <c r="U573" s="121" t="str">
        <f>IFERROR(IF(T573="","",YEAR(T573)),"")</f>
        <v/>
      </c>
      <c r="V573" s="124" t="str">
        <f>IF(U573=2023,1160000,IFERROR(INDEX(SMMLV!$B$2:$B$101,MATCH(U573,SMMLV!$A$2:$A$101,0)),""))</f>
        <v/>
      </c>
      <c r="W573" s="124"/>
      <c r="X573" s="121"/>
      <c r="Y573" s="121"/>
      <c r="Z573" s="483"/>
      <c r="AA573" s="484"/>
      <c r="AB573" s="485"/>
      <c r="AC573" s="121" t="str">
        <f>IFERROR(IF(Y573="","",IF(ISNUMBER(Y573),IF(COUNTIF(Z573,"SI")&gt;0,"SI","NO"),Y573)),"")</f>
        <v/>
      </c>
      <c r="AD573" s="124" t="str">
        <f t="shared" si="522"/>
        <v/>
      </c>
      <c r="AE573" s="117" t="str">
        <f t="shared" si="469"/>
        <v/>
      </c>
      <c r="AF573" s="124" t="str">
        <f t="shared" si="508"/>
        <v/>
      </c>
      <c r="AG573" s="486" t="str">
        <f>IFERROR(IF(COUNTIF(AF573:AF582,"")=10,"",IF(COUNTIF(E573:E582,"N/A")&gt;0,IF(SUM(CB573:CB582)&gt;=CMEM1,"CUMPLE","NO CUMPLE"),IF(SUM(AF573:AF582)&gt;=CMEM1,"CUMPLE","NO CUMPLE"))),"")</f>
        <v/>
      </c>
      <c r="AH573" s="486" t="str">
        <f>IF(COUNTIF(AF573:AF582,"")=10,"",IF(SUMIF(C573:C582,C573,AF573:AF582)&gt;=CMLM1,"CUMPLE",IF(SUMIF(C573:C582,C574,AF573:AF582)&gt;=CMLM1,"CUMPLE",IF(SUMIF(C573:C582,C575,AF573:AF582)&gt;=CMLM1,"CUMPLE",IF(SUMIF(C573:C582,C576,AF573:AF582)&gt;=CMLM1,"CUMPLE",IF(SUMIF(C573:C582,C577,AF573:AF582)&gt;=CMLM1,"CUMPLE",IF(SUMIF(C573:C582,C578,AF573:AF582)&gt;=CMLM1,"CUMPLE",IF(SUMIF(C573:C582,C579,AF573:AF582)&gt;=CMLM1,"CUMPLE",IF(SUMIF(C573:C582,C580,AF573:AF582)&gt;=CMLM1,"CUMPLE",IF(SUMIF(C573:C582,C581,AF573:AF582)&gt;=CMLM1,"CUMPLE",IF(SUMIF(C573:C582,C582,AF573:AF582)&gt;=CMLM1,"CUMPLE","NO CUMPLE")))))))))))</f>
        <v/>
      </c>
      <c r="AI573" s="121" t="str">
        <f t="shared" si="509"/>
        <v/>
      </c>
      <c r="AJ573" s="469" t="str">
        <f>IFERROR(IF(COUNTIF(AF573:AF582,"")=10,"",IF(COUNTIF(E573:E582,"N/A")&gt;0,"N/A",CJ573)),"")</f>
        <v/>
      </c>
      <c r="AK573" s="469" t="str">
        <f>IFERROR(IF(AND(COUNTIF(N573:N582,"SI")&gt;=1,COUNTIF(O573:O582,"SI")&gt;=1,COUNTIF(P573:P582,"SI")&gt;=1,COUNTIF(J573:J582,"SI")&lt;=10,CO573="CUMPLE"),"CUMPLE","NO CUMPLE"),"")</f>
        <v>NO CUMPLE</v>
      </c>
      <c r="AL573" s="472"/>
      <c r="AM573" s="495">
        <f>IFERROR(IF(B573&lt;&gt;"",IF(VLOOKUP(B573,'DESEMPATE Y DISCAPACIDAD'!$A$3:$Q$450,10,FALSE)="","",VLOOKUP(B573,'DESEMPATE Y DISCAPACIDAD'!$A$3:$Q$450,10,FALSE)+6),""),"")</f>
        <v>6</v>
      </c>
      <c r="AN573" s="121"/>
      <c r="AO573" s="490"/>
      <c r="AP573" s="121"/>
      <c r="AQ573" s="490" t="str">
        <f>IFERROR(IF(COUNTIF(AP573:AP582,"")=10,"",IF(AO573="NO",0,COUNTIF(AP573:AP582,"SI"))),"")</f>
        <v/>
      </c>
      <c r="AR573" s="521" t="str">
        <f>IFERROR(IF(COUNTIF(AF573:AF582,"")=10,"",IF(AO573="NO",0,IF(COUNTIF(E573:E582,"N/A")&gt;0,SUM(CQ573:CQ582),SUM(CR573:CR582)))),"")</f>
        <v/>
      </c>
      <c r="AS573" s="518" t="str">
        <f>IFERROR(IF(OR(COUNTIF(AF573:AF582,"")=10,AQ573="",AR573=""),"",IF(AO573="NO",0,AR573/AQ573)),"")</f>
        <v/>
      </c>
      <c r="AT573" s="207"/>
      <c r="AU573" s="698"/>
      <c r="AV573" s="701"/>
      <c r="AW573" s="707"/>
      <c r="AX573" s="707"/>
      <c r="AY573" s="19"/>
      <c r="CB573" s="29" t="str">
        <f>IFERROR(IF(COUNTIF(AF573:AF582,"")=10,"",IF(COUNTIF(E573:E582,"N/A")&gt;0,IF(AF573&gt;=CMEMM1,AF573,0),"N/A")),"")</f>
        <v/>
      </c>
      <c r="CC573" s="4"/>
      <c r="CD573" s="4" t="str">
        <f>IFERROR(IF(COUNTIF(AF573:AF582,"")=10,"",IF(AF573="","",IF(AF573&gt;=CMEMM1,1,0))),"")</f>
        <v/>
      </c>
      <c r="CE573" s="4" t="str">
        <f>B573&amp;"-0"&amp;1</f>
        <v>P58-01</v>
      </c>
      <c r="CF573" s="4">
        <f>IFERROR(INDEX('DESEMPATE Y DISCAPACIDAD'!$D$3:$D$450,MATCH(CE573,'DESEMPATE Y DISCAPACIDAD'!$C$3:$C$450,0)),"")</f>
        <v>0</v>
      </c>
      <c r="CG573" s="4">
        <f>IF(OR(CE573="",CF573=""),"",SUMIF(D573:D582,CF573,CD573:CD582))</f>
        <v>0</v>
      </c>
      <c r="CH573" s="4" t="str">
        <f t="shared" si="510"/>
        <v>NO CUMPLE</v>
      </c>
      <c r="CI573" s="4">
        <f>IF(CF573="","",IF(ISTEXT(CF573),1,0))</f>
        <v>0</v>
      </c>
      <c r="CJ573" s="4" t="str">
        <f>IF(OR(CE573="",CF573="",CG573="",CH573="",CI573=""),"",IF(COUNTIF(CH573:CH582,"CUMPLE")=COUNTIF(CI573:CI582,1),"CUMPLE","NO CUMPLE"))</f>
        <v>CUMPLE</v>
      </c>
      <c r="CK573" s="4"/>
      <c r="CL573" s="4" t="str">
        <f t="shared" si="511"/>
        <v/>
      </c>
      <c r="CM573" s="4" t="str">
        <f t="shared" si="512"/>
        <v/>
      </c>
      <c r="CN573" s="4" t="str">
        <f>IF(OR(CL573="",CM573=""),"",IF(AND(CL573=0,CM573=0),"N/A",IF(AND(CL573=1,CM573=0),"COND. A",IF(AND(CL573=0,CM573=1),"COND. B",IF(AND(CL573=1,CM573=1),"COND. A Y B","")))))</f>
        <v/>
      </c>
      <c r="CO573" s="4" t="str">
        <f>IF(COUNTIF(CN573:CN582,"N/A")=10,"NO CUMPLE",IF(COUNTIF(CN573:CN582,"COND. A Y B")&gt;1,"CUMPLE",IF(AND(COUNTIF(CN573:CN582,"COND. A")&gt;0,COUNTIF(CN573:CN582,"COND. B")&gt;0),"CUMPLE",IF(AND(COUNTIF(CN573:CN582,"COND. A Y B")&gt;0,COUNTIF(CN573:CN582,"COND. A")&gt;0),"CUMPLE",IF(AND(COUNTIF(CN573:CN582,"COND. A Y B")&gt;0,COUNTIF(CN573:CN582,"COND. B")&gt;0),"CUMPLE","NO CUMPLE")))))</f>
        <v>NO CUMPLE</v>
      </c>
      <c r="CP573" s="4"/>
      <c r="CQ573" s="29" t="str">
        <f t="shared" si="513"/>
        <v/>
      </c>
      <c r="CR573" s="29" t="str">
        <f t="shared" si="514"/>
        <v/>
      </c>
      <c r="CS573" s="4"/>
    </row>
    <row r="574" spans="1:97" ht="34.25" hidden="1" customHeight="1">
      <c r="B574" s="481"/>
      <c r="C574" s="118"/>
      <c r="D574" s="119" t="str">
        <f>+IFERROR(INDEX('DESEMPATE Y DISCAPACIDAD'!$D$3:$D$450,MATCH(C574,'DESEMPATE Y DISCAPACIDAD'!$C$3:$C$450,0)),"")</f>
        <v/>
      </c>
      <c r="E574" s="120" t="str">
        <f>IFERROR(IF(D574="","",IF(VLOOKUP(D574,'DESEMPATE Y DISCAPACIDAD'!D$3:$E$450,2,FALSE)=1,"N/A",IF(VLOOKUP(D574,'DESEMPATE Y DISCAPACIDAD'!D$3:$F$450,3,FALSE)="X","SI","NO"))),"")</f>
        <v/>
      </c>
      <c r="F574" s="125"/>
      <c r="G574" s="125"/>
      <c r="H574" s="121"/>
      <c r="I574" s="122"/>
      <c r="J574" s="121"/>
      <c r="K574" s="121"/>
      <c r="L574" s="179"/>
      <c r="M574" s="121"/>
      <c r="N574" s="121" t="str">
        <f t="shared" ref="N574:N582" si="523">IFERROR(IF(OR(J574="",K574=""),"",IF(J574="NO","NO",K574)),"")</f>
        <v/>
      </c>
      <c r="O574" s="121" t="str">
        <f>IFERROR(IF(OR(J574="",L574=""),"",IF(J574="NO","NO",L574)),"")</f>
        <v/>
      </c>
      <c r="P574" s="121" t="str">
        <f t="shared" ref="P574:P582" si="524">IFERROR(IF(OR(J574="",M574=""),"",IF(J574="NO","NO",M574)),"")</f>
        <v/>
      </c>
      <c r="Q574" s="121" t="str">
        <f t="shared" si="507"/>
        <v/>
      </c>
      <c r="R574" s="103"/>
      <c r="S574" s="123"/>
      <c r="T574" s="123"/>
      <c r="U574" s="121" t="str">
        <f t="shared" ref="U574:U582" si="525">IFERROR(IF(T574="","",YEAR(T574)),"")</f>
        <v/>
      </c>
      <c r="V574" s="124" t="str">
        <f>IF(U574=2023,1160000,IFERROR(INDEX(SMMLV!$B$2:$B$101,MATCH(U574,SMMLV!$A$2:$A$101,0)),""))</f>
        <v/>
      </c>
      <c r="W574" s="124"/>
      <c r="X574" s="125"/>
      <c r="Y574" s="125"/>
      <c r="Z574" s="474"/>
      <c r="AA574" s="475"/>
      <c r="AB574" s="476"/>
      <c r="AC574" s="125" t="str">
        <f t="shared" ref="AC574:AC582" si="526">IFERROR(IF(Y574="","",IF(ISNUMBER(Y574),IF(COUNTIF(Z574,"SI")&gt;0,"SI","NO"),Y574)),"")</f>
        <v/>
      </c>
      <c r="AD574" s="117" t="str">
        <f t="shared" si="522"/>
        <v/>
      </c>
      <c r="AE574" s="117" t="str">
        <f t="shared" si="469"/>
        <v/>
      </c>
      <c r="AF574" s="117" t="str">
        <f t="shared" si="508"/>
        <v/>
      </c>
      <c r="AG574" s="470"/>
      <c r="AH574" s="470"/>
      <c r="AI574" s="125" t="str">
        <f t="shared" si="509"/>
        <v/>
      </c>
      <c r="AJ574" s="470"/>
      <c r="AK574" s="470"/>
      <c r="AL574" s="472"/>
      <c r="AM574" s="496"/>
      <c r="AN574" s="125"/>
      <c r="AO574" s="490"/>
      <c r="AP574" s="125"/>
      <c r="AQ574" s="490"/>
      <c r="AR574" s="522"/>
      <c r="AS574" s="519"/>
      <c r="AT574" s="204"/>
      <c r="AU574" s="699"/>
      <c r="AV574" s="702"/>
      <c r="AW574" s="708"/>
      <c r="AX574" s="708"/>
      <c r="AY574" s="19"/>
      <c r="CB574" s="29" t="str">
        <f>IFERROR(IF(COUNTIF(AF573:AF582,"")=10,"",IF(COUNTIF(E573:E582,"N/A")&gt;0,IF(AF574&gt;=CMEMM1,AF574,0),"N/A")),"")</f>
        <v/>
      </c>
      <c r="CC574" s="4"/>
      <c r="CD574" s="4" t="str">
        <f>IFERROR(IF(COUNTIF(AF573:AF582,"")=10,"",IF(AF574="","",IF(AF574&gt;=CMEMM1,1,0))),"")</f>
        <v/>
      </c>
      <c r="CE574" s="4" t="str">
        <f>B573&amp;"-0"&amp;2</f>
        <v>P58-02</v>
      </c>
      <c r="CF574" s="4">
        <f>IFERROR(INDEX('DESEMPATE Y DISCAPACIDAD'!$D$3:$D$450,MATCH(CE574,'DESEMPATE Y DISCAPACIDAD'!$C$3:$C$450,0)),"")</f>
        <v>0</v>
      </c>
      <c r="CG574" s="4">
        <f>IF(OR(CE574="",CF574=""),"",SUMIF(D573:D582,CF574,CD573:CD582))</f>
        <v>0</v>
      </c>
      <c r="CH574" s="4" t="str">
        <f t="shared" si="510"/>
        <v>NO CUMPLE</v>
      </c>
      <c r="CI574" s="4">
        <f t="shared" ref="CI574:CI582" si="527">IF(CF574="","",IF(ISTEXT(CF574),1,0))</f>
        <v>0</v>
      </c>
      <c r="CJ574" s="4"/>
      <c r="CK574" s="4"/>
      <c r="CL574" s="4" t="str">
        <f t="shared" si="511"/>
        <v/>
      </c>
      <c r="CM574" s="4" t="str">
        <f t="shared" si="512"/>
        <v/>
      </c>
      <c r="CN574" s="4" t="str">
        <f t="shared" ref="CN574:CN582" si="528">IF(OR(CL574="",CM574=""),"",IF(AND(CL574=0,CM574=0),"N/A",IF(AND(CL574=1,CM574=0),"COND. A",IF(AND(CL574=0,CM574=1),"COND. B",IF(AND(CL574=1,CM574=1),"COND. A Y B","")))))</f>
        <v/>
      </c>
      <c r="CO574" s="4"/>
      <c r="CP574" s="4"/>
      <c r="CQ574" s="29" t="str">
        <f t="shared" si="513"/>
        <v/>
      </c>
      <c r="CR574" s="29" t="str">
        <f t="shared" si="514"/>
        <v/>
      </c>
      <c r="CS574" s="4"/>
    </row>
    <row r="575" spans="1:97" ht="34.25" hidden="1" customHeight="1">
      <c r="B575" s="481"/>
      <c r="C575" s="118"/>
      <c r="D575" s="126" t="str">
        <f>+IFERROR(INDEX('DESEMPATE Y DISCAPACIDAD'!$D$3:$D$450,MATCH(C575,'DESEMPATE Y DISCAPACIDAD'!$C$3:$C$450,0)),"")</f>
        <v/>
      </c>
      <c r="E575" s="127" t="str">
        <f>IFERROR(IF(D575="","",IF(VLOOKUP(D575,'DESEMPATE Y DISCAPACIDAD'!D$3:$E$450,2,FALSE)=1,"N/A",IF(VLOOKUP(D575,'DESEMPATE Y DISCAPACIDAD'!D$3:$F$450,3,FALSE)="X","SI","NO"))),"")</f>
        <v/>
      </c>
      <c r="F575" s="121"/>
      <c r="G575" s="121"/>
      <c r="H575" s="125"/>
      <c r="I575" s="128"/>
      <c r="J575" s="125"/>
      <c r="K575" s="125"/>
      <c r="L575" s="3"/>
      <c r="M575" s="3"/>
      <c r="N575" s="125" t="str">
        <f t="shared" si="523"/>
        <v/>
      </c>
      <c r="O575" s="125" t="str">
        <f>IFERROR(IF(OR(J575="",L575=""),"",IF(J575="NO","NO",L575)),"")</f>
        <v/>
      </c>
      <c r="P575" s="125" t="str">
        <f t="shared" si="524"/>
        <v/>
      </c>
      <c r="Q575" s="125" t="str">
        <f t="shared" si="507"/>
        <v/>
      </c>
      <c r="R575" s="68"/>
      <c r="S575" s="129"/>
      <c r="T575" s="129"/>
      <c r="U575" s="125" t="str">
        <f t="shared" si="525"/>
        <v/>
      </c>
      <c r="V575" s="117" t="str">
        <f>IF(U575=2023,1160000,IFERROR(INDEX(SMMLV!$B$2:$B$101,MATCH(U575,SMMLV!$A$2:$A$101,0)),""))</f>
        <v/>
      </c>
      <c r="W575" s="117"/>
      <c r="X575" s="125"/>
      <c r="Y575" s="125"/>
      <c r="Z575" s="474"/>
      <c r="AA575" s="475"/>
      <c r="AB575" s="476"/>
      <c r="AC575" s="125" t="str">
        <f t="shared" si="526"/>
        <v/>
      </c>
      <c r="AD575" s="117" t="str">
        <f t="shared" si="522"/>
        <v/>
      </c>
      <c r="AE575" s="117" t="str">
        <f t="shared" si="469"/>
        <v/>
      </c>
      <c r="AF575" s="117" t="str">
        <f t="shared" si="508"/>
        <v/>
      </c>
      <c r="AG575" s="470"/>
      <c r="AH575" s="470"/>
      <c r="AI575" s="125" t="str">
        <f t="shared" si="509"/>
        <v/>
      </c>
      <c r="AJ575" s="470"/>
      <c r="AK575" s="470"/>
      <c r="AL575" s="472"/>
      <c r="AM575" s="496"/>
      <c r="AN575" s="125"/>
      <c r="AO575" s="490"/>
      <c r="AP575" s="125"/>
      <c r="AQ575" s="490"/>
      <c r="AR575" s="522"/>
      <c r="AS575" s="519"/>
      <c r="AT575" s="204"/>
      <c r="AU575" s="699"/>
      <c r="AV575" s="702"/>
      <c r="AW575" s="708"/>
      <c r="AX575" s="708"/>
      <c r="AY575" s="19"/>
      <c r="CB575" s="29" t="str">
        <f>IFERROR(IF(COUNTIF(AF573:AF582,"")=10,"",IF(COUNTIF(E573:E582,"N/A")&gt;0,IF(AF575&gt;=CMEMM1,AF575,0),"N/A")),"")</f>
        <v/>
      </c>
      <c r="CC575" s="4"/>
      <c r="CD575" s="4" t="str">
        <f>IFERROR(IF(COUNTIF(AF573:AF582,"")=10,"",IF(AF575="","",IF(AF575&gt;=CMEMM1,1,0))),"")</f>
        <v/>
      </c>
      <c r="CE575" s="4" t="str">
        <f>B573&amp;"-0"&amp;3</f>
        <v>P58-03</v>
      </c>
      <c r="CF575" s="4">
        <f>IFERROR(INDEX('DESEMPATE Y DISCAPACIDAD'!$D$3:$D$450,MATCH(CE575,'DESEMPATE Y DISCAPACIDAD'!$C$3:$C$450,0)),"")</f>
        <v>0</v>
      </c>
      <c r="CG575" s="4">
        <f>IF(OR(CE575="",CF575=""),"",SUMIF(D573:D582,CF575,CD573:CD582))</f>
        <v>0</v>
      </c>
      <c r="CH575" s="4" t="str">
        <f t="shared" si="510"/>
        <v>NO CUMPLE</v>
      </c>
      <c r="CI575" s="4">
        <f t="shared" si="527"/>
        <v>0</v>
      </c>
      <c r="CJ575" s="4"/>
      <c r="CK575" s="4"/>
      <c r="CL575" s="4" t="str">
        <f t="shared" si="511"/>
        <v/>
      </c>
      <c r="CM575" s="4" t="str">
        <f t="shared" si="512"/>
        <v/>
      </c>
      <c r="CN575" s="4" t="str">
        <f t="shared" si="528"/>
        <v/>
      </c>
      <c r="CO575" s="4"/>
      <c r="CP575" s="4"/>
      <c r="CQ575" s="29" t="str">
        <f t="shared" si="513"/>
        <v/>
      </c>
      <c r="CR575" s="29" t="str">
        <f t="shared" si="514"/>
        <v/>
      </c>
      <c r="CS575" s="4"/>
    </row>
    <row r="576" spans="1:97" ht="34.25" hidden="1" customHeight="1">
      <c r="B576" s="481"/>
      <c r="C576" s="118"/>
      <c r="D576" s="126" t="str">
        <f>+IFERROR(INDEX('DESEMPATE Y DISCAPACIDAD'!$D$3:$D$450,MATCH(C576,'DESEMPATE Y DISCAPACIDAD'!$C$3:$C$450,0)),"")</f>
        <v/>
      </c>
      <c r="E576" s="127" t="str">
        <f>IFERROR(IF(D576="","",IF(VLOOKUP(D576,'DESEMPATE Y DISCAPACIDAD'!D$3:$E$450,2,FALSE)=1,"N/A",IF(VLOOKUP(D576,'DESEMPATE Y DISCAPACIDAD'!D$3:$F$450,3,FALSE)="X","SI","NO"))),"")</f>
        <v/>
      </c>
      <c r="F576" s="141"/>
      <c r="G576" s="125"/>
      <c r="H576" s="125"/>
      <c r="I576" s="128"/>
      <c r="J576" s="125"/>
      <c r="K576" s="125"/>
      <c r="L576" s="3"/>
      <c r="M576" s="125"/>
      <c r="N576" s="125" t="str">
        <f t="shared" si="523"/>
        <v/>
      </c>
      <c r="O576" s="125" t="str">
        <f>IFERROR(IF(OR(J576="",L576=""),"",IF(J576="NO","NO",L576)),"")</f>
        <v/>
      </c>
      <c r="P576" s="125" t="str">
        <f t="shared" si="524"/>
        <v/>
      </c>
      <c r="Q576" s="125" t="str">
        <f t="shared" si="507"/>
        <v/>
      </c>
      <c r="R576" s="68"/>
      <c r="S576" s="129"/>
      <c r="T576" s="129"/>
      <c r="U576" s="125" t="str">
        <f t="shared" si="525"/>
        <v/>
      </c>
      <c r="V576" s="117" t="str">
        <f>IF(U576=2023,1160000,IFERROR(INDEX(SMMLV!$B$2:$B$101,MATCH(U576,SMMLV!$A$2:$A$101,0)),""))</f>
        <v/>
      </c>
      <c r="W576" s="117"/>
      <c r="X576" s="125"/>
      <c r="Y576" s="125"/>
      <c r="Z576" s="474"/>
      <c r="AA576" s="475"/>
      <c r="AB576" s="476"/>
      <c r="AC576" s="125" t="str">
        <f t="shared" si="526"/>
        <v/>
      </c>
      <c r="AD576" s="117" t="str">
        <f t="shared" si="522"/>
        <v/>
      </c>
      <c r="AE576" s="117" t="str">
        <f t="shared" si="469"/>
        <v/>
      </c>
      <c r="AF576" s="117" t="str">
        <f t="shared" si="508"/>
        <v/>
      </c>
      <c r="AG576" s="470"/>
      <c r="AH576" s="470"/>
      <c r="AI576" s="125" t="str">
        <f t="shared" si="509"/>
        <v/>
      </c>
      <c r="AJ576" s="470"/>
      <c r="AK576" s="470"/>
      <c r="AL576" s="472"/>
      <c r="AM576" s="496"/>
      <c r="AN576" s="125"/>
      <c r="AO576" s="490"/>
      <c r="AP576" s="125"/>
      <c r="AQ576" s="490"/>
      <c r="AR576" s="522"/>
      <c r="AS576" s="519"/>
      <c r="AT576" s="204"/>
      <c r="AU576" s="699"/>
      <c r="AV576" s="702"/>
      <c r="AW576" s="708"/>
      <c r="AX576" s="708"/>
      <c r="AY576" s="19"/>
      <c r="CB576" s="29" t="str">
        <f>IFERROR(IF(COUNTIF(AF573:AF582,"")=10,"",IF(COUNTIF(E573:E582,"N/A")&gt;0,IF(AF576&gt;=CMEMM1,AF576,0),"N/A")),"")</f>
        <v/>
      </c>
      <c r="CC576" s="4"/>
      <c r="CD576" s="4" t="str">
        <f>IFERROR(IF(COUNTIF(AF573:AF582,"")=10,"",IF(AF576="","",IF(AF576&gt;=CMEMM1,1,0))),"")</f>
        <v/>
      </c>
      <c r="CE576" s="4" t="str">
        <f>B573&amp;"-0"&amp;4</f>
        <v>P58-04</v>
      </c>
      <c r="CF576" s="4">
        <f>IFERROR(INDEX('DESEMPATE Y DISCAPACIDAD'!$D$3:$D$450,MATCH(CE576,'DESEMPATE Y DISCAPACIDAD'!$C$3:$C$450,0)),"")</f>
        <v>0</v>
      </c>
      <c r="CG576" s="4">
        <f>IF(OR(CE576="",CF576=""),"",SUMIF(D573:D582,CF576,CD573:CD582))</f>
        <v>0</v>
      </c>
      <c r="CH576" s="4" t="str">
        <f t="shared" si="510"/>
        <v>NO CUMPLE</v>
      </c>
      <c r="CI576" s="4">
        <f t="shared" si="527"/>
        <v>0</v>
      </c>
      <c r="CJ576" s="4"/>
      <c r="CK576" s="4"/>
      <c r="CL576" s="4" t="str">
        <f t="shared" si="511"/>
        <v/>
      </c>
      <c r="CM576" s="4" t="str">
        <f t="shared" si="512"/>
        <v/>
      </c>
      <c r="CN576" s="4" t="str">
        <f t="shared" si="528"/>
        <v/>
      </c>
      <c r="CO576" s="4"/>
      <c r="CP576" s="4"/>
      <c r="CQ576" s="29" t="str">
        <f t="shared" si="513"/>
        <v/>
      </c>
      <c r="CR576" s="29" t="str">
        <f t="shared" si="514"/>
        <v/>
      </c>
      <c r="CS576" s="4"/>
    </row>
    <row r="577" spans="1:97" ht="34.25" hidden="1" customHeight="1">
      <c r="B577" s="481"/>
      <c r="C577" s="118"/>
      <c r="D577" s="126" t="str">
        <f>+IFERROR(INDEX('DESEMPATE Y DISCAPACIDAD'!$D$3:$D$450,MATCH(C577,'DESEMPATE Y DISCAPACIDAD'!$C$3:$C$450,0)),"")</f>
        <v/>
      </c>
      <c r="E577" s="127" t="str">
        <f>IFERROR(IF(D577="","",IF(VLOOKUP(D577,'DESEMPATE Y DISCAPACIDAD'!D$3:$E$450,2,FALSE)=1,"N/A",IF(VLOOKUP(D577,'DESEMPATE Y DISCAPACIDAD'!D$3:$F$450,3,FALSE)="X","SI","NO"))),"")</f>
        <v/>
      </c>
      <c r="F577" s="125"/>
      <c r="G577" s="125"/>
      <c r="H577" s="125"/>
      <c r="I577" s="128"/>
      <c r="J577" s="125"/>
      <c r="K577" s="125"/>
      <c r="L577" s="125"/>
      <c r="M577" s="125"/>
      <c r="N577" s="125" t="str">
        <f t="shared" si="523"/>
        <v/>
      </c>
      <c r="O577" s="125" t="str">
        <f t="shared" ref="O577:O582" si="529">IFERROR(IF(OR(J577="",L577=""),"",IF(J577="NO","NO",L577)),"")</f>
        <v/>
      </c>
      <c r="P577" s="125" t="str">
        <f t="shared" si="524"/>
        <v/>
      </c>
      <c r="Q577" s="125" t="str">
        <f t="shared" si="507"/>
        <v/>
      </c>
      <c r="R577" s="68"/>
      <c r="S577" s="129"/>
      <c r="T577" s="129"/>
      <c r="U577" s="125" t="str">
        <f t="shared" si="525"/>
        <v/>
      </c>
      <c r="V577" s="117" t="str">
        <f>IF(U577=2023,1160000,IFERROR(INDEX(SMMLV!$B$2:$B$101,MATCH(U577,SMMLV!$A$2:$A$101,0)),""))</f>
        <v/>
      </c>
      <c r="W577" s="117"/>
      <c r="X577" s="125"/>
      <c r="Y577" s="125"/>
      <c r="Z577" s="474"/>
      <c r="AA577" s="475"/>
      <c r="AB577" s="476"/>
      <c r="AC577" s="125" t="str">
        <f t="shared" si="526"/>
        <v/>
      </c>
      <c r="AD577" s="117" t="str">
        <f t="shared" si="522"/>
        <v/>
      </c>
      <c r="AE577" s="117" t="str">
        <f t="shared" si="469"/>
        <v/>
      </c>
      <c r="AF577" s="117" t="str">
        <f t="shared" si="508"/>
        <v/>
      </c>
      <c r="AG577" s="470"/>
      <c r="AH577" s="470"/>
      <c r="AI577" s="125" t="str">
        <f t="shared" si="509"/>
        <v/>
      </c>
      <c r="AJ577" s="470"/>
      <c r="AK577" s="470"/>
      <c r="AL577" s="472"/>
      <c r="AM577" s="496"/>
      <c r="AN577" s="125"/>
      <c r="AO577" s="490"/>
      <c r="AP577" s="125"/>
      <c r="AQ577" s="490"/>
      <c r="AR577" s="522"/>
      <c r="AS577" s="519"/>
      <c r="AT577" s="204"/>
      <c r="AU577" s="699"/>
      <c r="AV577" s="702"/>
      <c r="AW577" s="708"/>
      <c r="AX577" s="708"/>
      <c r="AY577" s="19"/>
      <c r="CB577" s="29" t="str">
        <f>IFERROR(IF(COUNTIF(AF573:AF582,"")=10,"",IF(COUNTIF(E573:E582,"N/A")&gt;0,IF(AF577&gt;=CMEMM1,AF577,0),"N/A")),"")</f>
        <v/>
      </c>
      <c r="CC577" s="4"/>
      <c r="CD577" s="4" t="str">
        <f>IFERROR(IF(COUNTIF(AF573:AF582,"")=10,"",IF(AF577="","",IF(AF577&gt;=CMEMM1,1,0))),"")</f>
        <v/>
      </c>
      <c r="CE577" s="4" t="str">
        <f>B573&amp;"-0"&amp;5</f>
        <v>P58-05</v>
      </c>
      <c r="CF577" s="4">
        <f>IFERROR(INDEX('DESEMPATE Y DISCAPACIDAD'!$D$3:$D$450,MATCH(CE577,'DESEMPATE Y DISCAPACIDAD'!$C$3:$C$450,0)),"")</f>
        <v>0</v>
      </c>
      <c r="CG577" s="4">
        <f>IF(OR(CE577="",CF577=""),"",SUMIF(D573:D582,CF577,CD573:CD582))</f>
        <v>0</v>
      </c>
      <c r="CH577" s="4" t="str">
        <f t="shared" si="510"/>
        <v>NO CUMPLE</v>
      </c>
      <c r="CI577" s="4">
        <f t="shared" si="527"/>
        <v>0</v>
      </c>
      <c r="CJ577" s="4"/>
      <c r="CK577" s="4"/>
      <c r="CL577" s="4" t="str">
        <f t="shared" si="511"/>
        <v/>
      </c>
      <c r="CM577" s="4" t="str">
        <f t="shared" si="512"/>
        <v/>
      </c>
      <c r="CN577" s="4" t="str">
        <f t="shared" si="528"/>
        <v/>
      </c>
      <c r="CO577" s="4"/>
      <c r="CP577" s="4"/>
      <c r="CQ577" s="29" t="str">
        <f t="shared" si="513"/>
        <v/>
      </c>
      <c r="CR577" s="29" t="str">
        <f t="shared" si="514"/>
        <v/>
      </c>
      <c r="CS577" s="4"/>
    </row>
    <row r="578" spans="1:97" ht="34.25" hidden="1" customHeight="1">
      <c r="B578" s="481"/>
      <c r="C578" s="118"/>
      <c r="D578" s="126" t="str">
        <f>+IFERROR(INDEX('DESEMPATE Y DISCAPACIDAD'!$D$3:$D$450,MATCH(C578,'DESEMPATE Y DISCAPACIDAD'!$C$3:$C$450,0)),"")</f>
        <v/>
      </c>
      <c r="E578" s="127" t="str">
        <f>IFERROR(IF(D578="","",IF(VLOOKUP(D578,'DESEMPATE Y DISCAPACIDAD'!D$3:$E$450,2,FALSE)=1,"N/A",IF(VLOOKUP(D578,'DESEMPATE Y DISCAPACIDAD'!D$3:$F$450,3,FALSE)="X","SI","NO"))),"")</f>
        <v/>
      </c>
      <c r="F578" s="125"/>
      <c r="G578" s="125"/>
      <c r="H578" s="125"/>
      <c r="I578" s="128"/>
      <c r="J578" s="125"/>
      <c r="K578" s="125"/>
      <c r="L578" s="125"/>
      <c r="M578" s="125"/>
      <c r="N578" s="125" t="str">
        <f t="shared" si="523"/>
        <v/>
      </c>
      <c r="O578" s="125" t="str">
        <f t="shared" si="529"/>
        <v/>
      </c>
      <c r="P578" s="125" t="str">
        <f t="shared" si="524"/>
        <v/>
      </c>
      <c r="Q578" s="125" t="str">
        <f t="shared" si="507"/>
        <v/>
      </c>
      <c r="R578" s="68"/>
      <c r="S578" s="129"/>
      <c r="T578" s="129"/>
      <c r="U578" s="125" t="str">
        <f t="shared" si="525"/>
        <v/>
      </c>
      <c r="V578" s="117" t="str">
        <f>IF(U578=2023,1160000,IFERROR(INDEX(SMMLV!$B$2:$B$101,MATCH(U578,SMMLV!$A$2:$A$101,0)),""))</f>
        <v/>
      </c>
      <c r="W578" s="117"/>
      <c r="X578" s="125"/>
      <c r="Y578" s="125"/>
      <c r="Z578" s="474"/>
      <c r="AA578" s="475"/>
      <c r="AB578" s="476"/>
      <c r="AC578" s="125" t="str">
        <f t="shared" si="526"/>
        <v/>
      </c>
      <c r="AD578" s="117" t="str">
        <f t="shared" si="522"/>
        <v/>
      </c>
      <c r="AE578" s="117" t="str">
        <f t="shared" si="469"/>
        <v/>
      </c>
      <c r="AF578" s="117" t="str">
        <f t="shared" si="508"/>
        <v/>
      </c>
      <c r="AG578" s="470"/>
      <c r="AH578" s="470"/>
      <c r="AI578" s="125" t="str">
        <f t="shared" si="509"/>
        <v/>
      </c>
      <c r="AJ578" s="470"/>
      <c r="AK578" s="470"/>
      <c r="AL578" s="472"/>
      <c r="AM578" s="496"/>
      <c r="AN578" s="125"/>
      <c r="AO578" s="490"/>
      <c r="AP578" s="125"/>
      <c r="AQ578" s="490"/>
      <c r="AR578" s="522"/>
      <c r="AS578" s="519"/>
      <c r="AT578" s="204"/>
      <c r="AU578" s="699"/>
      <c r="AV578" s="702"/>
      <c r="AW578" s="708"/>
      <c r="AX578" s="708"/>
      <c r="AY578" s="19"/>
      <c r="CB578" s="29" t="str">
        <f>IFERROR(IF(COUNTIF(AF573:AF582,"")=10,"",IF(COUNTIF(E573:E582,"N/A")&gt;0,IF(AF578&gt;=CMEMM1,AF578,0),"N/A")),"")</f>
        <v/>
      </c>
      <c r="CC578" s="4"/>
      <c r="CD578" s="4" t="str">
        <f>IFERROR(IF(COUNTIF(AF573:AF582,"")=10,"",IF(AF578="","",IF(AF578&gt;=CMEMM1,1,0))),"")</f>
        <v/>
      </c>
      <c r="CE578" s="4" t="str">
        <f>B573&amp;"-0"&amp;6</f>
        <v>P58-06</v>
      </c>
      <c r="CF578" s="4">
        <f>IFERROR(INDEX('DESEMPATE Y DISCAPACIDAD'!$D$3:$D$450,MATCH(CE578,'DESEMPATE Y DISCAPACIDAD'!$C$3:$C$450,0)),"")</f>
        <v>0</v>
      </c>
      <c r="CG578" s="4">
        <f>IF(OR(CE578="",CF578=""),"",SUMIF(D573:D582,CF578,CD573:CD582))</f>
        <v>0</v>
      </c>
      <c r="CH578" s="4" t="str">
        <f t="shared" si="510"/>
        <v>NO CUMPLE</v>
      </c>
      <c r="CI578" s="4">
        <f t="shared" si="527"/>
        <v>0</v>
      </c>
      <c r="CJ578" s="4"/>
      <c r="CK578" s="4"/>
      <c r="CL578" s="4" t="str">
        <f t="shared" si="511"/>
        <v/>
      </c>
      <c r="CM578" s="4" t="str">
        <f t="shared" si="512"/>
        <v/>
      </c>
      <c r="CN578" s="4" t="str">
        <f t="shared" si="528"/>
        <v/>
      </c>
      <c r="CO578" s="4"/>
      <c r="CP578" s="4"/>
      <c r="CQ578" s="29" t="str">
        <f t="shared" si="513"/>
        <v/>
      </c>
      <c r="CR578" s="29" t="str">
        <f t="shared" si="514"/>
        <v/>
      </c>
      <c r="CS578" s="4"/>
    </row>
    <row r="579" spans="1:97" ht="34.25" hidden="1" customHeight="1">
      <c r="B579" s="481"/>
      <c r="C579" s="118"/>
      <c r="D579" s="126" t="str">
        <f>+IFERROR(INDEX('DESEMPATE Y DISCAPACIDAD'!$D$3:$D$450,MATCH(C579,'DESEMPATE Y DISCAPACIDAD'!$C$3:$C$450,0)),"")</f>
        <v/>
      </c>
      <c r="E579" s="127" t="str">
        <f>IFERROR(IF(D579="","",IF(VLOOKUP(D579,'DESEMPATE Y DISCAPACIDAD'!D$3:$E$450,2,FALSE)=1,"N/A",IF(VLOOKUP(D579,'DESEMPATE Y DISCAPACIDAD'!D$3:$F$450,3,FALSE)="X","SI","NO"))),"")</f>
        <v/>
      </c>
      <c r="F579" s="125"/>
      <c r="G579" s="125"/>
      <c r="H579" s="125"/>
      <c r="I579" s="128"/>
      <c r="J579" s="125"/>
      <c r="K579" s="125"/>
      <c r="L579" s="125"/>
      <c r="M579" s="125"/>
      <c r="N579" s="125" t="str">
        <f t="shared" si="523"/>
        <v/>
      </c>
      <c r="O579" s="125" t="str">
        <f t="shared" si="529"/>
        <v/>
      </c>
      <c r="P579" s="125" t="str">
        <f t="shared" si="524"/>
        <v/>
      </c>
      <c r="Q579" s="125" t="str">
        <f t="shared" si="507"/>
        <v/>
      </c>
      <c r="R579" s="68"/>
      <c r="S579" s="129"/>
      <c r="T579" s="129"/>
      <c r="U579" s="125" t="str">
        <f t="shared" si="525"/>
        <v/>
      </c>
      <c r="V579" s="117" t="str">
        <f>IF(U579=2023,1160000,IFERROR(INDEX(SMMLV!$B$2:$B$101,MATCH(U579,SMMLV!$A$2:$A$101,0)),""))</f>
        <v/>
      </c>
      <c r="W579" s="117"/>
      <c r="X579" s="125"/>
      <c r="Y579" s="125"/>
      <c r="Z579" s="474"/>
      <c r="AA579" s="475"/>
      <c r="AB579" s="476"/>
      <c r="AC579" s="125" t="str">
        <f t="shared" si="526"/>
        <v/>
      </c>
      <c r="AD579" s="117" t="str">
        <f t="shared" si="522"/>
        <v/>
      </c>
      <c r="AE579" s="117" t="str">
        <f t="shared" ref="AE579:AE588" si="530">IFERROR(IF(OR(V579="",AD579=""),"",ROUND(AD579/V579,2)),"")</f>
        <v/>
      </c>
      <c r="AF579" s="117" t="str">
        <f t="shared" si="508"/>
        <v/>
      </c>
      <c r="AG579" s="470"/>
      <c r="AH579" s="470"/>
      <c r="AI579" s="125" t="str">
        <f t="shared" si="509"/>
        <v/>
      </c>
      <c r="AJ579" s="470"/>
      <c r="AK579" s="470"/>
      <c r="AL579" s="472"/>
      <c r="AM579" s="496"/>
      <c r="AN579" s="125"/>
      <c r="AO579" s="490"/>
      <c r="AP579" s="125"/>
      <c r="AQ579" s="490"/>
      <c r="AR579" s="522"/>
      <c r="AS579" s="519"/>
      <c r="AT579" s="204"/>
      <c r="AU579" s="699"/>
      <c r="AV579" s="702"/>
      <c r="AW579" s="708"/>
      <c r="AX579" s="708"/>
      <c r="AY579" s="19"/>
      <c r="CB579" s="29" t="str">
        <f>IFERROR(IF(COUNTIF(AF573:AF582,"")=10,"",IF(COUNTIF(E573:E582,"N/A")&gt;0,IF(AF579&gt;=CMEMM1,AF579,0),"N/A")),"")</f>
        <v/>
      </c>
      <c r="CC579" s="4"/>
      <c r="CD579" s="4" t="str">
        <f>IFERROR(IF(COUNTIF(AF573:AF582,"")=10,"",IF(AF579="","",IF(AF579&gt;=CMEMM1,1,0))),"")</f>
        <v/>
      </c>
      <c r="CE579" s="4" t="str">
        <f>B573&amp;"-0"&amp;7</f>
        <v>P58-07</v>
      </c>
      <c r="CF579" s="4" t="str">
        <f>IFERROR(INDEX('DESEMPATE Y DISCAPACIDAD'!$D$3:$D$450,MATCH(CE579,'DESEMPATE Y DISCAPACIDAD'!$C$3:$C$450,0)),"")</f>
        <v/>
      </c>
      <c r="CG579" s="4" t="str">
        <f>IF(OR(CE579="",CF579=""),"",SUMIF(D573:D582,CF579,CD573:CD582))</f>
        <v/>
      </c>
      <c r="CH579" s="4" t="str">
        <f t="shared" si="510"/>
        <v/>
      </c>
      <c r="CI579" s="4" t="str">
        <f t="shared" si="527"/>
        <v/>
      </c>
      <c r="CJ579" s="4"/>
      <c r="CK579" s="4"/>
      <c r="CL579" s="4" t="str">
        <f t="shared" si="511"/>
        <v/>
      </c>
      <c r="CM579" s="4" t="str">
        <f t="shared" si="512"/>
        <v/>
      </c>
      <c r="CN579" s="4" t="str">
        <f t="shared" si="528"/>
        <v/>
      </c>
      <c r="CO579" s="4"/>
      <c r="CP579" s="4"/>
      <c r="CQ579" s="29" t="str">
        <f t="shared" si="513"/>
        <v/>
      </c>
      <c r="CR579" s="29" t="str">
        <f t="shared" si="514"/>
        <v/>
      </c>
      <c r="CS579" s="4"/>
    </row>
    <row r="580" spans="1:97" ht="34.25" hidden="1" customHeight="1">
      <c r="B580" s="481"/>
      <c r="C580" s="118"/>
      <c r="D580" s="126" t="str">
        <f>+IFERROR(INDEX('DESEMPATE Y DISCAPACIDAD'!$D$3:$D$450,MATCH(C580,'DESEMPATE Y DISCAPACIDAD'!$C$3:$C$450,0)),"")</f>
        <v/>
      </c>
      <c r="E580" s="127" t="str">
        <f>IFERROR(IF(D580="","",IF(VLOOKUP(D580,'DESEMPATE Y DISCAPACIDAD'!D$3:$E$450,2,FALSE)=1,"N/A",IF(VLOOKUP(D580,'DESEMPATE Y DISCAPACIDAD'!D$3:$F$450,3,FALSE)="X","SI","NO"))),"")</f>
        <v/>
      </c>
      <c r="F580" s="125"/>
      <c r="G580" s="125"/>
      <c r="H580" s="125"/>
      <c r="I580" s="128"/>
      <c r="J580" s="125"/>
      <c r="K580" s="125"/>
      <c r="L580" s="125"/>
      <c r="M580" s="125"/>
      <c r="N580" s="125" t="str">
        <f t="shared" si="523"/>
        <v/>
      </c>
      <c r="O580" s="125" t="str">
        <f t="shared" si="529"/>
        <v/>
      </c>
      <c r="P580" s="125" t="str">
        <f t="shared" si="524"/>
        <v/>
      </c>
      <c r="Q580" s="125" t="str">
        <f t="shared" si="507"/>
        <v/>
      </c>
      <c r="R580" s="68"/>
      <c r="S580" s="129"/>
      <c r="T580" s="129"/>
      <c r="U580" s="125" t="str">
        <f t="shared" si="525"/>
        <v/>
      </c>
      <c r="V580" s="117" t="str">
        <f>IF(U580=2023,1160000,IFERROR(INDEX(SMMLV!$B$2:$B$101,MATCH(U580,SMMLV!$A$2:$A$101,0)),""))</f>
        <v/>
      </c>
      <c r="W580" s="117"/>
      <c r="X580" s="125"/>
      <c r="Y580" s="125"/>
      <c r="Z580" s="474"/>
      <c r="AA580" s="475"/>
      <c r="AB580" s="476"/>
      <c r="AC580" s="125" t="str">
        <f t="shared" si="526"/>
        <v/>
      </c>
      <c r="AD580" s="117" t="str">
        <f t="shared" si="522"/>
        <v/>
      </c>
      <c r="AE580" s="117" t="str">
        <f t="shared" si="530"/>
        <v/>
      </c>
      <c r="AF580" s="117" t="str">
        <f t="shared" si="508"/>
        <v/>
      </c>
      <c r="AG580" s="470"/>
      <c r="AH580" s="470"/>
      <c r="AI580" s="125" t="str">
        <f t="shared" si="509"/>
        <v/>
      </c>
      <c r="AJ580" s="470"/>
      <c r="AK580" s="470"/>
      <c r="AL580" s="472"/>
      <c r="AM580" s="496"/>
      <c r="AN580" s="125"/>
      <c r="AO580" s="490"/>
      <c r="AP580" s="125"/>
      <c r="AQ580" s="490"/>
      <c r="AR580" s="522"/>
      <c r="AS580" s="519"/>
      <c r="AT580" s="204"/>
      <c r="AU580" s="699"/>
      <c r="AV580" s="702"/>
      <c r="AW580" s="708"/>
      <c r="AX580" s="708"/>
      <c r="AY580" s="19"/>
      <c r="CB580" s="29" t="str">
        <f>IFERROR(IF(COUNTIF(AF573:AF582,"")=10,"",IF(COUNTIF(E573:E582,"N/A")&gt;0,IF(AF580&gt;=CMEMM1,AF580,0),"N/A")),"")</f>
        <v/>
      </c>
      <c r="CC580" s="4"/>
      <c r="CD580" s="4" t="str">
        <f>IFERROR(IF(COUNTIF(AF573:AF582,"")=10,"",IF(AF580="","",IF(AF580&gt;=CMEMM1,1,0))),"")</f>
        <v/>
      </c>
      <c r="CE580" s="4" t="str">
        <f>B573&amp;"-0"&amp;8</f>
        <v>P58-08</v>
      </c>
      <c r="CF580" s="4" t="str">
        <f>IFERROR(INDEX('DESEMPATE Y DISCAPACIDAD'!$D$3:$D$450,MATCH(CE580,'DESEMPATE Y DISCAPACIDAD'!$C$3:$C$450,0)),"")</f>
        <v/>
      </c>
      <c r="CG580" s="4" t="str">
        <f>IF(OR(CE580="",CF580=""),"",SUMIF(D573:D582,CF580,CD573:CD582))</f>
        <v/>
      </c>
      <c r="CH580" s="4" t="str">
        <f t="shared" si="510"/>
        <v/>
      </c>
      <c r="CI580" s="4" t="str">
        <f t="shared" si="527"/>
        <v/>
      </c>
      <c r="CJ580" s="4"/>
      <c r="CK580" s="4"/>
      <c r="CL580" s="4" t="str">
        <f t="shared" si="511"/>
        <v/>
      </c>
      <c r="CM580" s="4" t="str">
        <f t="shared" si="512"/>
        <v/>
      </c>
      <c r="CN580" s="4" t="str">
        <f t="shared" si="528"/>
        <v/>
      </c>
      <c r="CO580" s="4"/>
      <c r="CP580" s="4"/>
      <c r="CQ580" s="29" t="str">
        <f t="shared" si="513"/>
        <v/>
      </c>
      <c r="CR580" s="29" t="str">
        <f t="shared" si="514"/>
        <v/>
      </c>
      <c r="CS580" s="4"/>
    </row>
    <row r="581" spans="1:97" ht="34.25" hidden="1" customHeight="1">
      <c r="B581" s="481"/>
      <c r="C581" s="118"/>
      <c r="D581" s="126" t="str">
        <f>+IFERROR(INDEX('DESEMPATE Y DISCAPACIDAD'!$D$3:$D$450,MATCH(C581,'DESEMPATE Y DISCAPACIDAD'!$C$3:$C$450,0)),"")</f>
        <v/>
      </c>
      <c r="E581" s="127" t="str">
        <f>IFERROR(IF(D581="","",IF(VLOOKUP(D581,'DESEMPATE Y DISCAPACIDAD'!D$3:$E$450,2,FALSE)=1,"N/A",IF(VLOOKUP(D581,'DESEMPATE Y DISCAPACIDAD'!D$3:$F$450,3,FALSE)="X","SI","NO"))),"")</f>
        <v/>
      </c>
      <c r="F581" s="125"/>
      <c r="G581" s="125"/>
      <c r="H581" s="125"/>
      <c r="I581" s="128"/>
      <c r="J581" s="125"/>
      <c r="K581" s="125"/>
      <c r="L581" s="125"/>
      <c r="M581" s="125"/>
      <c r="N581" s="125" t="str">
        <f t="shared" si="523"/>
        <v/>
      </c>
      <c r="O581" s="125" t="str">
        <f t="shared" si="529"/>
        <v/>
      </c>
      <c r="P581" s="125" t="str">
        <f t="shared" si="524"/>
        <v/>
      </c>
      <c r="Q581" s="125" t="str">
        <f t="shared" si="507"/>
        <v/>
      </c>
      <c r="R581" s="68"/>
      <c r="S581" s="129"/>
      <c r="T581" s="129"/>
      <c r="U581" s="125" t="str">
        <f t="shared" si="525"/>
        <v/>
      </c>
      <c r="V581" s="117" t="str">
        <f>IF(U581=2023,1160000,IFERROR(INDEX(SMMLV!$B$2:$B$101,MATCH(U581,SMMLV!$A$2:$A$101,0)),""))</f>
        <v/>
      </c>
      <c r="W581" s="117"/>
      <c r="X581" s="125"/>
      <c r="Y581" s="125"/>
      <c r="Z581" s="474"/>
      <c r="AA581" s="475"/>
      <c r="AB581" s="476"/>
      <c r="AC581" s="125" t="str">
        <f t="shared" si="526"/>
        <v/>
      </c>
      <c r="AD581" s="117" t="str">
        <f t="shared" si="522"/>
        <v/>
      </c>
      <c r="AE581" s="117" t="str">
        <f t="shared" si="530"/>
        <v/>
      </c>
      <c r="AF581" s="117" t="str">
        <f t="shared" si="508"/>
        <v/>
      </c>
      <c r="AG581" s="470"/>
      <c r="AH581" s="470"/>
      <c r="AI581" s="125" t="str">
        <f t="shared" si="509"/>
        <v/>
      </c>
      <c r="AJ581" s="470"/>
      <c r="AK581" s="470"/>
      <c r="AL581" s="472"/>
      <c r="AM581" s="496"/>
      <c r="AN581" s="125"/>
      <c r="AO581" s="490"/>
      <c r="AP581" s="125"/>
      <c r="AQ581" s="490"/>
      <c r="AR581" s="522"/>
      <c r="AS581" s="519"/>
      <c r="AT581" s="204"/>
      <c r="AU581" s="699"/>
      <c r="AV581" s="702"/>
      <c r="AW581" s="708"/>
      <c r="AX581" s="708"/>
      <c r="AY581" s="19"/>
      <c r="CB581" s="29" t="str">
        <f>IFERROR(IF(COUNTIF(AF573:AF582,"")=10,"",IF(COUNTIF(E573:E582,"N/A")&gt;0,IF(AF581&gt;=CMEMM1,AF581,0),"N/A")),"")</f>
        <v/>
      </c>
      <c r="CC581" s="4"/>
      <c r="CD581" s="4" t="str">
        <f>IFERROR(IF(COUNTIF(AF573:AF582,"")=10,"",IF(AF581="","",IF(AF581&gt;=CMEMM1,1,0))),"")</f>
        <v/>
      </c>
      <c r="CE581" s="4" t="str">
        <f>B573&amp;"-0"&amp;9</f>
        <v>P58-09</v>
      </c>
      <c r="CF581" s="4" t="str">
        <f>IFERROR(INDEX('DESEMPATE Y DISCAPACIDAD'!$D$3:$D$450,MATCH(CE581,'DESEMPATE Y DISCAPACIDAD'!$C$3:$C$450,0)),"")</f>
        <v/>
      </c>
      <c r="CG581" s="4" t="str">
        <f>IF(OR(CE581="",CF581=""),"",SUMIF(D573:D582,CF581,CD573:CD582))</f>
        <v/>
      </c>
      <c r="CH581" s="4" t="str">
        <f t="shared" si="510"/>
        <v/>
      </c>
      <c r="CI581" s="4" t="str">
        <f t="shared" si="527"/>
        <v/>
      </c>
      <c r="CJ581" s="4"/>
      <c r="CK581" s="4"/>
      <c r="CL581" s="4" t="str">
        <f t="shared" si="511"/>
        <v/>
      </c>
      <c r="CM581" s="4" t="str">
        <f t="shared" si="512"/>
        <v/>
      </c>
      <c r="CN581" s="4" t="str">
        <f t="shared" si="528"/>
        <v/>
      </c>
      <c r="CO581" s="4"/>
      <c r="CP581" s="4"/>
      <c r="CQ581" s="29" t="str">
        <f t="shared" si="513"/>
        <v/>
      </c>
      <c r="CR581" s="29" t="str">
        <f t="shared" si="514"/>
        <v/>
      </c>
      <c r="CS581" s="4"/>
    </row>
    <row r="582" spans="1:97" ht="34.25" hidden="1" customHeight="1" thickBot="1">
      <c r="B582" s="482"/>
      <c r="C582" s="130"/>
      <c r="D582" s="131" t="str">
        <f>+IFERROR(INDEX('DESEMPATE Y DISCAPACIDAD'!$D$3:$D$450,MATCH(C582,'DESEMPATE Y DISCAPACIDAD'!$C$3:$C$450,0)),"")</f>
        <v/>
      </c>
      <c r="E582" s="132" t="str">
        <f>IFERROR(IF(D582="","",IF(VLOOKUP(D582,'DESEMPATE Y DISCAPACIDAD'!D$3:$E$450,2,FALSE)=1,"N/A",IF(VLOOKUP(D582,'DESEMPATE Y DISCAPACIDAD'!D$3:$F$450,3,FALSE)="X","SI","NO"))),"")</f>
        <v/>
      </c>
      <c r="F582" s="133"/>
      <c r="G582" s="133"/>
      <c r="H582" s="133"/>
      <c r="I582" s="134"/>
      <c r="J582" s="133"/>
      <c r="K582" s="133"/>
      <c r="L582" s="133"/>
      <c r="M582" s="133"/>
      <c r="N582" s="133" t="str">
        <f t="shared" si="523"/>
        <v/>
      </c>
      <c r="O582" s="133" t="str">
        <f t="shared" si="529"/>
        <v/>
      </c>
      <c r="P582" s="133" t="str">
        <f t="shared" si="524"/>
        <v/>
      </c>
      <c r="Q582" s="133" t="str">
        <f t="shared" si="507"/>
        <v/>
      </c>
      <c r="R582" s="104"/>
      <c r="S582" s="135"/>
      <c r="T582" s="135"/>
      <c r="U582" s="133" t="str">
        <f t="shared" si="525"/>
        <v/>
      </c>
      <c r="V582" s="136" t="str">
        <f>IF(U582=2023,1160000,IFERROR(INDEX(SMMLV!$B$2:$B$101,MATCH(U582,SMMLV!$A$2:$A$101,0)),""))</f>
        <v/>
      </c>
      <c r="W582" s="136"/>
      <c r="X582" s="133"/>
      <c r="Y582" s="133"/>
      <c r="Z582" s="487"/>
      <c r="AA582" s="488"/>
      <c r="AB582" s="489"/>
      <c r="AC582" s="133" t="str">
        <f t="shared" si="526"/>
        <v/>
      </c>
      <c r="AD582" s="136" t="str">
        <f t="shared" si="522"/>
        <v/>
      </c>
      <c r="AE582" s="117" t="str">
        <f t="shared" si="530"/>
        <v/>
      </c>
      <c r="AF582" s="136" t="str">
        <f t="shared" si="508"/>
        <v/>
      </c>
      <c r="AG582" s="471"/>
      <c r="AH582" s="471"/>
      <c r="AI582" s="133" t="str">
        <f t="shared" si="509"/>
        <v/>
      </c>
      <c r="AJ582" s="471"/>
      <c r="AK582" s="471"/>
      <c r="AL582" s="473"/>
      <c r="AM582" s="497"/>
      <c r="AN582" s="133"/>
      <c r="AO582" s="491"/>
      <c r="AP582" s="133"/>
      <c r="AQ582" s="491"/>
      <c r="AR582" s="523"/>
      <c r="AS582" s="520"/>
      <c r="AT582" s="206"/>
      <c r="AU582" s="700"/>
      <c r="AV582" s="703"/>
      <c r="AW582" s="709"/>
      <c r="AX582" s="709"/>
      <c r="AY582" s="19"/>
      <c r="CB582" s="29" t="str">
        <f>IFERROR(IF(COUNTIF(AF573:AF582,"")=10,"",IF(COUNTIF(E573:E582,"N/A")&gt;0,IF(AF582&gt;=CMEMM1,AF582,0),"N/A")),"")</f>
        <v/>
      </c>
      <c r="CC582" s="4"/>
      <c r="CD582" s="4" t="str">
        <f>IFERROR(IF(COUNTIF(AF573:AF582,"")=10,"",IF(AF582="","",IF(AF582&gt;=CMEMM1,1,0))),"")</f>
        <v/>
      </c>
      <c r="CE582" s="4" t="str">
        <f>B573&amp;"-"&amp;10</f>
        <v>P58-10</v>
      </c>
      <c r="CF582" s="4" t="str">
        <f>IFERROR(INDEX('DESEMPATE Y DISCAPACIDAD'!$D$3:$D$450,MATCH(CE582,'DESEMPATE Y DISCAPACIDAD'!$C$3:$C$450,0)),"")</f>
        <v/>
      </c>
      <c r="CG582" s="4" t="str">
        <f>IF(OR(CE582="",CF582=""),"",SUMIF(D573:D582,CF582,CD573:CD582))</f>
        <v/>
      </c>
      <c r="CH582" s="4" t="str">
        <f t="shared" si="510"/>
        <v/>
      </c>
      <c r="CI582" s="4" t="str">
        <f t="shared" si="527"/>
        <v/>
      </c>
      <c r="CJ582" s="4"/>
      <c r="CK582" s="4"/>
      <c r="CL582" s="4" t="str">
        <f t="shared" si="511"/>
        <v/>
      </c>
      <c r="CM582" s="4" t="str">
        <f t="shared" si="512"/>
        <v/>
      </c>
      <c r="CN582" s="4" t="str">
        <f t="shared" si="528"/>
        <v/>
      </c>
      <c r="CO582" s="4"/>
      <c r="CP582" s="4"/>
      <c r="CQ582" s="29" t="str">
        <f t="shared" si="513"/>
        <v/>
      </c>
      <c r="CR582" s="29" t="str">
        <f t="shared" si="514"/>
        <v/>
      </c>
      <c r="CS582" s="4"/>
    </row>
    <row r="583" spans="1:97" ht="34.25" hidden="1" customHeight="1">
      <c r="A583" s="4" t="str">
        <f>"A"&amp;B583</f>
        <v>AP59</v>
      </c>
      <c r="B583" s="480" t="s">
        <v>589</v>
      </c>
      <c r="C583" s="108"/>
      <c r="D583" s="119" t="str">
        <f>+IFERROR(INDEX('DESEMPATE Y DISCAPACIDAD'!$D$3:$D$450,MATCH(C583,'DESEMPATE Y DISCAPACIDAD'!$C$3:$C$450,0)),"")</f>
        <v/>
      </c>
      <c r="E583" s="120" t="str">
        <f>IFERROR(IF(D583="","",IF(VLOOKUP(D583,'DESEMPATE Y DISCAPACIDAD'!D$3:$E$450,2,FALSE)=1,"N/A",IF(VLOOKUP(D583,'DESEMPATE Y DISCAPACIDAD'!D$3:$F$450,3,FALSE)="X","SI","NO"))),"")</f>
        <v/>
      </c>
      <c r="F583" s="125"/>
      <c r="G583" s="125"/>
      <c r="H583" s="121"/>
      <c r="I583" s="122"/>
      <c r="J583" s="121"/>
      <c r="K583" s="121"/>
      <c r="L583" s="179"/>
      <c r="M583" s="121"/>
      <c r="N583" s="121" t="str">
        <f>IFERROR(IF(OR(J583="",K583=""),"",IF(J583="NO","NO",K583)),"")</f>
        <v/>
      </c>
      <c r="O583" s="121" t="str">
        <f>IFERROR(IF(OR(J583="",L583=""),"",IF(J583="NO","NO",L583)),"")</f>
        <v/>
      </c>
      <c r="P583" s="121" t="str">
        <f>IFERROR(IF(OR(J583="",M583=""),"",IF(J583="NO","NO",M583)),"")</f>
        <v/>
      </c>
      <c r="Q583" s="121" t="str">
        <f t="shared" ref="Q583:Q646" si="531">IFERROR(IF(S583="","",IF(S583&gt;=DATE(1900,1,1),"SI","NO")),"")</f>
        <v/>
      </c>
      <c r="R583" s="103"/>
      <c r="S583" s="123"/>
      <c r="T583" s="123"/>
      <c r="U583" s="121" t="str">
        <f>IFERROR(IF(T583="","",YEAR(T583)),"")</f>
        <v/>
      </c>
      <c r="V583" s="124" t="str">
        <f>IF(U583=2023,1160000,IFERROR(INDEX(SMMLV!$B$2:$B$101,MATCH(U583,SMMLV!$A$2:$A$101,0)),""))</f>
        <v/>
      </c>
      <c r="W583" s="124"/>
      <c r="X583" s="121"/>
      <c r="Y583" s="121"/>
      <c r="Z583" s="483"/>
      <c r="AA583" s="484"/>
      <c r="AB583" s="485"/>
      <c r="AC583" s="121" t="str">
        <f>IFERROR(IF(Y583="","",IF(ISNUMBER(Y583),IF(COUNTIF(Z583,"SI")&gt;0,"SI","NO"),Y583)),"")</f>
        <v/>
      </c>
      <c r="AD583" s="124" t="str">
        <f t="shared" ref="AD583:AD646" si="532">IF(W583="","",IF(W583="N/A","N/A",W583))</f>
        <v/>
      </c>
      <c r="AE583" s="117" t="str">
        <f t="shared" si="530"/>
        <v/>
      </c>
      <c r="AF583" s="124" t="str">
        <f t="shared" ref="AF583:AF646" si="533">IFERROR(IF(OR(J583="",J583="NO"),"",IF(AND(J583="SI",Q583="SI"),IFERROR(AE583*R583,""),"")),"")</f>
        <v/>
      </c>
      <c r="AG583" s="486" t="str">
        <f>IFERROR(IF(COUNTIF(AF583:AF592,"")=10,"",IF(COUNTIF(E583:E592,"N/A")&gt;0,IF(SUM(CB583:CB592)&gt;=CMEM1,"CUMPLE","NO CUMPLE"),IF(SUM(AF583:AF592)&gt;=CMEM1,"CUMPLE","NO CUMPLE"))),"")</f>
        <v/>
      </c>
      <c r="AH583" s="486" t="str">
        <f>IF(COUNTIF(AF583:AF592,"")=10,"",IF(SUMIF(C583:C592,C583,AF583:AF592)&gt;=CMLM1,"CUMPLE",IF(SUMIF(C583:C592,C584,AF583:AF592)&gt;=CMLM1,"CUMPLE",IF(SUMIF(C583:C592,C585,AF583:AF592)&gt;=CMLM1,"CUMPLE",IF(SUMIF(C583:C592,C586,AF583:AF592)&gt;=CMLM1,"CUMPLE",IF(SUMIF(C583:C592,C587,AF583:AF592)&gt;=CMLM1,"CUMPLE",IF(SUMIF(C583:C592,C588,AF583:AF592)&gt;=CMLM1,"CUMPLE",IF(SUMIF(C583:C592,C589,AF583:AF592)&gt;=CMLM1,"CUMPLE",IF(SUMIF(C583:C592,C590,AF583:AF592)&gt;=CMLM1,"CUMPLE",IF(SUMIF(C583:C592,C591,AF583:AF592)&gt;=CMLM1,"CUMPLE",IF(SUMIF(C583:C592,C592,AF583:AF592)&gt;=CMLM1,"CUMPLE","NO CUMPLE")))))))))))</f>
        <v/>
      </c>
      <c r="AI583" s="121" t="str">
        <f t="shared" ref="AI583:AI646" si="534">IFERROR(IF(AF583="","",IF(AF583&gt;=CMEMM1,"CUMPLE","NO CUMPLE")),"")</f>
        <v/>
      </c>
      <c r="AJ583" s="469" t="str">
        <f>IFERROR(IF(COUNTIF(AF583:AF592,"")=10,"",IF(COUNTIF(E583:E592,"N/A")&gt;0,"N/A",CJ583)),"")</f>
        <v/>
      </c>
      <c r="AK583" s="469" t="str">
        <f>IFERROR(IF(AND(COUNTIF(N583:N592,"SI")&gt;=1,COUNTIF(O583:O592,"SI")&gt;=1,COUNTIF(P583:P592,"SI")&gt;=1,COUNTIF(J583:J592,"SI")&lt;=10,CO583="CUMPLE"),"CUMPLE","NO CUMPLE"),"")</f>
        <v>NO CUMPLE</v>
      </c>
      <c r="AL583" s="472"/>
      <c r="AM583" s="495">
        <f>IFERROR(IF(B583&lt;&gt;"",IF(VLOOKUP(B583,'DESEMPATE Y DISCAPACIDAD'!$A$3:$Q$450,10,FALSE)="","",VLOOKUP(B583,'DESEMPATE Y DISCAPACIDAD'!$A$3:$Q$450,10,FALSE)+6),""),"")</f>
        <v>6</v>
      </c>
      <c r="AN583" s="121"/>
      <c r="AO583" s="490"/>
      <c r="AP583" s="121"/>
      <c r="AQ583" s="490" t="str">
        <f>IFERROR(IF(COUNTIF(AP583:AP592,"")=10,"",IF(AO583="NO",0,COUNTIF(AP583:AP592,"SI"))),"")</f>
        <v/>
      </c>
      <c r="AR583" s="521" t="str">
        <f>IFERROR(IF(COUNTIF(AF583:AF592,"")=10,"",IF(AO583="NO",0,IF(COUNTIF(E583:E592,"N/A")&gt;0,SUM(CQ583:CQ592),SUM(CR583:CR592)))),"")</f>
        <v/>
      </c>
      <c r="AS583" s="521" t="str">
        <f>IFERROR(IF(OR(COUNTIF(AF583:AF592,"")=10,AQ583="",AR583=""),"",IF(AO583="NO",0,AR583/AQ583)),"")</f>
        <v/>
      </c>
      <c r="AT583" s="137"/>
      <c r="AU583" s="701"/>
      <c r="AV583" s="701"/>
      <c r="AW583" s="707"/>
      <c r="AX583" s="707"/>
      <c r="AY583" s="19"/>
      <c r="CB583" s="29" t="str">
        <f>IFERROR(IF(COUNTIF(AF583:AF592,"")=10,"",IF(COUNTIF(E583:E592,"N/A")&gt;0,IF(AF583&gt;=CMEMM1,AF583,0),"N/A")),"")</f>
        <v/>
      </c>
      <c r="CC583" s="4"/>
      <c r="CD583" s="4" t="str">
        <f>IFERROR(IF(COUNTIF(AF583:AF592,"")=10,"",IF(AF583="","",IF(AF583&gt;=CMEMM1,1,0))),"")</f>
        <v/>
      </c>
      <c r="CE583" s="4" t="str">
        <f>B583&amp;"-0"&amp;1</f>
        <v>P59-01</v>
      </c>
      <c r="CF583" s="4">
        <f>IFERROR(INDEX('DESEMPATE Y DISCAPACIDAD'!$D$3:$D$450,MATCH(CE583,'DESEMPATE Y DISCAPACIDAD'!$C$3:$C$450,0)),"")</f>
        <v>0</v>
      </c>
      <c r="CG583" s="4">
        <f>IF(OR(CE583="",CF583=""),"",SUMIF(D583:D592,CF583,CD583:CD592))</f>
        <v>0</v>
      </c>
      <c r="CH583" s="4" t="str">
        <f t="shared" ref="CH583:CH646" si="535">IF(OR(CE583="",CF583="",CG583=""),"",IF(CG583&gt;0,"CUMPLE","NO CUMPLE"))</f>
        <v>NO CUMPLE</v>
      </c>
      <c r="CI583" s="4">
        <f>IF(CF583="","",IF(ISTEXT(CF583),1,0))</f>
        <v>0</v>
      </c>
      <c r="CJ583" s="4" t="str">
        <f>IF(OR(CE583="",CF583="",CG583="",CH583="",CI583=""),"",IF(COUNTIF(CH583:CH592,"CUMPLE")=COUNTIF(CI583:CI592,1),"CUMPLE","NO CUMPLE"))</f>
        <v>CUMPLE</v>
      </c>
      <c r="CK583" s="4"/>
      <c r="CL583" s="4" t="str">
        <f t="shared" ref="CL583:CL646" si="536">IF(N583="","",IF(N583="SI",1,0))</f>
        <v/>
      </c>
      <c r="CM583" s="4" t="str">
        <f t="shared" ref="CM583:CM646" si="537">IF(O583="","",IF(O583="SI",1,0))</f>
        <v/>
      </c>
      <c r="CN583" s="4" t="str">
        <f>IF(OR(CL583="",CM583=""),"",IF(AND(CL583=0,CM583=0),"N/A",IF(AND(CL583=1,CM583=0),"COND. A",IF(AND(CL583=0,CM583=1),"COND. B",IF(AND(CL583=1,CM583=1),"COND. A Y B","")))))</f>
        <v/>
      </c>
      <c r="CO583" s="4" t="str">
        <f>IF(COUNTIF(CN583:CN592,"N/A")=10,"NO CUMPLE",IF(COUNTIF(CN583:CN592,"COND. A Y B")&gt;1,"CUMPLE",IF(AND(COUNTIF(CN583:CN592,"COND. A")&gt;0,COUNTIF(CN583:CN592,"COND. B")&gt;0),"CUMPLE",IF(AND(COUNTIF(CN583:CN592,"COND. A Y B")&gt;0,COUNTIF(CN583:CN592,"COND. A")&gt;0),"CUMPLE",IF(AND(COUNTIF(CN583:CN592,"COND. A Y B")&gt;0,COUNTIF(CN583:CN592,"COND. B")&gt;0),"CUMPLE","NO CUMPLE")))))</f>
        <v>NO CUMPLE</v>
      </c>
      <c r="CP583" s="4"/>
      <c r="CQ583" s="29" t="str">
        <f t="shared" ref="CQ583:CQ646" si="538">IF(OR(AN583="",CB583=""),"",IF(AN583="NO",CB583,0))</f>
        <v/>
      </c>
      <c r="CR583" s="29" t="str">
        <f t="shared" ref="CR583:CR646" si="539">IF(OR(AN583="",AF583=""),"",IF(AN583="NO",AF583,0))</f>
        <v/>
      </c>
      <c r="CS583" s="4"/>
    </row>
    <row r="584" spans="1:97" ht="34.25" hidden="1" customHeight="1">
      <c r="B584" s="481"/>
      <c r="C584" s="118"/>
      <c r="D584" s="119" t="str">
        <f>+IFERROR(INDEX('DESEMPATE Y DISCAPACIDAD'!$D$3:$D$450,MATCH(C584,'DESEMPATE Y DISCAPACIDAD'!$C$3:$C$450,0)),"")</f>
        <v/>
      </c>
      <c r="E584" s="120" t="str">
        <f>IFERROR(IF(D584="","",IF(VLOOKUP(D584,'DESEMPATE Y DISCAPACIDAD'!D$3:$E$450,2,FALSE)=1,"N/A",IF(VLOOKUP(D584,'DESEMPATE Y DISCAPACIDAD'!D$3:$F$450,3,FALSE)="X","SI","NO"))),"")</f>
        <v/>
      </c>
      <c r="F584" s="125"/>
      <c r="G584" s="125"/>
      <c r="H584" s="121"/>
      <c r="I584" s="122"/>
      <c r="J584" s="121"/>
      <c r="K584" s="121"/>
      <c r="L584" s="179"/>
      <c r="M584" s="121"/>
      <c r="N584" s="121" t="str">
        <f t="shared" ref="N584:N592" si="540">IFERROR(IF(OR(J584="",K584=""),"",IF(J584="NO","NO",K584)),"")</f>
        <v/>
      </c>
      <c r="O584" s="121" t="str">
        <f>IFERROR(IF(OR(J584="",L584=""),"",IF(J584="NO","NO",L584)),"")</f>
        <v/>
      </c>
      <c r="P584" s="121" t="str">
        <f t="shared" ref="P584:P592" si="541">IFERROR(IF(OR(J584="",M584=""),"",IF(J584="NO","NO",M584)),"")</f>
        <v/>
      </c>
      <c r="Q584" s="121" t="str">
        <f t="shared" si="531"/>
        <v/>
      </c>
      <c r="R584" s="103"/>
      <c r="S584" s="123"/>
      <c r="T584" s="123"/>
      <c r="U584" s="121" t="str">
        <f t="shared" ref="U584:U592" si="542">IFERROR(IF(T584="","",YEAR(T584)),"")</f>
        <v/>
      </c>
      <c r="V584" s="124" t="str">
        <f>IF(U584=2023,1160000,IFERROR(INDEX(SMMLV!$B$2:$B$101,MATCH(U584,SMMLV!$A$2:$A$101,0)),""))</f>
        <v/>
      </c>
      <c r="W584" s="124"/>
      <c r="X584" s="125"/>
      <c r="Y584" s="125"/>
      <c r="Z584" s="474"/>
      <c r="AA584" s="475"/>
      <c r="AB584" s="476"/>
      <c r="AC584" s="125" t="str">
        <f t="shared" ref="AC584:AC592" si="543">IFERROR(IF(Y584="","",IF(ISNUMBER(Y584),IF(COUNTIF(Z584,"SI")&gt;0,"SI","NO"),Y584)),"")</f>
        <v/>
      </c>
      <c r="AD584" s="117" t="str">
        <f t="shared" si="532"/>
        <v/>
      </c>
      <c r="AE584" s="117" t="str">
        <f t="shared" si="530"/>
        <v/>
      </c>
      <c r="AF584" s="117" t="str">
        <f t="shared" si="533"/>
        <v/>
      </c>
      <c r="AG584" s="470"/>
      <c r="AH584" s="470"/>
      <c r="AI584" s="125" t="str">
        <f t="shared" si="534"/>
        <v/>
      </c>
      <c r="AJ584" s="470"/>
      <c r="AK584" s="470"/>
      <c r="AL584" s="472"/>
      <c r="AM584" s="496"/>
      <c r="AN584" s="125"/>
      <c r="AO584" s="490"/>
      <c r="AP584" s="125"/>
      <c r="AQ584" s="490"/>
      <c r="AR584" s="522"/>
      <c r="AS584" s="522"/>
      <c r="AT584" s="138"/>
      <c r="AU584" s="702"/>
      <c r="AV584" s="702"/>
      <c r="AW584" s="708"/>
      <c r="AX584" s="708"/>
      <c r="AY584" s="19"/>
      <c r="CB584" s="29" t="str">
        <f>IFERROR(IF(COUNTIF(AF583:AF592,"")=10,"",IF(COUNTIF(E583:E592,"N/A")&gt;0,IF(AF584&gt;=CMEMM1,AF584,0),"N/A")),"")</f>
        <v/>
      </c>
      <c r="CC584" s="4"/>
      <c r="CD584" s="4" t="str">
        <f>IFERROR(IF(COUNTIF(AF583:AF592,"")=10,"",IF(AF584="","",IF(AF584&gt;=CMEMM1,1,0))),"")</f>
        <v/>
      </c>
      <c r="CE584" s="4" t="str">
        <f>B583&amp;"-0"&amp;2</f>
        <v>P59-02</v>
      </c>
      <c r="CF584" s="4">
        <f>IFERROR(INDEX('DESEMPATE Y DISCAPACIDAD'!$D$3:$D$450,MATCH(CE584,'DESEMPATE Y DISCAPACIDAD'!$C$3:$C$450,0)),"")</f>
        <v>0</v>
      </c>
      <c r="CG584" s="4">
        <f>IF(OR(CE584="",CF584=""),"",SUMIF(D583:D592,CF584,CD583:CD592))</f>
        <v>0</v>
      </c>
      <c r="CH584" s="4" t="str">
        <f t="shared" si="535"/>
        <v>NO CUMPLE</v>
      </c>
      <c r="CI584" s="4">
        <f t="shared" ref="CI584:CI592" si="544">IF(CF584="","",IF(ISTEXT(CF584),1,0))</f>
        <v>0</v>
      </c>
      <c r="CJ584" s="4"/>
      <c r="CK584" s="4"/>
      <c r="CL584" s="4" t="str">
        <f t="shared" si="536"/>
        <v/>
      </c>
      <c r="CM584" s="4" t="str">
        <f t="shared" si="537"/>
        <v/>
      </c>
      <c r="CN584" s="4" t="str">
        <f t="shared" ref="CN584:CN592" si="545">IF(OR(CL584="",CM584=""),"",IF(AND(CL584=0,CM584=0),"N/A",IF(AND(CL584=1,CM584=0),"COND. A",IF(AND(CL584=0,CM584=1),"COND. B",IF(AND(CL584=1,CM584=1),"COND. A Y B","")))))</f>
        <v/>
      </c>
      <c r="CO584" s="4"/>
      <c r="CP584" s="4"/>
      <c r="CQ584" s="29" t="str">
        <f t="shared" si="538"/>
        <v/>
      </c>
      <c r="CR584" s="29" t="str">
        <f t="shared" si="539"/>
        <v/>
      </c>
      <c r="CS584" s="4"/>
    </row>
    <row r="585" spans="1:97" ht="34.25" hidden="1" customHeight="1">
      <c r="B585" s="481"/>
      <c r="C585" s="118"/>
      <c r="D585" s="126" t="str">
        <f>+IFERROR(INDEX('DESEMPATE Y DISCAPACIDAD'!$D$3:$D$450,MATCH(C585,'DESEMPATE Y DISCAPACIDAD'!$C$3:$C$450,0)),"")</f>
        <v/>
      </c>
      <c r="E585" s="127" t="str">
        <f>IFERROR(IF(D585="","",IF(VLOOKUP(D585,'DESEMPATE Y DISCAPACIDAD'!D$3:$E$450,2,FALSE)=1,"N/A",IF(VLOOKUP(D585,'DESEMPATE Y DISCAPACIDAD'!D$3:$F$450,3,FALSE)="X","SI","NO"))),"")</f>
        <v/>
      </c>
      <c r="F585" s="121"/>
      <c r="G585" s="121"/>
      <c r="H585" s="125"/>
      <c r="I585" s="128"/>
      <c r="J585" s="125"/>
      <c r="K585" s="125"/>
      <c r="L585" s="3"/>
      <c r="M585" s="3"/>
      <c r="N585" s="125" t="str">
        <f t="shared" si="540"/>
        <v/>
      </c>
      <c r="O585" s="125" t="str">
        <f>IFERROR(IF(OR(J585="",L585=""),"",IF(J585="NO","NO",L585)),"")</f>
        <v/>
      </c>
      <c r="P585" s="125" t="str">
        <f t="shared" si="541"/>
        <v/>
      </c>
      <c r="Q585" s="125" t="str">
        <f t="shared" si="531"/>
        <v/>
      </c>
      <c r="R585" s="68"/>
      <c r="S585" s="129"/>
      <c r="T585" s="129"/>
      <c r="U585" s="125" t="str">
        <f t="shared" si="542"/>
        <v/>
      </c>
      <c r="V585" s="117" t="str">
        <f>IF(U585=2023,1160000,IFERROR(INDEX(SMMLV!$B$2:$B$101,MATCH(U585,SMMLV!$A$2:$A$101,0)),""))</f>
        <v/>
      </c>
      <c r="W585" s="117"/>
      <c r="X585" s="125"/>
      <c r="Y585" s="125"/>
      <c r="Z585" s="474"/>
      <c r="AA585" s="475"/>
      <c r="AB585" s="476"/>
      <c r="AC585" s="125" t="str">
        <f t="shared" si="543"/>
        <v/>
      </c>
      <c r="AD585" s="117" t="str">
        <f t="shared" si="532"/>
        <v/>
      </c>
      <c r="AE585" s="117" t="str">
        <f t="shared" si="530"/>
        <v/>
      </c>
      <c r="AF585" s="117" t="str">
        <f t="shared" si="533"/>
        <v/>
      </c>
      <c r="AG585" s="470"/>
      <c r="AH585" s="470"/>
      <c r="AI585" s="125" t="str">
        <f t="shared" si="534"/>
        <v/>
      </c>
      <c r="AJ585" s="470"/>
      <c r="AK585" s="470"/>
      <c r="AL585" s="472"/>
      <c r="AM585" s="496"/>
      <c r="AN585" s="125"/>
      <c r="AO585" s="490"/>
      <c r="AP585" s="125"/>
      <c r="AQ585" s="490"/>
      <c r="AR585" s="522"/>
      <c r="AS585" s="522"/>
      <c r="AT585" s="138"/>
      <c r="AU585" s="702"/>
      <c r="AV585" s="702"/>
      <c r="AW585" s="708"/>
      <c r="AX585" s="708"/>
      <c r="AY585" s="19"/>
      <c r="CB585" s="29" t="str">
        <f>IFERROR(IF(COUNTIF(AF583:AF592,"")=10,"",IF(COUNTIF(E583:E592,"N/A")&gt;0,IF(AF585&gt;=CMEMM1,AF585,0),"N/A")),"")</f>
        <v/>
      </c>
      <c r="CC585" s="4"/>
      <c r="CD585" s="4" t="str">
        <f>IFERROR(IF(COUNTIF(AF583:AF592,"")=10,"",IF(AF585="","",IF(AF585&gt;=CMEMM1,1,0))),"")</f>
        <v/>
      </c>
      <c r="CE585" s="4" t="str">
        <f>B583&amp;"-0"&amp;3</f>
        <v>P59-03</v>
      </c>
      <c r="CF585" s="4">
        <f>IFERROR(INDEX('DESEMPATE Y DISCAPACIDAD'!$D$3:$D$450,MATCH(CE585,'DESEMPATE Y DISCAPACIDAD'!$C$3:$C$450,0)),"")</f>
        <v>0</v>
      </c>
      <c r="CG585" s="4">
        <f>IF(OR(CE585="",CF585=""),"",SUMIF(D583:D592,CF585,CD583:CD592))</f>
        <v>0</v>
      </c>
      <c r="CH585" s="4" t="str">
        <f t="shared" si="535"/>
        <v>NO CUMPLE</v>
      </c>
      <c r="CI585" s="4">
        <f t="shared" si="544"/>
        <v>0</v>
      </c>
      <c r="CJ585" s="4"/>
      <c r="CK585" s="4"/>
      <c r="CL585" s="4" t="str">
        <f t="shared" si="536"/>
        <v/>
      </c>
      <c r="CM585" s="4" t="str">
        <f t="shared" si="537"/>
        <v/>
      </c>
      <c r="CN585" s="4" t="str">
        <f t="shared" si="545"/>
        <v/>
      </c>
      <c r="CO585" s="4"/>
      <c r="CP585" s="4"/>
      <c r="CQ585" s="29" t="str">
        <f t="shared" si="538"/>
        <v/>
      </c>
      <c r="CR585" s="29" t="str">
        <f t="shared" si="539"/>
        <v/>
      </c>
      <c r="CS585" s="4"/>
    </row>
    <row r="586" spans="1:97" ht="34.25" hidden="1" customHeight="1">
      <c r="B586" s="481"/>
      <c r="C586" s="118"/>
      <c r="D586" s="126" t="str">
        <f>+IFERROR(INDEX('DESEMPATE Y DISCAPACIDAD'!$D$3:$D$450,MATCH(C586,'DESEMPATE Y DISCAPACIDAD'!$C$3:$C$450,0)),"")</f>
        <v/>
      </c>
      <c r="E586" s="127" t="str">
        <f>IFERROR(IF(D586="","",IF(VLOOKUP(D586,'DESEMPATE Y DISCAPACIDAD'!D$3:$E$450,2,FALSE)=1,"N/A",IF(VLOOKUP(D586,'DESEMPATE Y DISCAPACIDAD'!D$3:$F$450,3,FALSE)="X","SI","NO"))),"")</f>
        <v/>
      </c>
      <c r="F586" s="141"/>
      <c r="G586" s="125"/>
      <c r="H586" s="125"/>
      <c r="I586" s="128"/>
      <c r="J586" s="125"/>
      <c r="K586" s="125"/>
      <c r="L586" s="3"/>
      <c r="M586" s="125"/>
      <c r="N586" s="125" t="str">
        <f t="shared" si="540"/>
        <v/>
      </c>
      <c r="O586" s="125" t="str">
        <f>IFERROR(IF(OR(J586="",L586=""),"",IF(J586="NO","NO",L586)),"")</f>
        <v/>
      </c>
      <c r="P586" s="125" t="str">
        <f t="shared" si="541"/>
        <v/>
      </c>
      <c r="Q586" s="125" t="str">
        <f t="shared" si="531"/>
        <v/>
      </c>
      <c r="R586" s="68"/>
      <c r="S586" s="129"/>
      <c r="T586" s="129"/>
      <c r="U586" s="125" t="str">
        <f t="shared" si="542"/>
        <v/>
      </c>
      <c r="V586" s="117" t="str">
        <f>IF(U586=2023,1160000,IFERROR(INDEX(SMMLV!$B$2:$B$101,MATCH(U586,SMMLV!$A$2:$A$101,0)),""))</f>
        <v/>
      </c>
      <c r="W586" s="117"/>
      <c r="X586" s="125"/>
      <c r="Y586" s="125"/>
      <c r="Z586" s="474"/>
      <c r="AA586" s="475"/>
      <c r="AB586" s="476"/>
      <c r="AC586" s="125" t="str">
        <f t="shared" si="543"/>
        <v/>
      </c>
      <c r="AD586" s="117" t="str">
        <f t="shared" si="532"/>
        <v/>
      </c>
      <c r="AE586" s="117" t="str">
        <f t="shared" si="530"/>
        <v/>
      </c>
      <c r="AF586" s="117" t="str">
        <f t="shared" si="533"/>
        <v/>
      </c>
      <c r="AG586" s="470"/>
      <c r="AH586" s="470"/>
      <c r="AI586" s="125" t="str">
        <f t="shared" si="534"/>
        <v/>
      </c>
      <c r="AJ586" s="470"/>
      <c r="AK586" s="470"/>
      <c r="AL586" s="472"/>
      <c r="AM586" s="496"/>
      <c r="AN586" s="125"/>
      <c r="AO586" s="490"/>
      <c r="AP586" s="125"/>
      <c r="AQ586" s="490"/>
      <c r="AR586" s="522"/>
      <c r="AS586" s="522"/>
      <c r="AT586" s="138"/>
      <c r="AU586" s="702"/>
      <c r="AV586" s="702"/>
      <c r="AW586" s="708"/>
      <c r="AX586" s="708"/>
      <c r="AY586" s="19"/>
      <c r="CB586" s="29" t="str">
        <f>IFERROR(IF(COUNTIF(AF583:AF592,"")=10,"",IF(COUNTIF(E583:E592,"N/A")&gt;0,IF(AF586&gt;=CMEMM1,AF586,0),"N/A")),"")</f>
        <v/>
      </c>
      <c r="CC586" s="4"/>
      <c r="CD586" s="4" t="str">
        <f>IFERROR(IF(COUNTIF(AF583:AF592,"")=10,"",IF(AF586="","",IF(AF586&gt;=CMEMM1,1,0))),"")</f>
        <v/>
      </c>
      <c r="CE586" s="4" t="str">
        <f>B583&amp;"-0"&amp;4</f>
        <v>P59-04</v>
      </c>
      <c r="CF586" s="4">
        <f>IFERROR(INDEX('DESEMPATE Y DISCAPACIDAD'!$D$3:$D$450,MATCH(CE586,'DESEMPATE Y DISCAPACIDAD'!$C$3:$C$450,0)),"")</f>
        <v>0</v>
      </c>
      <c r="CG586" s="4">
        <f>IF(OR(CE586="",CF586=""),"",SUMIF(D583:D592,CF586,CD583:CD592))</f>
        <v>0</v>
      </c>
      <c r="CH586" s="4" t="str">
        <f t="shared" si="535"/>
        <v>NO CUMPLE</v>
      </c>
      <c r="CI586" s="4">
        <f t="shared" si="544"/>
        <v>0</v>
      </c>
      <c r="CJ586" s="4"/>
      <c r="CK586" s="4"/>
      <c r="CL586" s="4" t="str">
        <f t="shared" si="536"/>
        <v/>
      </c>
      <c r="CM586" s="4" t="str">
        <f t="shared" si="537"/>
        <v/>
      </c>
      <c r="CN586" s="4" t="str">
        <f t="shared" si="545"/>
        <v/>
      </c>
      <c r="CO586" s="4"/>
      <c r="CP586" s="4"/>
      <c r="CQ586" s="29" t="str">
        <f t="shared" si="538"/>
        <v/>
      </c>
      <c r="CR586" s="29" t="str">
        <f t="shared" si="539"/>
        <v/>
      </c>
      <c r="CS586" s="4"/>
    </row>
    <row r="587" spans="1:97" ht="34.25" hidden="1" customHeight="1">
      <c r="B587" s="481"/>
      <c r="C587" s="118"/>
      <c r="D587" s="126" t="str">
        <f>+IFERROR(INDEX('DESEMPATE Y DISCAPACIDAD'!$D$3:$D$450,MATCH(C587,'DESEMPATE Y DISCAPACIDAD'!$C$3:$C$450,0)),"")</f>
        <v/>
      </c>
      <c r="E587" s="127" t="str">
        <f>IFERROR(IF(D587="","",IF(VLOOKUP(D587,'DESEMPATE Y DISCAPACIDAD'!D$3:$E$450,2,FALSE)=1,"N/A",IF(VLOOKUP(D587,'DESEMPATE Y DISCAPACIDAD'!D$3:$F$450,3,FALSE)="X","SI","NO"))),"")</f>
        <v/>
      </c>
      <c r="F587" s="125"/>
      <c r="G587" s="125"/>
      <c r="H587" s="125"/>
      <c r="I587" s="128"/>
      <c r="J587" s="125"/>
      <c r="K587" s="125"/>
      <c r="L587" s="125"/>
      <c r="M587" s="125"/>
      <c r="N587" s="125" t="str">
        <f t="shared" si="540"/>
        <v/>
      </c>
      <c r="O587" s="125" t="str">
        <f t="shared" ref="O587:O592" si="546">IFERROR(IF(OR(J587="",L587=""),"",IF(J587="NO","NO",L587)),"")</f>
        <v/>
      </c>
      <c r="P587" s="125" t="str">
        <f t="shared" si="541"/>
        <v/>
      </c>
      <c r="Q587" s="125" t="str">
        <f t="shared" si="531"/>
        <v/>
      </c>
      <c r="R587" s="68"/>
      <c r="S587" s="129"/>
      <c r="T587" s="129"/>
      <c r="U587" s="125" t="str">
        <f t="shared" si="542"/>
        <v/>
      </c>
      <c r="V587" s="117" t="str">
        <f>IF(U587=2023,1160000,IFERROR(INDEX(SMMLV!$B$2:$B$101,MATCH(U587,SMMLV!$A$2:$A$101,0)),""))</f>
        <v/>
      </c>
      <c r="W587" s="117"/>
      <c r="X587" s="125"/>
      <c r="Y587" s="125"/>
      <c r="Z587" s="474"/>
      <c r="AA587" s="475"/>
      <c r="AB587" s="476"/>
      <c r="AC587" s="125" t="str">
        <f t="shared" si="543"/>
        <v/>
      </c>
      <c r="AD587" s="117" t="str">
        <f t="shared" si="532"/>
        <v/>
      </c>
      <c r="AE587" s="117" t="str">
        <f t="shared" si="530"/>
        <v/>
      </c>
      <c r="AF587" s="117" t="str">
        <f t="shared" si="533"/>
        <v/>
      </c>
      <c r="AG587" s="470"/>
      <c r="AH587" s="470"/>
      <c r="AI587" s="125" t="str">
        <f t="shared" si="534"/>
        <v/>
      </c>
      <c r="AJ587" s="470"/>
      <c r="AK587" s="470"/>
      <c r="AL587" s="472"/>
      <c r="AM587" s="496"/>
      <c r="AN587" s="125"/>
      <c r="AO587" s="490"/>
      <c r="AP587" s="125"/>
      <c r="AQ587" s="490"/>
      <c r="AR587" s="522"/>
      <c r="AS587" s="522"/>
      <c r="AT587" s="138"/>
      <c r="AU587" s="702"/>
      <c r="AV587" s="702"/>
      <c r="AW587" s="708"/>
      <c r="AX587" s="708"/>
      <c r="AY587" s="19"/>
      <c r="CB587" s="29" t="str">
        <f>IFERROR(IF(COUNTIF(AF583:AF592,"")=10,"",IF(COUNTIF(E583:E592,"N/A")&gt;0,IF(AF587&gt;=CMEMM1,AF587,0),"N/A")),"")</f>
        <v/>
      </c>
      <c r="CC587" s="4"/>
      <c r="CD587" s="4" t="str">
        <f>IFERROR(IF(COUNTIF(AF583:AF592,"")=10,"",IF(AF587="","",IF(AF587&gt;=CMEMM1,1,0))),"")</f>
        <v/>
      </c>
      <c r="CE587" s="4" t="str">
        <f>B583&amp;"-0"&amp;5</f>
        <v>P59-05</v>
      </c>
      <c r="CF587" s="4">
        <f>IFERROR(INDEX('DESEMPATE Y DISCAPACIDAD'!$D$3:$D$450,MATCH(CE587,'DESEMPATE Y DISCAPACIDAD'!$C$3:$C$450,0)),"")</f>
        <v>0</v>
      </c>
      <c r="CG587" s="4">
        <f>IF(OR(CE587="",CF587=""),"",SUMIF(D583:D592,CF587,CD583:CD592))</f>
        <v>0</v>
      </c>
      <c r="CH587" s="4" t="str">
        <f t="shared" si="535"/>
        <v>NO CUMPLE</v>
      </c>
      <c r="CI587" s="4">
        <f t="shared" si="544"/>
        <v>0</v>
      </c>
      <c r="CJ587" s="4"/>
      <c r="CK587" s="4"/>
      <c r="CL587" s="4" t="str">
        <f t="shared" si="536"/>
        <v/>
      </c>
      <c r="CM587" s="4" t="str">
        <f t="shared" si="537"/>
        <v/>
      </c>
      <c r="CN587" s="4" t="str">
        <f t="shared" si="545"/>
        <v/>
      </c>
      <c r="CO587" s="4"/>
      <c r="CP587" s="4"/>
      <c r="CQ587" s="29" t="str">
        <f t="shared" si="538"/>
        <v/>
      </c>
      <c r="CR587" s="29" t="str">
        <f t="shared" si="539"/>
        <v/>
      </c>
      <c r="CS587" s="4"/>
    </row>
    <row r="588" spans="1:97" ht="34.25" hidden="1" customHeight="1">
      <c r="B588" s="481"/>
      <c r="C588" s="118"/>
      <c r="D588" s="126" t="str">
        <f>+IFERROR(INDEX('DESEMPATE Y DISCAPACIDAD'!$D$3:$D$450,MATCH(C588,'DESEMPATE Y DISCAPACIDAD'!$C$3:$C$450,0)),"")</f>
        <v/>
      </c>
      <c r="E588" s="127" t="str">
        <f>IFERROR(IF(D588="","",IF(VLOOKUP(D588,'DESEMPATE Y DISCAPACIDAD'!D$3:$E$450,2,FALSE)=1,"N/A",IF(VLOOKUP(D588,'DESEMPATE Y DISCAPACIDAD'!D$3:$F$450,3,FALSE)="X","SI","NO"))),"")</f>
        <v/>
      </c>
      <c r="F588" s="125"/>
      <c r="G588" s="125"/>
      <c r="H588" s="125"/>
      <c r="I588" s="128"/>
      <c r="J588" s="125"/>
      <c r="K588" s="125"/>
      <c r="L588" s="125"/>
      <c r="M588" s="125"/>
      <c r="N588" s="125" t="str">
        <f t="shared" si="540"/>
        <v/>
      </c>
      <c r="O588" s="125" t="str">
        <f t="shared" si="546"/>
        <v/>
      </c>
      <c r="P588" s="125" t="str">
        <f t="shared" si="541"/>
        <v/>
      </c>
      <c r="Q588" s="125" t="str">
        <f t="shared" si="531"/>
        <v/>
      </c>
      <c r="R588" s="68"/>
      <c r="S588" s="129"/>
      <c r="T588" s="129"/>
      <c r="U588" s="125" t="str">
        <f t="shared" si="542"/>
        <v/>
      </c>
      <c r="V588" s="117" t="str">
        <f>IF(U588=2023,1160000,IFERROR(INDEX(SMMLV!$B$2:$B$101,MATCH(U588,SMMLV!$A$2:$A$101,0)),""))</f>
        <v/>
      </c>
      <c r="W588" s="117"/>
      <c r="X588" s="125"/>
      <c r="Y588" s="125"/>
      <c r="Z588" s="474"/>
      <c r="AA588" s="475"/>
      <c r="AB588" s="476"/>
      <c r="AC588" s="125" t="str">
        <f t="shared" si="543"/>
        <v/>
      </c>
      <c r="AD588" s="117" t="str">
        <f t="shared" si="532"/>
        <v/>
      </c>
      <c r="AE588" s="117" t="str">
        <f t="shared" si="530"/>
        <v/>
      </c>
      <c r="AF588" s="117" t="str">
        <f t="shared" si="533"/>
        <v/>
      </c>
      <c r="AG588" s="470"/>
      <c r="AH588" s="470"/>
      <c r="AI588" s="125" t="str">
        <f t="shared" si="534"/>
        <v/>
      </c>
      <c r="AJ588" s="470"/>
      <c r="AK588" s="470"/>
      <c r="AL588" s="472"/>
      <c r="AM588" s="496"/>
      <c r="AN588" s="125"/>
      <c r="AO588" s="490"/>
      <c r="AP588" s="125"/>
      <c r="AQ588" s="490"/>
      <c r="AR588" s="522"/>
      <c r="AS588" s="522"/>
      <c r="AT588" s="138"/>
      <c r="AU588" s="702"/>
      <c r="AV588" s="702"/>
      <c r="AW588" s="708"/>
      <c r="AX588" s="708"/>
      <c r="AY588" s="19"/>
      <c r="CB588" s="29" t="str">
        <f>IFERROR(IF(COUNTIF(AF583:AF592,"")=10,"",IF(COUNTIF(E583:E592,"N/A")&gt;0,IF(AF588&gt;=CMEMM1,AF588,0),"N/A")),"")</f>
        <v/>
      </c>
      <c r="CC588" s="4"/>
      <c r="CD588" s="4" t="str">
        <f>IFERROR(IF(COUNTIF(AF583:AF592,"")=10,"",IF(AF588="","",IF(AF588&gt;=CMEMM1,1,0))),"")</f>
        <v/>
      </c>
      <c r="CE588" s="4" t="str">
        <f>B583&amp;"-0"&amp;6</f>
        <v>P59-06</v>
      </c>
      <c r="CF588" s="4">
        <f>IFERROR(INDEX('DESEMPATE Y DISCAPACIDAD'!$D$3:$D$450,MATCH(CE588,'DESEMPATE Y DISCAPACIDAD'!$C$3:$C$450,0)),"")</f>
        <v>0</v>
      </c>
      <c r="CG588" s="4">
        <f>IF(OR(CE588="",CF588=""),"",SUMIF(D583:D592,CF588,CD583:CD592))</f>
        <v>0</v>
      </c>
      <c r="CH588" s="4" t="str">
        <f t="shared" si="535"/>
        <v>NO CUMPLE</v>
      </c>
      <c r="CI588" s="4">
        <f t="shared" si="544"/>
        <v>0</v>
      </c>
      <c r="CJ588" s="4"/>
      <c r="CK588" s="4"/>
      <c r="CL588" s="4" t="str">
        <f t="shared" si="536"/>
        <v/>
      </c>
      <c r="CM588" s="4" t="str">
        <f t="shared" si="537"/>
        <v/>
      </c>
      <c r="CN588" s="4" t="str">
        <f t="shared" si="545"/>
        <v/>
      </c>
      <c r="CO588" s="4"/>
      <c r="CP588" s="4"/>
      <c r="CQ588" s="29" t="str">
        <f t="shared" si="538"/>
        <v/>
      </c>
      <c r="CR588" s="29" t="str">
        <f t="shared" si="539"/>
        <v/>
      </c>
      <c r="CS588" s="4"/>
    </row>
    <row r="589" spans="1:97" ht="34.25" hidden="1" customHeight="1">
      <c r="B589" s="481"/>
      <c r="C589" s="118"/>
      <c r="D589" s="126" t="str">
        <f>+IFERROR(INDEX('DESEMPATE Y DISCAPACIDAD'!$D$3:$D$450,MATCH(C589,'DESEMPATE Y DISCAPACIDAD'!$C$3:$C$450,0)),"")</f>
        <v/>
      </c>
      <c r="E589" s="127" t="str">
        <f>IFERROR(IF(D589="","",IF(VLOOKUP(D589,'DESEMPATE Y DISCAPACIDAD'!D$3:$E$450,2,FALSE)=1,"N/A",IF(VLOOKUP(D589,'DESEMPATE Y DISCAPACIDAD'!D$3:$F$450,3,FALSE)="X","SI","NO"))),"")</f>
        <v/>
      </c>
      <c r="F589" s="125"/>
      <c r="G589" s="125"/>
      <c r="H589" s="125"/>
      <c r="I589" s="128"/>
      <c r="J589" s="125"/>
      <c r="K589" s="125"/>
      <c r="L589" s="125"/>
      <c r="M589" s="125"/>
      <c r="N589" s="125" t="str">
        <f t="shared" si="540"/>
        <v/>
      </c>
      <c r="O589" s="125" t="str">
        <f t="shared" si="546"/>
        <v/>
      </c>
      <c r="P589" s="125" t="str">
        <f t="shared" si="541"/>
        <v/>
      </c>
      <c r="Q589" s="125" t="str">
        <f t="shared" si="531"/>
        <v/>
      </c>
      <c r="R589" s="68"/>
      <c r="S589" s="129"/>
      <c r="T589" s="129"/>
      <c r="U589" s="125" t="str">
        <f t="shared" si="542"/>
        <v/>
      </c>
      <c r="V589" s="117" t="str">
        <f>IF(U589=2023,1160000,IFERROR(INDEX(SMMLV!$B$2:$B$101,MATCH(U589,SMMLV!$A$2:$A$101,0)),""))</f>
        <v/>
      </c>
      <c r="W589" s="117"/>
      <c r="X589" s="125"/>
      <c r="Y589" s="125"/>
      <c r="Z589" s="474"/>
      <c r="AA589" s="475"/>
      <c r="AB589" s="476"/>
      <c r="AC589" s="125" t="str">
        <f t="shared" si="543"/>
        <v/>
      </c>
      <c r="AD589" s="117" t="str">
        <f t="shared" si="532"/>
        <v/>
      </c>
      <c r="AE589" s="117" t="str">
        <f t="shared" ref="AE589:AE652" si="547">IFERROR(IF(OR(V589="",AD589=""),"",ROUND(AD589/V589,2)),"")</f>
        <v/>
      </c>
      <c r="AF589" s="117" t="str">
        <f t="shared" si="533"/>
        <v/>
      </c>
      <c r="AG589" s="470"/>
      <c r="AH589" s="470"/>
      <c r="AI589" s="125" t="str">
        <f t="shared" si="534"/>
        <v/>
      </c>
      <c r="AJ589" s="470"/>
      <c r="AK589" s="470"/>
      <c r="AL589" s="472"/>
      <c r="AM589" s="496"/>
      <c r="AN589" s="125"/>
      <c r="AO589" s="490"/>
      <c r="AP589" s="125"/>
      <c r="AQ589" s="490"/>
      <c r="AR589" s="522"/>
      <c r="AS589" s="522"/>
      <c r="AT589" s="138"/>
      <c r="AU589" s="702"/>
      <c r="AV589" s="702"/>
      <c r="AW589" s="708"/>
      <c r="AX589" s="708"/>
      <c r="AY589" s="19"/>
      <c r="CB589" s="29" t="str">
        <f>IFERROR(IF(COUNTIF(AF583:AF592,"")=10,"",IF(COUNTIF(E583:E592,"N/A")&gt;0,IF(AF589&gt;=CMEMM1,AF589,0),"N/A")),"")</f>
        <v/>
      </c>
      <c r="CC589" s="4"/>
      <c r="CD589" s="4" t="str">
        <f>IFERROR(IF(COUNTIF(AF583:AF592,"")=10,"",IF(AF589="","",IF(AF589&gt;=CMEMM1,1,0))),"")</f>
        <v/>
      </c>
      <c r="CE589" s="4" t="str">
        <f>B583&amp;"-0"&amp;7</f>
        <v>P59-07</v>
      </c>
      <c r="CF589" s="4" t="str">
        <f>IFERROR(INDEX('DESEMPATE Y DISCAPACIDAD'!$D$3:$D$450,MATCH(CE589,'DESEMPATE Y DISCAPACIDAD'!$C$3:$C$450,0)),"")</f>
        <v/>
      </c>
      <c r="CG589" s="4" t="str">
        <f>IF(OR(CE589="",CF589=""),"",SUMIF(D583:D592,CF589,CD583:CD592))</f>
        <v/>
      </c>
      <c r="CH589" s="4" t="str">
        <f t="shared" si="535"/>
        <v/>
      </c>
      <c r="CI589" s="4" t="str">
        <f t="shared" si="544"/>
        <v/>
      </c>
      <c r="CJ589" s="4"/>
      <c r="CK589" s="4"/>
      <c r="CL589" s="4" t="str">
        <f t="shared" si="536"/>
        <v/>
      </c>
      <c r="CM589" s="4" t="str">
        <f t="shared" si="537"/>
        <v/>
      </c>
      <c r="CN589" s="4" t="str">
        <f t="shared" si="545"/>
        <v/>
      </c>
      <c r="CO589" s="4"/>
      <c r="CP589" s="4"/>
      <c r="CQ589" s="29" t="str">
        <f t="shared" si="538"/>
        <v/>
      </c>
      <c r="CR589" s="29" t="str">
        <f t="shared" si="539"/>
        <v/>
      </c>
      <c r="CS589" s="4"/>
    </row>
    <row r="590" spans="1:97" ht="34.25" hidden="1" customHeight="1">
      <c r="B590" s="481"/>
      <c r="C590" s="118"/>
      <c r="D590" s="126" t="str">
        <f>+IFERROR(INDEX('DESEMPATE Y DISCAPACIDAD'!$D$3:$D$450,MATCH(C590,'DESEMPATE Y DISCAPACIDAD'!$C$3:$C$450,0)),"")</f>
        <v/>
      </c>
      <c r="E590" s="127" t="str">
        <f>IFERROR(IF(D590="","",IF(VLOOKUP(D590,'DESEMPATE Y DISCAPACIDAD'!D$3:$E$450,2,FALSE)=1,"N/A",IF(VLOOKUP(D590,'DESEMPATE Y DISCAPACIDAD'!D$3:$F$450,3,FALSE)="X","SI","NO"))),"")</f>
        <v/>
      </c>
      <c r="F590" s="125"/>
      <c r="G590" s="125"/>
      <c r="H590" s="125"/>
      <c r="I590" s="128"/>
      <c r="J590" s="125"/>
      <c r="K590" s="125"/>
      <c r="L590" s="125"/>
      <c r="M590" s="125"/>
      <c r="N590" s="125" t="str">
        <f t="shared" si="540"/>
        <v/>
      </c>
      <c r="O590" s="125" t="str">
        <f t="shared" si="546"/>
        <v/>
      </c>
      <c r="P590" s="125" t="str">
        <f t="shared" si="541"/>
        <v/>
      </c>
      <c r="Q590" s="125" t="str">
        <f t="shared" si="531"/>
        <v/>
      </c>
      <c r="R590" s="68"/>
      <c r="S590" s="129"/>
      <c r="T590" s="129"/>
      <c r="U590" s="125" t="str">
        <f t="shared" si="542"/>
        <v/>
      </c>
      <c r="V590" s="117" t="str">
        <f>IF(U590=2023,1160000,IFERROR(INDEX(SMMLV!$B$2:$B$101,MATCH(U590,SMMLV!$A$2:$A$101,0)),""))</f>
        <v/>
      </c>
      <c r="W590" s="117"/>
      <c r="X590" s="125"/>
      <c r="Y590" s="125"/>
      <c r="Z590" s="474"/>
      <c r="AA590" s="475"/>
      <c r="AB590" s="476"/>
      <c r="AC590" s="125" t="str">
        <f t="shared" si="543"/>
        <v/>
      </c>
      <c r="AD590" s="117" t="str">
        <f t="shared" si="532"/>
        <v/>
      </c>
      <c r="AE590" s="117" t="str">
        <f t="shared" si="547"/>
        <v/>
      </c>
      <c r="AF590" s="117" t="str">
        <f t="shared" si="533"/>
        <v/>
      </c>
      <c r="AG590" s="470"/>
      <c r="AH590" s="470"/>
      <c r="AI590" s="125" t="str">
        <f t="shared" si="534"/>
        <v/>
      </c>
      <c r="AJ590" s="470"/>
      <c r="AK590" s="470"/>
      <c r="AL590" s="472"/>
      <c r="AM590" s="496"/>
      <c r="AN590" s="125"/>
      <c r="AO590" s="490"/>
      <c r="AP590" s="125"/>
      <c r="AQ590" s="490"/>
      <c r="AR590" s="522"/>
      <c r="AS590" s="522"/>
      <c r="AT590" s="138"/>
      <c r="AU590" s="702"/>
      <c r="AV590" s="702"/>
      <c r="AW590" s="708"/>
      <c r="AX590" s="708"/>
      <c r="AY590" s="19"/>
      <c r="CB590" s="29" t="str">
        <f>IFERROR(IF(COUNTIF(AF583:AF592,"")=10,"",IF(COUNTIF(E583:E592,"N/A")&gt;0,IF(AF590&gt;=CMEMM1,AF590,0),"N/A")),"")</f>
        <v/>
      </c>
      <c r="CC590" s="4"/>
      <c r="CD590" s="4" t="str">
        <f>IFERROR(IF(COUNTIF(AF583:AF592,"")=10,"",IF(AF590="","",IF(AF590&gt;=CMEMM1,1,0))),"")</f>
        <v/>
      </c>
      <c r="CE590" s="4" t="str">
        <f>B583&amp;"-0"&amp;8</f>
        <v>P59-08</v>
      </c>
      <c r="CF590" s="4" t="str">
        <f>IFERROR(INDEX('DESEMPATE Y DISCAPACIDAD'!$D$3:$D$450,MATCH(CE590,'DESEMPATE Y DISCAPACIDAD'!$C$3:$C$450,0)),"")</f>
        <v/>
      </c>
      <c r="CG590" s="4" t="str">
        <f>IF(OR(CE590="",CF590=""),"",SUMIF(D583:D592,CF590,CD583:CD592))</f>
        <v/>
      </c>
      <c r="CH590" s="4" t="str">
        <f t="shared" si="535"/>
        <v/>
      </c>
      <c r="CI590" s="4" t="str">
        <f t="shared" si="544"/>
        <v/>
      </c>
      <c r="CJ590" s="4"/>
      <c r="CK590" s="4"/>
      <c r="CL590" s="4" t="str">
        <f t="shared" si="536"/>
        <v/>
      </c>
      <c r="CM590" s="4" t="str">
        <f t="shared" si="537"/>
        <v/>
      </c>
      <c r="CN590" s="4" t="str">
        <f t="shared" si="545"/>
        <v/>
      </c>
      <c r="CO590" s="4"/>
      <c r="CP590" s="4"/>
      <c r="CQ590" s="29" t="str">
        <f t="shared" si="538"/>
        <v/>
      </c>
      <c r="CR590" s="29" t="str">
        <f t="shared" si="539"/>
        <v/>
      </c>
      <c r="CS590" s="4"/>
    </row>
    <row r="591" spans="1:97" ht="34.25" hidden="1" customHeight="1">
      <c r="B591" s="481"/>
      <c r="C591" s="118"/>
      <c r="D591" s="126" t="str">
        <f>+IFERROR(INDEX('DESEMPATE Y DISCAPACIDAD'!$D$3:$D$450,MATCH(C591,'DESEMPATE Y DISCAPACIDAD'!$C$3:$C$450,0)),"")</f>
        <v/>
      </c>
      <c r="E591" s="127" t="str">
        <f>IFERROR(IF(D591="","",IF(VLOOKUP(D591,'DESEMPATE Y DISCAPACIDAD'!D$3:$E$450,2,FALSE)=1,"N/A",IF(VLOOKUP(D591,'DESEMPATE Y DISCAPACIDAD'!D$3:$F$450,3,FALSE)="X","SI","NO"))),"")</f>
        <v/>
      </c>
      <c r="F591" s="125"/>
      <c r="G591" s="125"/>
      <c r="H591" s="125"/>
      <c r="I591" s="128"/>
      <c r="J591" s="125"/>
      <c r="K591" s="125"/>
      <c r="L591" s="125"/>
      <c r="M591" s="125"/>
      <c r="N591" s="125" t="str">
        <f t="shared" si="540"/>
        <v/>
      </c>
      <c r="O591" s="125" t="str">
        <f t="shared" si="546"/>
        <v/>
      </c>
      <c r="P591" s="125" t="str">
        <f t="shared" si="541"/>
        <v/>
      </c>
      <c r="Q591" s="125" t="str">
        <f t="shared" si="531"/>
        <v/>
      </c>
      <c r="R591" s="68"/>
      <c r="S591" s="129"/>
      <c r="T591" s="129"/>
      <c r="U591" s="125" t="str">
        <f t="shared" si="542"/>
        <v/>
      </c>
      <c r="V591" s="117" t="str">
        <f>IF(U591=2023,1160000,IFERROR(INDEX(SMMLV!$B$2:$B$101,MATCH(U591,SMMLV!$A$2:$A$101,0)),""))</f>
        <v/>
      </c>
      <c r="W591" s="117"/>
      <c r="X591" s="125"/>
      <c r="Y591" s="125"/>
      <c r="Z591" s="474"/>
      <c r="AA591" s="475"/>
      <c r="AB591" s="476"/>
      <c r="AC591" s="125" t="str">
        <f t="shared" si="543"/>
        <v/>
      </c>
      <c r="AD591" s="117" t="str">
        <f t="shared" si="532"/>
        <v/>
      </c>
      <c r="AE591" s="117" t="str">
        <f t="shared" si="547"/>
        <v/>
      </c>
      <c r="AF591" s="117" t="str">
        <f t="shared" si="533"/>
        <v/>
      </c>
      <c r="AG591" s="470"/>
      <c r="AH591" s="470"/>
      <c r="AI591" s="125" t="str">
        <f t="shared" si="534"/>
        <v/>
      </c>
      <c r="AJ591" s="470"/>
      <c r="AK591" s="470"/>
      <c r="AL591" s="472"/>
      <c r="AM591" s="496"/>
      <c r="AN591" s="125"/>
      <c r="AO591" s="490"/>
      <c r="AP591" s="125"/>
      <c r="AQ591" s="490"/>
      <c r="AR591" s="522"/>
      <c r="AS591" s="522"/>
      <c r="AT591" s="138"/>
      <c r="AU591" s="702"/>
      <c r="AV591" s="702"/>
      <c r="AW591" s="708"/>
      <c r="AX591" s="708"/>
      <c r="AY591" s="19"/>
      <c r="CB591" s="29" t="str">
        <f>IFERROR(IF(COUNTIF(AF583:AF592,"")=10,"",IF(COUNTIF(E583:E592,"N/A")&gt;0,IF(AF591&gt;=CMEMM1,AF591,0),"N/A")),"")</f>
        <v/>
      </c>
      <c r="CC591" s="4"/>
      <c r="CD591" s="4" t="str">
        <f>IFERROR(IF(COUNTIF(AF583:AF592,"")=10,"",IF(AF591="","",IF(AF591&gt;=CMEMM1,1,0))),"")</f>
        <v/>
      </c>
      <c r="CE591" s="4" t="str">
        <f>B583&amp;"-0"&amp;9</f>
        <v>P59-09</v>
      </c>
      <c r="CF591" s="4" t="str">
        <f>IFERROR(INDEX('DESEMPATE Y DISCAPACIDAD'!$D$3:$D$450,MATCH(CE591,'DESEMPATE Y DISCAPACIDAD'!$C$3:$C$450,0)),"")</f>
        <v/>
      </c>
      <c r="CG591" s="4" t="str">
        <f>IF(OR(CE591="",CF591=""),"",SUMIF(D583:D592,CF591,CD583:CD592))</f>
        <v/>
      </c>
      <c r="CH591" s="4" t="str">
        <f t="shared" si="535"/>
        <v/>
      </c>
      <c r="CI591" s="4" t="str">
        <f t="shared" si="544"/>
        <v/>
      </c>
      <c r="CJ591" s="4"/>
      <c r="CK591" s="4"/>
      <c r="CL591" s="4" t="str">
        <f t="shared" si="536"/>
        <v/>
      </c>
      <c r="CM591" s="4" t="str">
        <f t="shared" si="537"/>
        <v/>
      </c>
      <c r="CN591" s="4" t="str">
        <f t="shared" si="545"/>
        <v/>
      </c>
      <c r="CO591" s="4"/>
      <c r="CP591" s="4"/>
      <c r="CQ591" s="29" t="str">
        <f t="shared" si="538"/>
        <v/>
      </c>
      <c r="CR591" s="29" t="str">
        <f t="shared" si="539"/>
        <v/>
      </c>
      <c r="CS591" s="4"/>
    </row>
    <row r="592" spans="1:97" ht="34.25" hidden="1" customHeight="1" thickBot="1">
      <c r="B592" s="482"/>
      <c r="C592" s="130"/>
      <c r="D592" s="131" t="str">
        <f>+IFERROR(INDEX('DESEMPATE Y DISCAPACIDAD'!$D$3:$D$450,MATCH(C592,'DESEMPATE Y DISCAPACIDAD'!$C$3:$C$450,0)),"")</f>
        <v/>
      </c>
      <c r="E592" s="132" t="str">
        <f>IFERROR(IF(D592="","",IF(VLOOKUP(D592,'DESEMPATE Y DISCAPACIDAD'!D$3:$E$450,2,FALSE)=1,"N/A",IF(VLOOKUP(D592,'DESEMPATE Y DISCAPACIDAD'!D$3:$F$450,3,FALSE)="X","SI","NO"))),"")</f>
        <v/>
      </c>
      <c r="F592" s="133"/>
      <c r="G592" s="133"/>
      <c r="H592" s="133"/>
      <c r="I592" s="134"/>
      <c r="J592" s="133"/>
      <c r="K592" s="133"/>
      <c r="L592" s="133"/>
      <c r="M592" s="133"/>
      <c r="N592" s="133" t="str">
        <f t="shared" si="540"/>
        <v/>
      </c>
      <c r="O592" s="133" t="str">
        <f t="shared" si="546"/>
        <v/>
      </c>
      <c r="P592" s="133" t="str">
        <f t="shared" si="541"/>
        <v/>
      </c>
      <c r="Q592" s="133" t="str">
        <f t="shared" si="531"/>
        <v/>
      </c>
      <c r="R592" s="104"/>
      <c r="S592" s="135"/>
      <c r="T592" s="135"/>
      <c r="U592" s="133" t="str">
        <f t="shared" si="542"/>
        <v/>
      </c>
      <c r="V592" s="136" t="str">
        <f>IF(U592=2023,1160000,IFERROR(INDEX(SMMLV!$B$2:$B$101,MATCH(U592,SMMLV!$A$2:$A$101,0)),""))</f>
        <v/>
      </c>
      <c r="W592" s="136"/>
      <c r="X592" s="133"/>
      <c r="Y592" s="133"/>
      <c r="Z592" s="487"/>
      <c r="AA592" s="488"/>
      <c r="AB592" s="489"/>
      <c r="AC592" s="133" t="str">
        <f t="shared" si="543"/>
        <v/>
      </c>
      <c r="AD592" s="136" t="str">
        <f t="shared" si="532"/>
        <v/>
      </c>
      <c r="AE592" s="117" t="str">
        <f t="shared" si="547"/>
        <v/>
      </c>
      <c r="AF592" s="136" t="str">
        <f t="shared" si="533"/>
        <v/>
      </c>
      <c r="AG592" s="471"/>
      <c r="AH592" s="471"/>
      <c r="AI592" s="133" t="str">
        <f t="shared" si="534"/>
        <v/>
      </c>
      <c r="AJ592" s="471"/>
      <c r="AK592" s="471"/>
      <c r="AL592" s="473"/>
      <c r="AM592" s="497"/>
      <c r="AN592" s="133"/>
      <c r="AO592" s="491"/>
      <c r="AP592" s="133"/>
      <c r="AQ592" s="491"/>
      <c r="AR592" s="523"/>
      <c r="AS592" s="523"/>
      <c r="AT592" s="139"/>
      <c r="AU592" s="703"/>
      <c r="AV592" s="703"/>
      <c r="AW592" s="709"/>
      <c r="AX592" s="709"/>
      <c r="AY592" s="19"/>
      <c r="CB592" s="29" t="str">
        <f>IFERROR(IF(COUNTIF(AF583:AF592,"")=10,"",IF(COUNTIF(E583:E592,"N/A")&gt;0,IF(AF592&gt;=CMEMM1,AF592,0),"N/A")),"")</f>
        <v/>
      </c>
      <c r="CC592" s="4"/>
      <c r="CD592" s="4" t="str">
        <f>IFERROR(IF(COUNTIF(AF583:AF592,"")=10,"",IF(AF592="","",IF(AF592&gt;=CMEMM1,1,0))),"")</f>
        <v/>
      </c>
      <c r="CE592" s="4" t="str">
        <f>B583&amp;"-"&amp;10</f>
        <v>P59-10</v>
      </c>
      <c r="CF592" s="4" t="str">
        <f>IFERROR(INDEX('DESEMPATE Y DISCAPACIDAD'!$D$3:$D$450,MATCH(CE592,'DESEMPATE Y DISCAPACIDAD'!$C$3:$C$450,0)),"")</f>
        <v/>
      </c>
      <c r="CG592" s="4" t="str">
        <f>IF(OR(CE592="",CF592=""),"",SUMIF(D583:D592,CF592,CD583:CD592))</f>
        <v/>
      </c>
      <c r="CH592" s="4" t="str">
        <f t="shared" si="535"/>
        <v/>
      </c>
      <c r="CI592" s="4" t="str">
        <f t="shared" si="544"/>
        <v/>
      </c>
      <c r="CJ592" s="4"/>
      <c r="CK592" s="4"/>
      <c r="CL592" s="4" t="str">
        <f t="shared" si="536"/>
        <v/>
      </c>
      <c r="CM592" s="4" t="str">
        <f t="shared" si="537"/>
        <v/>
      </c>
      <c r="CN592" s="4" t="str">
        <f t="shared" si="545"/>
        <v/>
      </c>
      <c r="CO592" s="4"/>
      <c r="CP592" s="4"/>
      <c r="CQ592" s="29" t="str">
        <f t="shared" si="538"/>
        <v/>
      </c>
      <c r="CR592" s="29" t="str">
        <f t="shared" si="539"/>
        <v/>
      </c>
      <c r="CS592" s="4"/>
    </row>
    <row r="593" spans="1:97" ht="34.25" hidden="1" customHeight="1">
      <c r="A593" s="4" t="str">
        <f>"A"&amp;B593</f>
        <v>AP60</v>
      </c>
      <c r="B593" s="480" t="s">
        <v>590</v>
      </c>
      <c r="C593" s="108"/>
      <c r="D593" s="119" t="str">
        <f>+IFERROR(INDEX('DESEMPATE Y DISCAPACIDAD'!$D$3:$D$450,MATCH(C593,'DESEMPATE Y DISCAPACIDAD'!$C$3:$C$450,0)),"")</f>
        <v/>
      </c>
      <c r="E593" s="120" t="str">
        <f>IFERROR(IF(D593="","",IF(VLOOKUP(D593,'DESEMPATE Y DISCAPACIDAD'!D$3:$E$450,2,FALSE)=1,"N/A",IF(VLOOKUP(D593,'DESEMPATE Y DISCAPACIDAD'!D$3:$F$450,3,FALSE)="X","SI","NO"))),"")</f>
        <v/>
      </c>
      <c r="F593" s="125"/>
      <c r="G593" s="125"/>
      <c r="H593" s="121"/>
      <c r="I593" s="122"/>
      <c r="J593" s="121"/>
      <c r="K593" s="121"/>
      <c r="L593" s="179"/>
      <c r="M593" s="121"/>
      <c r="N593" s="121" t="str">
        <f>IFERROR(IF(OR(J593="",K593=""),"",IF(J593="NO","NO",K593)),"")</f>
        <v/>
      </c>
      <c r="O593" s="121" t="str">
        <f>IFERROR(IF(OR(J593="",L593=""),"",IF(J593="NO","NO",L593)),"")</f>
        <v/>
      </c>
      <c r="P593" s="121" t="str">
        <f>IFERROR(IF(OR(J593="",M593=""),"",IF(J593="NO","NO",M593)),"")</f>
        <v/>
      </c>
      <c r="Q593" s="121" t="str">
        <f t="shared" si="531"/>
        <v/>
      </c>
      <c r="R593" s="103"/>
      <c r="S593" s="123"/>
      <c r="T593" s="123"/>
      <c r="U593" s="121" t="str">
        <f>IFERROR(IF(T593="","",YEAR(T593)),"")</f>
        <v/>
      </c>
      <c r="V593" s="124" t="str">
        <f>IF(U593=2023,1160000,IFERROR(INDEX(SMMLV!$B$2:$B$101,MATCH(U593,SMMLV!$A$2:$A$101,0)),""))</f>
        <v/>
      </c>
      <c r="W593" s="124"/>
      <c r="X593" s="121"/>
      <c r="Y593" s="121"/>
      <c r="Z593" s="483"/>
      <c r="AA593" s="484"/>
      <c r="AB593" s="485"/>
      <c r="AC593" s="121" t="str">
        <f>IFERROR(IF(Y593="","",IF(ISNUMBER(Y593),IF(COUNTIF(Z593,"SI")&gt;0,"SI","NO"),Y593)),"")</f>
        <v/>
      </c>
      <c r="AD593" s="124" t="str">
        <f t="shared" si="532"/>
        <v/>
      </c>
      <c r="AE593" s="117" t="str">
        <f t="shared" si="547"/>
        <v/>
      </c>
      <c r="AF593" s="124" t="str">
        <f t="shared" si="533"/>
        <v/>
      </c>
      <c r="AG593" s="486" t="str">
        <f>IFERROR(IF(COUNTIF(AF593:AF602,"")=10,"",IF(COUNTIF(E593:E602,"N/A")&gt;0,IF(SUM(CB593:CB602)&gt;=CMEM1,"CUMPLE","NO CUMPLE"),IF(SUM(AF593:AF602)&gt;=CMEM1,"CUMPLE","NO CUMPLE"))),"")</f>
        <v/>
      </c>
      <c r="AH593" s="486" t="str">
        <f>IF(COUNTIF(AF593:AF602,"")=10,"",IF(SUMIF(C593:C602,C593,AF593:AF602)&gt;=CMLM1,"CUMPLE",IF(SUMIF(C593:C602,C594,AF593:AF602)&gt;=CMLM1,"CUMPLE",IF(SUMIF(C593:C602,C595,AF593:AF602)&gt;=CMLM1,"CUMPLE",IF(SUMIF(C593:C602,C596,AF593:AF602)&gt;=CMLM1,"CUMPLE",IF(SUMIF(C593:C602,C597,AF593:AF602)&gt;=CMLM1,"CUMPLE",IF(SUMIF(C593:C602,C598,AF593:AF602)&gt;=CMLM1,"CUMPLE",IF(SUMIF(C593:C602,C599,AF593:AF602)&gt;=CMLM1,"CUMPLE",IF(SUMIF(C593:C602,C600,AF593:AF602)&gt;=CMLM1,"CUMPLE",IF(SUMIF(C593:C602,C601,AF593:AF602)&gt;=CMLM1,"CUMPLE",IF(SUMIF(C593:C602,C602,AF593:AF602)&gt;=CMLM1,"CUMPLE","NO CUMPLE")))))))))))</f>
        <v/>
      </c>
      <c r="AI593" s="121" t="str">
        <f t="shared" si="534"/>
        <v/>
      </c>
      <c r="AJ593" s="469" t="str">
        <f>IFERROR(IF(COUNTIF(AF593:AF602,"")=10,"",IF(COUNTIF(E593:E602,"N/A")&gt;0,"N/A",CJ593)),"")</f>
        <v/>
      </c>
      <c r="AK593" s="469" t="str">
        <f>IFERROR(IF(AND(COUNTIF(N593:N602,"SI")&gt;=1,COUNTIF(O593:O602,"SI")&gt;=1,COUNTIF(P593:P602,"SI")&gt;=1,COUNTIF(J593:J602,"SI")&lt;=10,CO593="CUMPLE"),"CUMPLE","NO CUMPLE"),"")</f>
        <v>NO CUMPLE</v>
      </c>
      <c r="AL593" s="472"/>
      <c r="AM593" s="495">
        <f>IFERROR(IF(B593&lt;&gt;"",IF(VLOOKUP(B593,'DESEMPATE Y DISCAPACIDAD'!$A$3:$Q$450,10,FALSE)="","",VLOOKUP(B593,'DESEMPATE Y DISCAPACIDAD'!$A$3:$Q$450,10,FALSE)+6),""),"")</f>
        <v>6</v>
      </c>
      <c r="AN593" s="121"/>
      <c r="AO593" s="490"/>
      <c r="AP593" s="121"/>
      <c r="AQ593" s="490" t="str">
        <f>IFERROR(IF(COUNTIF(AP593:AP602,"")=10,"",IF(AO593="NO",0,COUNTIF(AP593:AP602,"SI"))),"")</f>
        <v/>
      </c>
      <c r="AR593" s="521" t="str">
        <f>IFERROR(IF(COUNTIF(AF593:AF602,"")=10,"",IF(AO593="NO",0,IF(COUNTIF(E593:E602,"N/A")&gt;0,SUM(CQ593:CQ602),SUM(CR593:CR602)))),"")</f>
        <v/>
      </c>
      <c r="AS593" s="521" t="str">
        <f>IFERROR(IF(OR(COUNTIF(AF593:AF602,"")=10,AQ593="",AR593=""),"",IF(AO593="NO",0,AR593/AQ593)),"")</f>
        <v/>
      </c>
      <c r="AT593" s="137"/>
      <c r="AU593" s="701"/>
      <c r="AV593" s="701"/>
      <c r="AW593" s="707"/>
      <c r="AX593" s="707"/>
      <c r="AY593" s="19"/>
      <c r="CB593" s="29" t="str">
        <f>IFERROR(IF(COUNTIF(AF593:AF602,"")=10,"",IF(COUNTIF(E593:E602,"N/A")&gt;0,IF(AF593&gt;=CMEMM1,AF593,0),"N/A")),"")</f>
        <v/>
      </c>
      <c r="CC593" s="4"/>
      <c r="CD593" s="4" t="str">
        <f>IFERROR(IF(COUNTIF(AF593:AF602,"")=10,"",IF(AF593="","",IF(AF593&gt;=CMEMM1,1,0))),"")</f>
        <v/>
      </c>
      <c r="CE593" s="4" t="str">
        <f>B593&amp;"-0"&amp;1</f>
        <v>P60-01</v>
      </c>
      <c r="CF593" s="4">
        <f>IFERROR(INDEX('DESEMPATE Y DISCAPACIDAD'!$D$3:$D$450,MATCH(CE593,'DESEMPATE Y DISCAPACIDAD'!$C$3:$C$450,0)),"")</f>
        <v>0</v>
      </c>
      <c r="CG593" s="4">
        <f>IF(OR(CE593="",CF593=""),"",SUMIF(D593:D602,CF593,CD593:CD602))</f>
        <v>0</v>
      </c>
      <c r="CH593" s="4" t="str">
        <f t="shared" si="535"/>
        <v>NO CUMPLE</v>
      </c>
      <c r="CI593" s="4">
        <f>IF(CF593="","",IF(ISTEXT(CF593),1,0))</f>
        <v>0</v>
      </c>
      <c r="CJ593" s="4" t="str">
        <f>IF(OR(CE593="",CF593="",CG593="",CH593="",CI593=""),"",IF(COUNTIF(CH593:CH602,"CUMPLE")=COUNTIF(CI593:CI602,1),"CUMPLE","NO CUMPLE"))</f>
        <v>CUMPLE</v>
      </c>
      <c r="CK593" s="4"/>
      <c r="CL593" s="4" t="str">
        <f t="shared" si="536"/>
        <v/>
      </c>
      <c r="CM593" s="4" t="str">
        <f t="shared" si="537"/>
        <v/>
      </c>
      <c r="CN593" s="4" t="str">
        <f>IF(OR(CL593="",CM593=""),"",IF(AND(CL593=0,CM593=0),"N/A",IF(AND(CL593=1,CM593=0),"COND. A",IF(AND(CL593=0,CM593=1),"COND. B",IF(AND(CL593=1,CM593=1),"COND. A Y B","")))))</f>
        <v/>
      </c>
      <c r="CO593" s="4" t="str">
        <f>IF(COUNTIF(CN593:CN602,"N/A")=10,"NO CUMPLE",IF(COUNTIF(CN593:CN602,"COND. A Y B")&gt;1,"CUMPLE",IF(AND(COUNTIF(CN593:CN602,"COND. A")&gt;0,COUNTIF(CN593:CN602,"COND. B")&gt;0),"CUMPLE",IF(AND(COUNTIF(CN593:CN602,"COND. A Y B")&gt;0,COUNTIF(CN593:CN602,"COND. A")&gt;0),"CUMPLE",IF(AND(COUNTIF(CN593:CN602,"COND. A Y B")&gt;0,COUNTIF(CN593:CN602,"COND. B")&gt;0),"CUMPLE","NO CUMPLE")))))</f>
        <v>NO CUMPLE</v>
      </c>
      <c r="CP593" s="4"/>
      <c r="CQ593" s="29" t="str">
        <f t="shared" si="538"/>
        <v/>
      </c>
      <c r="CR593" s="29" t="str">
        <f t="shared" si="539"/>
        <v/>
      </c>
      <c r="CS593" s="4"/>
    </row>
    <row r="594" spans="1:97" ht="34.25" hidden="1" customHeight="1">
      <c r="B594" s="481"/>
      <c r="C594" s="118"/>
      <c r="D594" s="119" t="str">
        <f>+IFERROR(INDEX('DESEMPATE Y DISCAPACIDAD'!$D$3:$D$450,MATCH(C594,'DESEMPATE Y DISCAPACIDAD'!$C$3:$C$450,0)),"")</f>
        <v/>
      </c>
      <c r="E594" s="120" t="str">
        <f>IFERROR(IF(D594="","",IF(VLOOKUP(D594,'DESEMPATE Y DISCAPACIDAD'!D$3:$E$450,2,FALSE)=1,"N/A",IF(VLOOKUP(D594,'DESEMPATE Y DISCAPACIDAD'!D$3:$F$450,3,FALSE)="X","SI","NO"))),"")</f>
        <v/>
      </c>
      <c r="F594" s="125"/>
      <c r="G594" s="125"/>
      <c r="H594" s="121"/>
      <c r="I594" s="122"/>
      <c r="J594" s="121"/>
      <c r="K594" s="121"/>
      <c r="L594" s="179"/>
      <c r="M594" s="121"/>
      <c r="N594" s="121" t="str">
        <f t="shared" ref="N594:N602" si="548">IFERROR(IF(OR(J594="",K594=""),"",IF(J594="NO","NO",K594)),"")</f>
        <v/>
      </c>
      <c r="O594" s="121" t="str">
        <f>IFERROR(IF(OR(J594="",L594=""),"",IF(J594="NO","NO",L594)),"")</f>
        <v/>
      </c>
      <c r="P594" s="121" t="str">
        <f t="shared" ref="P594:P602" si="549">IFERROR(IF(OR(J594="",M594=""),"",IF(J594="NO","NO",M594)),"")</f>
        <v/>
      </c>
      <c r="Q594" s="121" t="str">
        <f t="shared" si="531"/>
        <v/>
      </c>
      <c r="R594" s="103"/>
      <c r="S594" s="123"/>
      <c r="T594" s="123"/>
      <c r="U594" s="121" t="str">
        <f t="shared" ref="U594:U602" si="550">IFERROR(IF(T594="","",YEAR(T594)),"")</f>
        <v/>
      </c>
      <c r="V594" s="124" t="str">
        <f>IF(U594=2023,1160000,IFERROR(INDEX(SMMLV!$B$2:$B$101,MATCH(U594,SMMLV!$A$2:$A$101,0)),""))</f>
        <v/>
      </c>
      <c r="W594" s="124"/>
      <c r="X594" s="125"/>
      <c r="Y594" s="125"/>
      <c r="Z594" s="474"/>
      <c r="AA594" s="475"/>
      <c r="AB594" s="476"/>
      <c r="AC594" s="125" t="str">
        <f t="shared" ref="AC594:AC602" si="551">IFERROR(IF(Y594="","",IF(ISNUMBER(Y594),IF(COUNTIF(Z594,"SI")&gt;0,"SI","NO"),Y594)),"")</f>
        <v/>
      </c>
      <c r="AD594" s="117" t="str">
        <f t="shared" si="532"/>
        <v/>
      </c>
      <c r="AE594" s="117" t="str">
        <f t="shared" si="547"/>
        <v/>
      </c>
      <c r="AF594" s="117" t="str">
        <f t="shared" si="533"/>
        <v/>
      </c>
      <c r="AG594" s="470"/>
      <c r="AH594" s="470"/>
      <c r="AI594" s="125" t="str">
        <f t="shared" si="534"/>
        <v/>
      </c>
      <c r="AJ594" s="470"/>
      <c r="AK594" s="470"/>
      <c r="AL594" s="472"/>
      <c r="AM594" s="496"/>
      <c r="AN594" s="125"/>
      <c r="AO594" s="490"/>
      <c r="AP594" s="125"/>
      <c r="AQ594" s="490"/>
      <c r="AR594" s="522"/>
      <c r="AS594" s="522"/>
      <c r="AT594" s="138"/>
      <c r="AU594" s="702"/>
      <c r="AV594" s="702"/>
      <c r="AW594" s="708"/>
      <c r="AX594" s="708"/>
      <c r="AY594" s="19"/>
      <c r="CB594" s="29" t="str">
        <f>IFERROR(IF(COUNTIF(AF593:AF602,"")=10,"",IF(COUNTIF(E593:E602,"N/A")&gt;0,IF(AF594&gt;=CMEMM1,AF594,0),"N/A")),"")</f>
        <v/>
      </c>
      <c r="CC594" s="4"/>
      <c r="CD594" s="4" t="str">
        <f>IFERROR(IF(COUNTIF(AF593:AF602,"")=10,"",IF(AF594="","",IF(AF594&gt;=CMEMM1,1,0))),"")</f>
        <v/>
      </c>
      <c r="CE594" s="4" t="str">
        <f>B593&amp;"-0"&amp;2</f>
        <v>P60-02</v>
      </c>
      <c r="CF594" s="4">
        <f>IFERROR(INDEX('DESEMPATE Y DISCAPACIDAD'!$D$3:$D$450,MATCH(CE594,'DESEMPATE Y DISCAPACIDAD'!$C$3:$C$450,0)),"")</f>
        <v>0</v>
      </c>
      <c r="CG594" s="4">
        <f>IF(OR(CE594="",CF594=""),"",SUMIF(D593:D602,CF594,CD593:CD602))</f>
        <v>0</v>
      </c>
      <c r="CH594" s="4" t="str">
        <f t="shared" si="535"/>
        <v>NO CUMPLE</v>
      </c>
      <c r="CI594" s="4">
        <f t="shared" ref="CI594:CI602" si="552">IF(CF594="","",IF(ISTEXT(CF594),1,0))</f>
        <v>0</v>
      </c>
      <c r="CJ594" s="4"/>
      <c r="CK594" s="4"/>
      <c r="CL594" s="4" t="str">
        <f t="shared" si="536"/>
        <v/>
      </c>
      <c r="CM594" s="4" t="str">
        <f t="shared" si="537"/>
        <v/>
      </c>
      <c r="CN594" s="4" t="str">
        <f t="shared" ref="CN594:CN602" si="553">IF(OR(CL594="",CM594=""),"",IF(AND(CL594=0,CM594=0),"N/A",IF(AND(CL594=1,CM594=0),"COND. A",IF(AND(CL594=0,CM594=1),"COND. B",IF(AND(CL594=1,CM594=1),"COND. A Y B","")))))</f>
        <v/>
      </c>
      <c r="CO594" s="4"/>
      <c r="CP594" s="4"/>
      <c r="CQ594" s="29" t="str">
        <f t="shared" si="538"/>
        <v/>
      </c>
      <c r="CR594" s="29" t="str">
        <f t="shared" si="539"/>
        <v/>
      </c>
      <c r="CS594" s="4"/>
    </row>
    <row r="595" spans="1:97" ht="34.25" hidden="1" customHeight="1">
      <c r="B595" s="481"/>
      <c r="C595" s="118"/>
      <c r="D595" s="126" t="str">
        <f>+IFERROR(INDEX('DESEMPATE Y DISCAPACIDAD'!$D$3:$D$450,MATCH(C595,'DESEMPATE Y DISCAPACIDAD'!$C$3:$C$450,0)),"")</f>
        <v/>
      </c>
      <c r="E595" s="127" t="str">
        <f>IFERROR(IF(D595="","",IF(VLOOKUP(D595,'DESEMPATE Y DISCAPACIDAD'!D$3:$E$450,2,FALSE)=1,"N/A",IF(VLOOKUP(D595,'DESEMPATE Y DISCAPACIDAD'!D$3:$F$450,3,FALSE)="X","SI","NO"))),"")</f>
        <v/>
      </c>
      <c r="F595" s="121"/>
      <c r="G595" s="121"/>
      <c r="H595" s="125"/>
      <c r="I595" s="128"/>
      <c r="J595" s="125"/>
      <c r="K595" s="125"/>
      <c r="L595" s="3"/>
      <c r="M595" s="3"/>
      <c r="N595" s="125" t="str">
        <f t="shared" si="548"/>
        <v/>
      </c>
      <c r="O595" s="125" t="str">
        <f>IFERROR(IF(OR(J595="",L595=""),"",IF(J595="NO","NO",L595)),"")</f>
        <v/>
      </c>
      <c r="P595" s="125" t="str">
        <f t="shared" si="549"/>
        <v/>
      </c>
      <c r="Q595" s="125" t="str">
        <f t="shared" si="531"/>
        <v/>
      </c>
      <c r="R595" s="68"/>
      <c r="S595" s="129"/>
      <c r="T595" s="129"/>
      <c r="U595" s="125" t="str">
        <f t="shared" si="550"/>
        <v/>
      </c>
      <c r="V595" s="117" t="str">
        <f>IF(U595=2023,1160000,IFERROR(INDEX(SMMLV!$B$2:$B$101,MATCH(U595,SMMLV!$A$2:$A$101,0)),""))</f>
        <v/>
      </c>
      <c r="W595" s="117"/>
      <c r="X595" s="125"/>
      <c r="Y595" s="125"/>
      <c r="Z595" s="474"/>
      <c r="AA595" s="475"/>
      <c r="AB595" s="476"/>
      <c r="AC595" s="125" t="str">
        <f t="shared" si="551"/>
        <v/>
      </c>
      <c r="AD595" s="117" t="str">
        <f t="shared" si="532"/>
        <v/>
      </c>
      <c r="AE595" s="117" t="str">
        <f t="shared" si="547"/>
        <v/>
      </c>
      <c r="AF595" s="117" t="str">
        <f t="shared" si="533"/>
        <v/>
      </c>
      <c r="AG595" s="470"/>
      <c r="AH595" s="470"/>
      <c r="AI595" s="125" t="str">
        <f t="shared" si="534"/>
        <v/>
      </c>
      <c r="AJ595" s="470"/>
      <c r="AK595" s="470"/>
      <c r="AL595" s="472"/>
      <c r="AM595" s="496"/>
      <c r="AN595" s="125"/>
      <c r="AO595" s="490"/>
      <c r="AP595" s="125"/>
      <c r="AQ595" s="490"/>
      <c r="AR595" s="522"/>
      <c r="AS595" s="522"/>
      <c r="AT595" s="138"/>
      <c r="AU595" s="702"/>
      <c r="AV595" s="702"/>
      <c r="AW595" s="708"/>
      <c r="AX595" s="708"/>
      <c r="AY595" s="19"/>
      <c r="CB595" s="29" t="str">
        <f>IFERROR(IF(COUNTIF(AF593:AF602,"")=10,"",IF(COUNTIF(E593:E602,"N/A")&gt;0,IF(AF595&gt;=CMEMM1,AF595,0),"N/A")),"")</f>
        <v/>
      </c>
      <c r="CC595" s="4"/>
      <c r="CD595" s="4" t="str">
        <f>IFERROR(IF(COUNTIF(AF593:AF602,"")=10,"",IF(AF595="","",IF(AF595&gt;=CMEMM1,1,0))),"")</f>
        <v/>
      </c>
      <c r="CE595" s="4" t="str">
        <f>B593&amp;"-0"&amp;3</f>
        <v>P60-03</v>
      </c>
      <c r="CF595" s="4">
        <f>IFERROR(INDEX('DESEMPATE Y DISCAPACIDAD'!$D$3:$D$450,MATCH(CE595,'DESEMPATE Y DISCAPACIDAD'!$C$3:$C$450,0)),"")</f>
        <v>0</v>
      </c>
      <c r="CG595" s="4">
        <f>IF(OR(CE595="",CF595=""),"",SUMIF(D593:D602,CF595,CD593:CD602))</f>
        <v>0</v>
      </c>
      <c r="CH595" s="4" t="str">
        <f t="shared" si="535"/>
        <v>NO CUMPLE</v>
      </c>
      <c r="CI595" s="4">
        <f t="shared" si="552"/>
        <v>0</v>
      </c>
      <c r="CJ595" s="4"/>
      <c r="CK595" s="4"/>
      <c r="CL595" s="4" t="str">
        <f t="shared" si="536"/>
        <v/>
      </c>
      <c r="CM595" s="4" t="str">
        <f t="shared" si="537"/>
        <v/>
      </c>
      <c r="CN595" s="4" t="str">
        <f t="shared" si="553"/>
        <v/>
      </c>
      <c r="CO595" s="4"/>
      <c r="CP595" s="4"/>
      <c r="CQ595" s="29" t="str">
        <f t="shared" si="538"/>
        <v/>
      </c>
      <c r="CR595" s="29" t="str">
        <f t="shared" si="539"/>
        <v/>
      </c>
      <c r="CS595" s="4"/>
    </row>
    <row r="596" spans="1:97" ht="34.25" hidden="1" customHeight="1">
      <c r="B596" s="481"/>
      <c r="C596" s="118"/>
      <c r="D596" s="126" t="str">
        <f>+IFERROR(INDEX('DESEMPATE Y DISCAPACIDAD'!$D$3:$D$450,MATCH(C596,'DESEMPATE Y DISCAPACIDAD'!$C$3:$C$450,0)),"")</f>
        <v/>
      </c>
      <c r="E596" s="127" t="str">
        <f>IFERROR(IF(D596="","",IF(VLOOKUP(D596,'DESEMPATE Y DISCAPACIDAD'!D$3:$E$450,2,FALSE)=1,"N/A",IF(VLOOKUP(D596,'DESEMPATE Y DISCAPACIDAD'!D$3:$F$450,3,FALSE)="X","SI","NO"))),"")</f>
        <v/>
      </c>
      <c r="F596" s="141"/>
      <c r="G596" s="125"/>
      <c r="H596" s="125"/>
      <c r="I596" s="128"/>
      <c r="J596" s="125"/>
      <c r="K596" s="125"/>
      <c r="L596" s="3"/>
      <c r="M596" s="125"/>
      <c r="N596" s="125" t="str">
        <f t="shared" si="548"/>
        <v/>
      </c>
      <c r="O596" s="125" t="str">
        <f>IFERROR(IF(OR(J596="",L596=""),"",IF(J596="NO","NO",L596)),"")</f>
        <v/>
      </c>
      <c r="P596" s="125" t="str">
        <f t="shared" si="549"/>
        <v/>
      </c>
      <c r="Q596" s="125" t="str">
        <f t="shared" si="531"/>
        <v/>
      </c>
      <c r="R596" s="68"/>
      <c r="S596" s="129"/>
      <c r="T596" s="129"/>
      <c r="U596" s="125" t="str">
        <f t="shared" si="550"/>
        <v/>
      </c>
      <c r="V596" s="117" t="str">
        <f>IF(U596=2023,1160000,IFERROR(INDEX(SMMLV!$B$2:$B$101,MATCH(U596,SMMLV!$A$2:$A$101,0)),""))</f>
        <v/>
      </c>
      <c r="W596" s="117"/>
      <c r="X596" s="125"/>
      <c r="Y596" s="125"/>
      <c r="Z596" s="474"/>
      <c r="AA596" s="475"/>
      <c r="AB596" s="476"/>
      <c r="AC596" s="125" t="str">
        <f t="shared" si="551"/>
        <v/>
      </c>
      <c r="AD596" s="117" t="str">
        <f t="shared" si="532"/>
        <v/>
      </c>
      <c r="AE596" s="117" t="str">
        <f t="shared" si="547"/>
        <v/>
      </c>
      <c r="AF596" s="117" t="str">
        <f t="shared" si="533"/>
        <v/>
      </c>
      <c r="AG596" s="470"/>
      <c r="AH596" s="470"/>
      <c r="AI596" s="125" t="str">
        <f t="shared" si="534"/>
        <v/>
      </c>
      <c r="AJ596" s="470"/>
      <c r="AK596" s="470"/>
      <c r="AL596" s="472"/>
      <c r="AM596" s="496"/>
      <c r="AN596" s="125"/>
      <c r="AO596" s="490"/>
      <c r="AP596" s="125"/>
      <c r="AQ596" s="490"/>
      <c r="AR596" s="522"/>
      <c r="AS596" s="522"/>
      <c r="AT596" s="138"/>
      <c r="AU596" s="702"/>
      <c r="AV596" s="702"/>
      <c r="AW596" s="708"/>
      <c r="AX596" s="708"/>
      <c r="AY596" s="19"/>
      <c r="CB596" s="29" t="str">
        <f>IFERROR(IF(COUNTIF(AF593:AF602,"")=10,"",IF(COUNTIF(E593:E602,"N/A")&gt;0,IF(AF596&gt;=CMEMM1,AF596,0),"N/A")),"")</f>
        <v/>
      </c>
      <c r="CC596" s="4"/>
      <c r="CD596" s="4" t="str">
        <f>IFERROR(IF(COUNTIF(AF593:AF602,"")=10,"",IF(AF596="","",IF(AF596&gt;=CMEMM1,1,0))),"")</f>
        <v/>
      </c>
      <c r="CE596" s="4" t="str">
        <f>B593&amp;"-0"&amp;4</f>
        <v>P60-04</v>
      </c>
      <c r="CF596" s="4">
        <f>IFERROR(INDEX('DESEMPATE Y DISCAPACIDAD'!$D$3:$D$450,MATCH(CE596,'DESEMPATE Y DISCAPACIDAD'!$C$3:$C$450,0)),"")</f>
        <v>0</v>
      </c>
      <c r="CG596" s="4">
        <f>IF(OR(CE596="",CF596=""),"",SUMIF(D593:D602,CF596,CD593:CD602))</f>
        <v>0</v>
      </c>
      <c r="CH596" s="4" t="str">
        <f t="shared" si="535"/>
        <v>NO CUMPLE</v>
      </c>
      <c r="CI596" s="4">
        <f t="shared" si="552"/>
        <v>0</v>
      </c>
      <c r="CJ596" s="4"/>
      <c r="CK596" s="4"/>
      <c r="CL596" s="4" t="str">
        <f t="shared" si="536"/>
        <v/>
      </c>
      <c r="CM596" s="4" t="str">
        <f t="shared" si="537"/>
        <v/>
      </c>
      <c r="CN596" s="4" t="str">
        <f t="shared" si="553"/>
        <v/>
      </c>
      <c r="CO596" s="4"/>
      <c r="CP596" s="4"/>
      <c r="CQ596" s="29" t="str">
        <f t="shared" si="538"/>
        <v/>
      </c>
      <c r="CR596" s="29" t="str">
        <f t="shared" si="539"/>
        <v/>
      </c>
      <c r="CS596" s="4"/>
    </row>
    <row r="597" spans="1:97" ht="34.25" hidden="1" customHeight="1">
      <c r="B597" s="481"/>
      <c r="C597" s="118"/>
      <c r="D597" s="126" t="str">
        <f>+IFERROR(INDEX('DESEMPATE Y DISCAPACIDAD'!$D$3:$D$450,MATCH(C597,'DESEMPATE Y DISCAPACIDAD'!$C$3:$C$450,0)),"")</f>
        <v/>
      </c>
      <c r="E597" s="127" t="str">
        <f>IFERROR(IF(D597="","",IF(VLOOKUP(D597,'DESEMPATE Y DISCAPACIDAD'!D$3:$E$450,2,FALSE)=1,"N/A",IF(VLOOKUP(D597,'DESEMPATE Y DISCAPACIDAD'!D$3:$F$450,3,FALSE)="X","SI","NO"))),"")</f>
        <v/>
      </c>
      <c r="F597" s="125"/>
      <c r="G597" s="125"/>
      <c r="H597" s="125"/>
      <c r="I597" s="128"/>
      <c r="J597" s="125"/>
      <c r="K597" s="125"/>
      <c r="L597" s="125"/>
      <c r="M597" s="125"/>
      <c r="N597" s="125" t="str">
        <f t="shared" si="548"/>
        <v/>
      </c>
      <c r="O597" s="125" t="str">
        <f t="shared" ref="O597:O602" si="554">IFERROR(IF(OR(J597="",L597=""),"",IF(J597="NO","NO",L597)),"")</f>
        <v/>
      </c>
      <c r="P597" s="125" t="str">
        <f t="shared" si="549"/>
        <v/>
      </c>
      <c r="Q597" s="125" t="str">
        <f t="shared" si="531"/>
        <v/>
      </c>
      <c r="R597" s="68"/>
      <c r="S597" s="129"/>
      <c r="T597" s="129"/>
      <c r="U597" s="125" t="str">
        <f t="shared" si="550"/>
        <v/>
      </c>
      <c r="V597" s="117" t="str">
        <f>IF(U597=2023,1160000,IFERROR(INDEX(SMMLV!$B$2:$B$101,MATCH(U597,SMMLV!$A$2:$A$101,0)),""))</f>
        <v/>
      </c>
      <c r="W597" s="117"/>
      <c r="X597" s="125"/>
      <c r="Y597" s="125"/>
      <c r="Z597" s="474"/>
      <c r="AA597" s="475"/>
      <c r="AB597" s="476"/>
      <c r="AC597" s="125" t="str">
        <f t="shared" si="551"/>
        <v/>
      </c>
      <c r="AD597" s="117" t="str">
        <f t="shared" si="532"/>
        <v/>
      </c>
      <c r="AE597" s="117" t="str">
        <f t="shared" si="547"/>
        <v/>
      </c>
      <c r="AF597" s="117" t="str">
        <f t="shared" si="533"/>
        <v/>
      </c>
      <c r="AG597" s="470"/>
      <c r="AH597" s="470"/>
      <c r="AI597" s="125" t="str">
        <f t="shared" si="534"/>
        <v/>
      </c>
      <c r="AJ597" s="470"/>
      <c r="AK597" s="470"/>
      <c r="AL597" s="472"/>
      <c r="AM597" s="496"/>
      <c r="AN597" s="125"/>
      <c r="AO597" s="490"/>
      <c r="AP597" s="125"/>
      <c r="AQ597" s="490"/>
      <c r="AR597" s="522"/>
      <c r="AS597" s="522"/>
      <c r="AT597" s="138"/>
      <c r="AU597" s="702"/>
      <c r="AV597" s="702"/>
      <c r="AW597" s="708"/>
      <c r="AX597" s="708"/>
      <c r="AY597" s="19"/>
      <c r="CB597" s="29" t="str">
        <f>IFERROR(IF(COUNTIF(AF593:AF602,"")=10,"",IF(COUNTIF(E593:E602,"N/A")&gt;0,IF(AF597&gt;=CMEMM1,AF597,0),"N/A")),"")</f>
        <v/>
      </c>
      <c r="CC597" s="4"/>
      <c r="CD597" s="4" t="str">
        <f>IFERROR(IF(COUNTIF(AF593:AF602,"")=10,"",IF(AF597="","",IF(AF597&gt;=CMEMM1,1,0))),"")</f>
        <v/>
      </c>
      <c r="CE597" s="4" t="str">
        <f>B593&amp;"-0"&amp;5</f>
        <v>P60-05</v>
      </c>
      <c r="CF597" s="4">
        <f>IFERROR(INDEX('DESEMPATE Y DISCAPACIDAD'!$D$3:$D$450,MATCH(CE597,'DESEMPATE Y DISCAPACIDAD'!$C$3:$C$450,0)),"")</f>
        <v>0</v>
      </c>
      <c r="CG597" s="4">
        <f>IF(OR(CE597="",CF597=""),"",SUMIF(D593:D602,CF597,CD593:CD602))</f>
        <v>0</v>
      </c>
      <c r="CH597" s="4" t="str">
        <f t="shared" si="535"/>
        <v>NO CUMPLE</v>
      </c>
      <c r="CI597" s="4">
        <f t="shared" si="552"/>
        <v>0</v>
      </c>
      <c r="CJ597" s="4"/>
      <c r="CK597" s="4"/>
      <c r="CL597" s="4" t="str">
        <f t="shared" si="536"/>
        <v/>
      </c>
      <c r="CM597" s="4" t="str">
        <f t="shared" si="537"/>
        <v/>
      </c>
      <c r="CN597" s="4" t="str">
        <f t="shared" si="553"/>
        <v/>
      </c>
      <c r="CO597" s="4"/>
      <c r="CP597" s="4"/>
      <c r="CQ597" s="29" t="str">
        <f t="shared" si="538"/>
        <v/>
      </c>
      <c r="CR597" s="29" t="str">
        <f t="shared" si="539"/>
        <v/>
      </c>
      <c r="CS597" s="4"/>
    </row>
    <row r="598" spans="1:97" ht="34.25" hidden="1" customHeight="1">
      <c r="B598" s="481"/>
      <c r="C598" s="118"/>
      <c r="D598" s="126" t="str">
        <f>+IFERROR(INDEX('DESEMPATE Y DISCAPACIDAD'!$D$3:$D$450,MATCH(C598,'DESEMPATE Y DISCAPACIDAD'!$C$3:$C$450,0)),"")</f>
        <v/>
      </c>
      <c r="E598" s="127" t="str">
        <f>IFERROR(IF(D598="","",IF(VLOOKUP(D598,'DESEMPATE Y DISCAPACIDAD'!D$3:$E$450,2,FALSE)=1,"N/A",IF(VLOOKUP(D598,'DESEMPATE Y DISCAPACIDAD'!D$3:$F$450,3,FALSE)="X","SI","NO"))),"")</f>
        <v/>
      </c>
      <c r="F598" s="125"/>
      <c r="G598" s="125"/>
      <c r="H598" s="125"/>
      <c r="I598" s="128"/>
      <c r="J598" s="125"/>
      <c r="K598" s="125"/>
      <c r="L598" s="125"/>
      <c r="M598" s="125"/>
      <c r="N598" s="125" t="str">
        <f t="shared" si="548"/>
        <v/>
      </c>
      <c r="O598" s="125" t="str">
        <f t="shared" si="554"/>
        <v/>
      </c>
      <c r="P598" s="125" t="str">
        <f t="shared" si="549"/>
        <v/>
      </c>
      <c r="Q598" s="125" t="str">
        <f t="shared" si="531"/>
        <v/>
      </c>
      <c r="R598" s="68"/>
      <c r="S598" s="129"/>
      <c r="T598" s="129"/>
      <c r="U598" s="125" t="str">
        <f t="shared" si="550"/>
        <v/>
      </c>
      <c r="V598" s="117" t="str">
        <f>IF(U598=2023,1160000,IFERROR(INDEX(SMMLV!$B$2:$B$101,MATCH(U598,SMMLV!$A$2:$A$101,0)),""))</f>
        <v/>
      </c>
      <c r="W598" s="117"/>
      <c r="X598" s="125"/>
      <c r="Y598" s="125"/>
      <c r="Z598" s="474"/>
      <c r="AA598" s="475"/>
      <c r="AB598" s="476"/>
      <c r="AC598" s="125" t="str">
        <f t="shared" si="551"/>
        <v/>
      </c>
      <c r="AD598" s="117" t="str">
        <f t="shared" si="532"/>
        <v/>
      </c>
      <c r="AE598" s="117" t="str">
        <f t="shared" si="547"/>
        <v/>
      </c>
      <c r="AF598" s="117" t="str">
        <f t="shared" si="533"/>
        <v/>
      </c>
      <c r="AG598" s="470"/>
      <c r="AH598" s="470"/>
      <c r="AI598" s="125" t="str">
        <f t="shared" si="534"/>
        <v/>
      </c>
      <c r="AJ598" s="470"/>
      <c r="AK598" s="470"/>
      <c r="AL598" s="472"/>
      <c r="AM598" s="496"/>
      <c r="AN598" s="125"/>
      <c r="AO598" s="490"/>
      <c r="AP598" s="125"/>
      <c r="AQ598" s="490"/>
      <c r="AR598" s="522"/>
      <c r="AS598" s="522"/>
      <c r="AT598" s="138"/>
      <c r="AU598" s="702"/>
      <c r="AV598" s="702"/>
      <c r="AW598" s="708"/>
      <c r="AX598" s="708"/>
      <c r="AY598" s="19"/>
      <c r="CB598" s="29" t="str">
        <f>IFERROR(IF(COUNTIF(AF593:AF602,"")=10,"",IF(COUNTIF(E593:E602,"N/A")&gt;0,IF(AF598&gt;=CMEMM1,AF598,0),"N/A")),"")</f>
        <v/>
      </c>
      <c r="CC598" s="4"/>
      <c r="CD598" s="4" t="str">
        <f>IFERROR(IF(COUNTIF(AF593:AF602,"")=10,"",IF(AF598="","",IF(AF598&gt;=CMEMM1,1,0))),"")</f>
        <v/>
      </c>
      <c r="CE598" s="4" t="str">
        <f>B593&amp;"-0"&amp;6</f>
        <v>P60-06</v>
      </c>
      <c r="CF598" s="4">
        <f>IFERROR(INDEX('DESEMPATE Y DISCAPACIDAD'!$D$3:$D$450,MATCH(CE598,'DESEMPATE Y DISCAPACIDAD'!$C$3:$C$450,0)),"")</f>
        <v>0</v>
      </c>
      <c r="CG598" s="4">
        <f>IF(OR(CE598="",CF598=""),"",SUMIF(D593:D602,CF598,CD593:CD602))</f>
        <v>0</v>
      </c>
      <c r="CH598" s="4" t="str">
        <f t="shared" si="535"/>
        <v>NO CUMPLE</v>
      </c>
      <c r="CI598" s="4">
        <f t="shared" si="552"/>
        <v>0</v>
      </c>
      <c r="CJ598" s="4"/>
      <c r="CK598" s="4"/>
      <c r="CL598" s="4" t="str">
        <f t="shared" si="536"/>
        <v/>
      </c>
      <c r="CM598" s="4" t="str">
        <f t="shared" si="537"/>
        <v/>
      </c>
      <c r="CN598" s="4" t="str">
        <f t="shared" si="553"/>
        <v/>
      </c>
      <c r="CO598" s="4"/>
      <c r="CP598" s="4"/>
      <c r="CQ598" s="29" t="str">
        <f t="shared" si="538"/>
        <v/>
      </c>
      <c r="CR598" s="29" t="str">
        <f t="shared" si="539"/>
        <v/>
      </c>
      <c r="CS598" s="4"/>
    </row>
    <row r="599" spans="1:97" ht="34.25" hidden="1" customHeight="1">
      <c r="B599" s="481"/>
      <c r="C599" s="118"/>
      <c r="D599" s="126" t="str">
        <f>+IFERROR(INDEX('DESEMPATE Y DISCAPACIDAD'!$D$3:$D$450,MATCH(C599,'DESEMPATE Y DISCAPACIDAD'!$C$3:$C$450,0)),"")</f>
        <v/>
      </c>
      <c r="E599" s="127" t="str">
        <f>IFERROR(IF(D599="","",IF(VLOOKUP(D599,'DESEMPATE Y DISCAPACIDAD'!D$3:$E$450,2,FALSE)=1,"N/A",IF(VLOOKUP(D599,'DESEMPATE Y DISCAPACIDAD'!D$3:$F$450,3,FALSE)="X","SI","NO"))),"")</f>
        <v/>
      </c>
      <c r="F599" s="125"/>
      <c r="G599" s="125"/>
      <c r="H599" s="125"/>
      <c r="I599" s="128"/>
      <c r="J599" s="125"/>
      <c r="K599" s="125"/>
      <c r="L599" s="125"/>
      <c r="M599" s="125"/>
      <c r="N599" s="125" t="str">
        <f t="shared" si="548"/>
        <v/>
      </c>
      <c r="O599" s="125" t="str">
        <f t="shared" si="554"/>
        <v/>
      </c>
      <c r="P599" s="125" t="str">
        <f t="shared" si="549"/>
        <v/>
      </c>
      <c r="Q599" s="125" t="str">
        <f t="shared" si="531"/>
        <v/>
      </c>
      <c r="R599" s="68"/>
      <c r="S599" s="129"/>
      <c r="T599" s="129"/>
      <c r="U599" s="125" t="str">
        <f t="shared" si="550"/>
        <v/>
      </c>
      <c r="V599" s="117" t="str">
        <f>IF(U599=2023,1160000,IFERROR(INDEX(SMMLV!$B$2:$B$101,MATCH(U599,SMMLV!$A$2:$A$101,0)),""))</f>
        <v/>
      </c>
      <c r="W599" s="117"/>
      <c r="X599" s="125"/>
      <c r="Y599" s="125"/>
      <c r="Z599" s="474"/>
      <c r="AA599" s="475"/>
      <c r="AB599" s="476"/>
      <c r="AC599" s="125" t="str">
        <f t="shared" si="551"/>
        <v/>
      </c>
      <c r="AD599" s="117" t="str">
        <f t="shared" si="532"/>
        <v/>
      </c>
      <c r="AE599" s="117" t="str">
        <f t="shared" si="547"/>
        <v/>
      </c>
      <c r="AF599" s="117" t="str">
        <f t="shared" si="533"/>
        <v/>
      </c>
      <c r="AG599" s="470"/>
      <c r="AH599" s="470"/>
      <c r="AI599" s="125" t="str">
        <f t="shared" si="534"/>
        <v/>
      </c>
      <c r="AJ599" s="470"/>
      <c r="AK599" s="470"/>
      <c r="AL599" s="472"/>
      <c r="AM599" s="496"/>
      <c r="AN599" s="125"/>
      <c r="AO599" s="490"/>
      <c r="AP599" s="125"/>
      <c r="AQ599" s="490"/>
      <c r="AR599" s="522"/>
      <c r="AS599" s="522"/>
      <c r="AT599" s="138"/>
      <c r="AU599" s="702"/>
      <c r="AV599" s="702"/>
      <c r="AW599" s="708"/>
      <c r="AX599" s="708"/>
      <c r="AY599" s="19"/>
      <c r="CB599" s="29" t="str">
        <f>IFERROR(IF(COUNTIF(AF593:AF602,"")=10,"",IF(COUNTIF(E593:E602,"N/A")&gt;0,IF(AF599&gt;=CMEMM1,AF599,0),"N/A")),"")</f>
        <v/>
      </c>
      <c r="CC599" s="4"/>
      <c r="CD599" s="4" t="str">
        <f>IFERROR(IF(COUNTIF(AF593:AF602,"")=10,"",IF(AF599="","",IF(AF599&gt;=CMEMM1,1,0))),"")</f>
        <v/>
      </c>
      <c r="CE599" s="4" t="str">
        <f>B593&amp;"-0"&amp;7</f>
        <v>P60-07</v>
      </c>
      <c r="CF599" s="4" t="str">
        <f>IFERROR(INDEX('DESEMPATE Y DISCAPACIDAD'!$D$3:$D$450,MATCH(CE599,'DESEMPATE Y DISCAPACIDAD'!$C$3:$C$450,0)),"")</f>
        <v/>
      </c>
      <c r="CG599" s="4" t="str">
        <f>IF(OR(CE599="",CF599=""),"",SUMIF(D593:D602,CF599,CD593:CD602))</f>
        <v/>
      </c>
      <c r="CH599" s="4" t="str">
        <f t="shared" si="535"/>
        <v/>
      </c>
      <c r="CI599" s="4" t="str">
        <f t="shared" si="552"/>
        <v/>
      </c>
      <c r="CJ599" s="4"/>
      <c r="CK599" s="4"/>
      <c r="CL599" s="4" t="str">
        <f t="shared" si="536"/>
        <v/>
      </c>
      <c r="CM599" s="4" t="str">
        <f t="shared" si="537"/>
        <v/>
      </c>
      <c r="CN599" s="4" t="str">
        <f t="shared" si="553"/>
        <v/>
      </c>
      <c r="CO599" s="4"/>
      <c r="CP599" s="4"/>
      <c r="CQ599" s="29" t="str">
        <f t="shared" si="538"/>
        <v/>
      </c>
      <c r="CR599" s="29" t="str">
        <f t="shared" si="539"/>
        <v/>
      </c>
      <c r="CS599" s="4"/>
    </row>
    <row r="600" spans="1:97" ht="34.25" hidden="1" customHeight="1">
      <c r="B600" s="481"/>
      <c r="C600" s="118"/>
      <c r="D600" s="126" t="str">
        <f>+IFERROR(INDEX('DESEMPATE Y DISCAPACIDAD'!$D$3:$D$450,MATCH(C600,'DESEMPATE Y DISCAPACIDAD'!$C$3:$C$450,0)),"")</f>
        <v/>
      </c>
      <c r="E600" s="127" t="str">
        <f>IFERROR(IF(D600="","",IF(VLOOKUP(D600,'DESEMPATE Y DISCAPACIDAD'!D$3:$E$450,2,FALSE)=1,"N/A",IF(VLOOKUP(D600,'DESEMPATE Y DISCAPACIDAD'!D$3:$F$450,3,FALSE)="X","SI","NO"))),"")</f>
        <v/>
      </c>
      <c r="F600" s="125"/>
      <c r="G600" s="125"/>
      <c r="H600" s="125"/>
      <c r="I600" s="128"/>
      <c r="J600" s="125"/>
      <c r="K600" s="125"/>
      <c r="L600" s="125"/>
      <c r="M600" s="125"/>
      <c r="N600" s="125" t="str">
        <f t="shared" si="548"/>
        <v/>
      </c>
      <c r="O600" s="125" t="str">
        <f t="shared" si="554"/>
        <v/>
      </c>
      <c r="P600" s="125" t="str">
        <f t="shared" si="549"/>
        <v/>
      </c>
      <c r="Q600" s="125" t="str">
        <f t="shared" si="531"/>
        <v/>
      </c>
      <c r="R600" s="68"/>
      <c r="S600" s="129"/>
      <c r="T600" s="129"/>
      <c r="U600" s="125" t="str">
        <f t="shared" si="550"/>
        <v/>
      </c>
      <c r="V600" s="117" t="str">
        <f>IF(U600=2023,1160000,IFERROR(INDEX(SMMLV!$B$2:$B$101,MATCH(U600,SMMLV!$A$2:$A$101,0)),""))</f>
        <v/>
      </c>
      <c r="W600" s="117"/>
      <c r="X600" s="125"/>
      <c r="Y600" s="125"/>
      <c r="Z600" s="474"/>
      <c r="AA600" s="475"/>
      <c r="AB600" s="476"/>
      <c r="AC600" s="125" t="str">
        <f t="shared" si="551"/>
        <v/>
      </c>
      <c r="AD600" s="117" t="str">
        <f t="shared" si="532"/>
        <v/>
      </c>
      <c r="AE600" s="117" t="str">
        <f t="shared" si="547"/>
        <v/>
      </c>
      <c r="AF600" s="117" t="str">
        <f t="shared" si="533"/>
        <v/>
      </c>
      <c r="AG600" s="470"/>
      <c r="AH600" s="470"/>
      <c r="AI600" s="125" t="str">
        <f t="shared" si="534"/>
        <v/>
      </c>
      <c r="AJ600" s="470"/>
      <c r="AK600" s="470"/>
      <c r="AL600" s="472"/>
      <c r="AM600" s="496"/>
      <c r="AN600" s="125"/>
      <c r="AO600" s="490"/>
      <c r="AP600" s="125"/>
      <c r="AQ600" s="490"/>
      <c r="AR600" s="522"/>
      <c r="AS600" s="522"/>
      <c r="AT600" s="138"/>
      <c r="AU600" s="702"/>
      <c r="AV600" s="702"/>
      <c r="AW600" s="708"/>
      <c r="AX600" s="708"/>
      <c r="AY600" s="19"/>
      <c r="CB600" s="29" t="str">
        <f>IFERROR(IF(COUNTIF(AF593:AF602,"")=10,"",IF(COUNTIF(E593:E602,"N/A")&gt;0,IF(AF600&gt;=CMEMM1,AF600,0),"N/A")),"")</f>
        <v/>
      </c>
      <c r="CC600" s="4"/>
      <c r="CD600" s="4" t="str">
        <f>IFERROR(IF(COUNTIF(AF593:AF602,"")=10,"",IF(AF600="","",IF(AF600&gt;=CMEMM1,1,0))),"")</f>
        <v/>
      </c>
      <c r="CE600" s="4" t="str">
        <f>B593&amp;"-0"&amp;8</f>
        <v>P60-08</v>
      </c>
      <c r="CF600" s="4" t="str">
        <f>IFERROR(INDEX('DESEMPATE Y DISCAPACIDAD'!$D$3:$D$450,MATCH(CE600,'DESEMPATE Y DISCAPACIDAD'!$C$3:$C$450,0)),"")</f>
        <v/>
      </c>
      <c r="CG600" s="4" t="str">
        <f>IF(OR(CE600="",CF600=""),"",SUMIF(D593:D602,CF600,CD593:CD602))</f>
        <v/>
      </c>
      <c r="CH600" s="4" t="str">
        <f t="shared" si="535"/>
        <v/>
      </c>
      <c r="CI600" s="4" t="str">
        <f t="shared" si="552"/>
        <v/>
      </c>
      <c r="CJ600" s="4"/>
      <c r="CK600" s="4"/>
      <c r="CL600" s="4" t="str">
        <f t="shared" si="536"/>
        <v/>
      </c>
      <c r="CM600" s="4" t="str">
        <f t="shared" si="537"/>
        <v/>
      </c>
      <c r="CN600" s="4" t="str">
        <f t="shared" si="553"/>
        <v/>
      </c>
      <c r="CO600" s="4"/>
      <c r="CP600" s="4"/>
      <c r="CQ600" s="29" t="str">
        <f t="shared" si="538"/>
        <v/>
      </c>
      <c r="CR600" s="29" t="str">
        <f t="shared" si="539"/>
        <v/>
      </c>
      <c r="CS600" s="4"/>
    </row>
    <row r="601" spans="1:97" ht="34.25" hidden="1" customHeight="1">
      <c r="B601" s="481"/>
      <c r="C601" s="118"/>
      <c r="D601" s="126" t="str">
        <f>+IFERROR(INDEX('DESEMPATE Y DISCAPACIDAD'!$D$3:$D$450,MATCH(C601,'DESEMPATE Y DISCAPACIDAD'!$C$3:$C$450,0)),"")</f>
        <v/>
      </c>
      <c r="E601" s="127" t="str">
        <f>IFERROR(IF(D601="","",IF(VLOOKUP(D601,'DESEMPATE Y DISCAPACIDAD'!D$3:$E$450,2,FALSE)=1,"N/A",IF(VLOOKUP(D601,'DESEMPATE Y DISCAPACIDAD'!D$3:$F$450,3,FALSE)="X","SI","NO"))),"")</f>
        <v/>
      </c>
      <c r="F601" s="125"/>
      <c r="G601" s="125"/>
      <c r="H601" s="125"/>
      <c r="I601" s="128"/>
      <c r="J601" s="125"/>
      <c r="K601" s="125"/>
      <c r="L601" s="125"/>
      <c r="M601" s="125"/>
      <c r="N601" s="125" t="str">
        <f t="shared" si="548"/>
        <v/>
      </c>
      <c r="O601" s="125" t="str">
        <f t="shared" si="554"/>
        <v/>
      </c>
      <c r="P601" s="125" t="str">
        <f t="shared" si="549"/>
        <v/>
      </c>
      <c r="Q601" s="125" t="str">
        <f t="shared" si="531"/>
        <v/>
      </c>
      <c r="R601" s="68"/>
      <c r="S601" s="129"/>
      <c r="T601" s="129"/>
      <c r="U601" s="125" t="str">
        <f t="shared" si="550"/>
        <v/>
      </c>
      <c r="V601" s="117" t="str">
        <f>IF(U601=2023,1160000,IFERROR(INDEX(SMMLV!$B$2:$B$101,MATCH(U601,SMMLV!$A$2:$A$101,0)),""))</f>
        <v/>
      </c>
      <c r="W601" s="117"/>
      <c r="X601" s="125"/>
      <c r="Y601" s="125"/>
      <c r="Z601" s="474"/>
      <c r="AA601" s="475"/>
      <c r="AB601" s="476"/>
      <c r="AC601" s="125" t="str">
        <f t="shared" si="551"/>
        <v/>
      </c>
      <c r="AD601" s="117" t="str">
        <f t="shared" si="532"/>
        <v/>
      </c>
      <c r="AE601" s="117" t="str">
        <f t="shared" si="547"/>
        <v/>
      </c>
      <c r="AF601" s="117" t="str">
        <f t="shared" si="533"/>
        <v/>
      </c>
      <c r="AG601" s="470"/>
      <c r="AH601" s="470"/>
      <c r="AI601" s="125" t="str">
        <f t="shared" si="534"/>
        <v/>
      </c>
      <c r="AJ601" s="470"/>
      <c r="AK601" s="470"/>
      <c r="AL601" s="472"/>
      <c r="AM601" s="496"/>
      <c r="AN601" s="125"/>
      <c r="AO601" s="490"/>
      <c r="AP601" s="125"/>
      <c r="AQ601" s="490"/>
      <c r="AR601" s="522"/>
      <c r="AS601" s="522"/>
      <c r="AT601" s="138"/>
      <c r="AU601" s="702"/>
      <c r="AV601" s="702"/>
      <c r="AW601" s="708"/>
      <c r="AX601" s="708"/>
      <c r="AY601" s="19"/>
      <c r="CB601" s="29" t="str">
        <f>IFERROR(IF(COUNTIF(AF593:AF602,"")=10,"",IF(COUNTIF(E593:E602,"N/A")&gt;0,IF(AF601&gt;=CMEMM1,AF601,0),"N/A")),"")</f>
        <v/>
      </c>
      <c r="CC601" s="4"/>
      <c r="CD601" s="4" t="str">
        <f>IFERROR(IF(COUNTIF(AF593:AF602,"")=10,"",IF(AF601="","",IF(AF601&gt;=CMEMM1,1,0))),"")</f>
        <v/>
      </c>
      <c r="CE601" s="4" t="str">
        <f>B593&amp;"-0"&amp;9</f>
        <v>P60-09</v>
      </c>
      <c r="CF601" s="4" t="str">
        <f>IFERROR(INDEX('DESEMPATE Y DISCAPACIDAD'!$D$3:$D$450,MATCH(CE601,'DESEMPATE Y DISCAPACIDAD'!$C$3:$C$450,0)),"")</f>
        <v/>
      </c>
      <c r="CG601" s="4" t="str">
        <f>IF(OR(CE601="",CF601=""),"",SUMIF(D593:D602,CF601,CD593:CD602))</f>
        <v/>
      </c>
      <c r="CH601" s="4" t="str">
        <f t="shared" si="535"/>
        <v/>
      </c>
      <c r="CI601" s="4" t="str">
        <f t="shared" si="552"/>
        <v/>
      </c>
      <c r="CJ601" s="4"/>
      <c r="CK601" s="4"/>
      <c r="CL601" s="4" t="str">
        <f t="shared" si="536"/>
        <v/>
      </c>
      <c r="CM601" s="4" t="str">
        <f t="shared" si="537"/>
        <v/>
      </c>
      <c r="CN601" s="4" t="str">
        <f t="shared" si="553"/>
        <v/>
      </c>
      <c r="CO601" s="4"/>
      <c r="CP601" s="4"/>
      <c r="CQ601" s="29" t="str">
        <f t="shared" si="538"/>
        <v/>
      </c>
      <c r="CR601" s="29" t="str">
        <f t="shared" si="539"/>
        <v/>
      </c>
      <c r="CS601" s="4"/>
    </row>
    <row r="602" spans="1:97" ht="34.25" hidden="1" customHeight="1" thickBot="1">
      <c r="B602" s="482"/>
      <c r="C602" s="130"/>
      <c r="D602" s="131" t="str">
        <f>+IFERROR(INDEX('DESEMPATE Y DISCAPACIDAD'!$D$3:$D$450,MATCH(C602,'DESEMPATE Y DISCAPACIDAD'!$C$3:$C$450,0)),"")</f>
        <v/>
      </c>
      <c r="E602" s="132" t="str">
        <f>IFERROR(IF(D602="","",IF(VLOOKUP(D602,'DESEMPATE Y DISCAPACIDAD'!D$3:$E$450,2,FALSE)=1,"N/A",IF(VLOOKUP(D602,'DESEMPATE Y DISCAPACIDAD'!D$3:$F$450,3,FALSE)="X","SI","NO"))),"")</f>
        <v/>
      </c>
      <c r="F602" s="133"/>
      <c r="G602" s="133"/>
      <c r="H602" s="133"/>
      <c r="I602" s="134"/>
      <c r="J602" s="133"/>
      <c r="K602" s="133"/>
      <c r="L602" s="133"/>
      <c r="M602" s="133"/>
      <c r="N602" s="133" t="str">
        <f t="shared" si="548"/>
        <v/>
      </c>
      <c r="O602" s="133" t="str">
        <f t="shared" si="554"/>
        <v/>
      </c>
      <c r="P602" s="133" t="str">
        <f t="shared" si="549"/>
        <v/>
      </c>
      <c r="Q602" s="133" t="str">
        <f t="shared" si="531"/>
        <v/>
      </c>
      <c r="R602" s="104"/>
      <c r="S602" s="135"/>
      <c r="T602" s="135"/>
      <c r="U602" s="133" t="str">
        <f t="shared" si="550"/>
        <v/>
      </c>
      <c r="V602" s="136" t="str">
        <f>IF(U602=2023,1160000,IFERROR(INDEX(SMMLV!$B$2:$B$101,MATCH(U602,SMMLV!$A$2:$A$101,0)),""))</f>
        <v/>
      </c>
      <c r="W602" s="136"/>
      <c r="X602" s="133"/>
      <c r="Y602" s="133"/>
      <c r="Z602" s="487"/>
      <c r="AA602" s="488"/>
      <c r="AB602" s="489"/>
      <c r="AC602" s="133" t="str">
        <f t="shared" si="551"/>
        <v/>
      </c>
      <c r="AD602" s="136" t="str">
        <f t="shared" si="532"/>
        <v/>
      </c>
      <c r="AE602" s="117" t="str">
        <f t="shared" si="547"/>
        <v/>
      </c>
      <c r="AF602" s="136" t="str">
        <f t="shared" si="533"/>
        <v/>
      </c>
      <c r="AG602" s="471"/>
      <c r="AH602" s="471"/>
      <c r="AI602" s="133" t="str">
        <f t="shared" si="534"/>
        <v/>
      </c>
      <c r="AJ602" s="471"/>
      <c r="AK602" s="471"/>
      <c r="AL602" s="473"/>
      <c r="AM602" s="497"/>
      <c r="AN602" s="133"/>
      <c r="AO602" s="491"/>
      <c r="AP602" s="133"/>
      <c r="AQ602" s="491"/>
      <c r="AR602" s="523"/>
      <c r="AS602" s="523"/>
      <c r="AT602" s="139"/>
      <c r="AU602" s="703"/>
      <c r="AV602" s="703"/>
      <c r="AW602" s="709"/>
      <c r="AX602" s="709"/>
      <c r="AY602" s="19"/>
      <c r="CB602" s="29" t="str">
        <f>IFERROR(IF(COUNTIF(AF593:AF602,"")=10,"",IF(COUNTIF(E593:E602,"N/A")&gt;0,IF(AF602&gt;=CMEMM1,AF602,0),"N/A")),"")</f>
        <v/>
      </c>
      <c r="CC602" s="4"/>
      <c r="CD602" s="4" t="str">
        <f>IFERROR(IF(COUNTIF(AF593:AF602,"")=10,"",IF(AF602="","",IF(AF602&gt;=CMEMM1,1,0))),"")</f>
        <v/>
      </c>
      <c r="CE602" s="4" t="str">
        <f>B593&amp;"-"&amp;10</f>
        <v>P60-10</v>
      </c>
      <c r="CF602" s="4" t="str">
        <f>IFERROR(INDEX('DESEMPATE Y DISCAPACIDAD'!$D$3:$D$450,MATCH(CE602,'DESEMPATE Y DISCAPACIDAD'!$C$3:$C$450,0)),"")</f>
        <v/>
      </c>
      <c r="CG602" s="4" t="str">
        <f>IF(OR(CE602="",CF602=""),"",SUMIF(D593:D602,CF602,CD593:CD602))</f>
        <v/>
      </c>
      <c r="CH602" s="4" t="str">
        <f t="shared" si="535"/>
        <v/>
      </c>
      <c r="CI602" s="4" t="str">
        <f t="shared" si="552"/>
        <v/>
      </c>
      <c r="CJ602" s="4"/>
      <c r="CK602" s="4"/>
      <c r="CL602" s="4" t="str">
        <f t="shared" si="536"/>
        <v/>
      </c>
      <c r="CM602" s="4" t="str">
        <f t="shared" si="537"/>
        <v/>
      </c>
      <c r="CN602" s="4" t="str">
        <f t="shared" si="553"/>
        <v/>
      </c>
      <c r="CO602" s="4"/>
      <c r="CP602" s="4"/>
      <c r="CQ602" s="29" t="str">
        <f t="shared" si="538"/>
        <v/>
      </c>
      <c r="CR602" s="29" t="str">
        <f t="shared" si="539"/>
        <v/>
      </c>
      <c r="CS602" s="4"/>
    </row>
    <row r="603" spans="1:97" ht="34.25" hidden="1" customHeight="1">
      <c r="A603" s="4" t="str">
        <f>"A"&amp;B603</f>
        <v>AP61</v>
      </c>
      <c r="B603" s="480" t="s">
        <v>591</v>
      </c>
      <c r="C603" s="108"/>
      <c r="D603" s="119" t="str">
        <f>+IFERROR(INDEX('DESEMPATE Y DISCAPACIDAD'!$D$3:$D$450,MATCH(C603,'DESEMPATE Y DISCAPACIDAD'!$C$3:$C$450,0)),"")</f>
        <v/>
      </c>
      <c r="E603" s="120" t="str">
        <f>IFERROR(IF(D603="","",IF(VLOOKUP(D603,'DESEMPATE Y DISCAPACIDAD'!D$3:$E$450,2,FALSE)=1,"N/A",IF(VLOOKUP(D603,'DESEMPATE Y DISCAPACIDAD'!D$3:$F$450,3,FALSE)="X","SI","NO"))),"")</f>
        <v/>
      </c>
      <c r="F603" s="125"/>
      <c r="G603" s="125"/>
      <c r="H603" s="121"/>
      <c r="I603" s="122"/>
      <c r="J603" s="121"/>
      <c r="K603" s="121"/>
      <c r="L603" s="179"/>
      <c r="M603" s="121"/>
      <c r="N603" s="121" t="str">
        <f>IFERROR(IF(OR(J603="",K603=""),"",IF(J603="NO","NO",K603)),"")</f>
        <v/>
      </c>
      <c r="O603" s="121" t="str">
        <f>IFERROR(IF(OR(J603="",L603=""),"",IF(J603="NO","NO",L603)),"")</f>
        <v/>
      </c>
      <c r="P603" s="121" t="str">
        <f>IFERROR(IF(OR(J603="",M603=""),"",IF(J603="NO","NO",M603)),"")</f>
        <v/>
      </c>
      <c r="Q603" s="121" t="str">
        <f t="shared" si="531"/>
        <v/>
      </c>
      <c r="R603" s="103"/>
      <c r="S603" s="123"/>
      <c r="T603" s="123"/>
      <c r="U603" s="121" t="str">
        <f>IFERROR(IF(T603="","",YEAR(T603)),"")</f>
        <v/>
      </c>
      <c r="V603" s="124" t="str">
        <f>IF(U603=2023,1160000,IFERROR(INDEX(SMMLV!$B$2:$B$101,MATCH(U603,SMMLV!$A$2:$A$101,0)),""))</f>
        <v/>
      </c>
      <c r="W603" s="124"/>
      <c r="X603" s="121"/>
      <c r="Y603" s="121"/>
      <c r="Z603" s="483"/>
      <c r="AA603" s="484"/>
      <c r="AB603" s="485"/>
      <c r="AC603" s="121" t="str">
        <f>IFERROR(IF(Y603="","",IF(ISNUMBER(Y603),IF(COUNTIF(Z603,"SI")&gt;0,"SI","NO"),Y603)),"")</f>
        <v/>
      </c>
      <c r="AD603" s="124" t="str">
        <f t="shared" si="532"/>
        <v/>
      </c>
      <c r="AE603" s="117" t="str">
        <f t="shared" si="547"/>
        <v/>
      </c>
      <c r="AF603" s="124" t="str">
        <f t="shared" si="533"/>
        <v/>
      </c>
      <c r="AG603" s="486" t="str">
        <f>IFERROR(IF(COUNTIF(AF603:AF612,"")=10,"",IF(COUNTIF(E603:E612,"N/A")&gt;0,IF(SUM(CB603:CB612)&gt;=CMEM1,"CUMPLE","NO CUMPLE"),IF(SUM(AF603:AF612)&gt;=CMEM1,"CUMPLE","NO CUMPLE"))),"")</f>
        <v/>
      </c>
      <c r="AH603" s="486" t="str">
        <f>IF(COUNTIF(AF603:AF612,"")=10,"",IF(SUMIF(C603:C612,C603,AF603:AF612)&gt;=CMLM1,"CUMPLE",IF(SUMIF(C603:C612,C604,AF603:AF612)&gt;=CMLM1,"CUMPLE",IF(SUMIF(C603:C612,C605,AF603:AF612)&gt;=CMLM1,"CUMPLE",IF(SUMIF(C603:C612,C606,AF603:AF612)&gt;=CMLM1,"CUMPLE",IF(SUMIF(C603:C612,C607,AF603:AF612)&gt;=CMLM1,"CUMPLE",IF(SUMIF(C603:C612,C608,AF603:AF612)&gt;=CMLM1,"CUMPLE",IF(SUMIF(C603:C612,C609,AF603:AF612)&gt;=CMLM1,"CUMPLE",IF(SUMIF(C603:C612,C610,AF603:AF612)&gt;=CMLM1,"CUMPLE",IF(SUMIF(C603:C612,C611,AF603:AF612)&gt;=CMLM1,"CUMPLE",IF(SUMIF(C603:C612,C612,AF603:AF612)&gt;=CMLM1,"CUMPLE","NO CUMPLE")))))))))))</f>
        <v/>
      </c>
      <c r="AI603" s="121" t="str">
        <f t="shared" si="534"/>
        <v/>
      </c>
      <c r="AJ603" s="469" t="str">
        <f>IFERROR(IF(COUNTIF(AF603:AF612,"")=10,"",IF(COUNTIF(E603:E612,"N/A")&gt;0,"N/A",CJ603)),"")</f>
        <v/>
      </c>
      <c r="AK603" s="469" t="str">
        <f>IFERROR(IF(AND(COUNTIF(N603:N612,"SI")&gt;=1,COUNTIF(O603:O612,"SI")&gt;=1,COUNTIF(P603:P612,"SI")&gt;=1,COUNTIF(J603:J612,"SI")&lt;=10,CO603="CUMPLE"),"CUMPLE","NO CUMPLE"),"")</f>
        <v>NO CUMPLE</v>
      </c>
      <c r="AL603" s="472"/>
      <c r="AM603" s="495">
        <f>IFERROR(IF(B603&lt;&gt;"",IF(VLOOKUP(B603,'DESEMPATE Y DISCAPACIDAD'!$A$3:$Q$450,10,FALSE)="","",VLOOKUP(B603,'DESEMPATE Y DISCAPACIDAD'!$A$3:$Q$450,10,FALSE)+6),""),"")</f>
        <v>6</v>
      </c>
      <c r="AN603" s="121"/>
      <c r="AO603" s="490"/>
      <c r="AP603" s="121"/>
      <c r="AQ603" s="490" t="str">
        <f>IFERROR(IF(COUNTIF(AP603:AP612,"")=10,"",IF(AO603="NO",0,COUNTIF(AP603:AP612,"SI"))),"")</f>
        <v/>
      </c>
      <c r="AR603" s="521" t="str">
        <f>IFERROR(IF(COUNTIF(AF603:AF612,"")=10,"",IF(AO603="NO",0,IF(COUNTIF(E603:E612,"N/A")&gt;0,SUM(CQ603:CQ612),SUM(CR603:CR612)))),"")</f>
        <v/>
      </c>
      <c r="AS603" s="521" t="str">
        <f>IFERROR(IF(OR(COUNTIF(AF603:AF612,"")=10,AQ603="",AR603=""),"",IF(AO603="NO",0,AR603/AQ603)),"")</f>
        <v/>
      </c>
      <c r="AT603" s="137"/>
      <c r="AU603" s="701"/>
      <c r="AV603" s="701"/>
      <c r="AW603" s="707"/>
      <c r="AX603" s="707"/>
      <c r="AY603" s="19"/>
      <c r="CB603" s="29" t="str">
        <f>IFERROR(IF(COUNTIF(AF603:AF612,"")=10,"",IF(COUNTIF(E603:E612,"N/A")&gt;0,IF(AF603&gt;=CMEMM1,AF603,0),"N/A")),"")</f>
        <v/>
      </c>
      <c r="CC603" s="4"/>
      <c r="CD603" s="4" t="str">
        <f>IFERROR(IF(COUNTIF(AF603:AF612,"")=10,"",IF(AF603="","",IF(AF603&gt;=CMEMM1,1,0))),"")</f>
        <v/>
      </c>
      <c r="CE603" s="4" t="str">
        <f>B603&amp;"-0"&amp;1</f>
        <v>P61-01</v>
      </c>
      <c r="CF603" s="4">
        <f>IFERROR(INDEX('DESEMPATE Y DISCAPACIDAD'!$D$3:$D$450,MATCH(CE603,'DESEMPATE Y DISCAPACIDAD'!$C$3:$C$450,0)),"")</f>
        <v>0</v>
      </c>
      <c r="CG603" s="4">
        <f>IF(OR(CE603="",CF603=""),"",SUMIF(D603:D612,CF603,CD603:CD612))</f>
        <v>0</v>
      </c>
      <c r="CH603" s="4" t="str">
        <f t="shared" si="535"/>
        <v>NO CUMPLE</v>
      </c>
      <c r="CI603" s="4">
        <f>IF(CF603="","",IF(ISTEXT(CF603),1,0))</f>
        <v>0</v>
      </c>
      <c r="CJ603" s="4" t="str">
        <f>IF(OR(CE603="",CF603="",CG603="",CH603="",CI603=""),"",IF(COUNTIF(CH603:CH612,"CUMPLE")=COUNTIF(CI603:CI612,1),"CUMPLE","NO CUMPLE"))</f>
        <v>CUMPLE</v>
      </c>
      <c r="CK603" s="4"/>
      <c r="CL603" s="4" t="str">
        <f t="shared" si="536"/>
        <v/>
      </c>
      <c r="CM603" s="4" t="str">
        <f t="shared" si="537"/>
        <v/>
      </c>
      <c r="CN603" s="4" t="str">
        <f>IF(OR(CL603="",CM603=""),"",IF(AND(CL603=0,CM603=0),"N/A",IF(AND(CL603=1,CM603=0),"COND. A",IF(AND(CL603=0,CM603=1),"COND. B",IF(AND(CL603=1,CM603=1),"COND. A Y B","")))))</f>
        <v/>
      </c>
      <c r="CO603" s="4" t="str">
        <f>IF(COUNTIF(CN603:CN612,"N/A")=10,"NO CUMPLE",IF(COUNTIF(CN603:CN612,"COND. A Y B")&gt;1,"CUMPLE",IF(AND(COUNTIF(CN603:CN612,"COND. A")&gt;0,COUNTIF(CN603:CN612,"COND. B")&gt;0),"CUMPLE",IF(AND(COUNTIF(CN603:CN612,"COND. A Y B")&gt;0,COUNTIF(CN603:CN612,"COND. A")&gt;0),"CUMPLE",IF(AND(COUNTIF(CN603:CN612,"COND. A Y B")&gt;0,COUNTIF(CN603:CN612,"COND. B")&gt;0),"CUMPLE","NO CUMPLE")))))</f>
        <v>NO CUMPLE</v>
      </c>
      <c r="CP603" s="4"/>
      <c r="CQ603" s="29" t="str">
        <f t="shared" si="538"/>
        <v/>
      </c>
      <c r="CR603" s="29" t="str">
        <f t="shared" si="539"/>
        <v/>
      </c>
      <c r="CS603" s="4"/>
    </row>
    <row r="604" spans="1:97" ht="34.25" hidden="1" customHeight="1">
      <c r="B604" s="481"/>
      <c r="C604" s="118"/>
      <c r="D604" s="119" t="str">
        <f>+IFERROR(INDEX('DESEMPATE Y DISCAPACIDAD'!$D$3:$D$450,MATCH(C604,'DESEMPATE Y DISCAPACIDAD'!$C$3:$C$450,0)),"")</f>
        <v/>
      </c>
      <c r="E604" s="120" t="str">
        <f>IFERROR(IF(D604="","",IF(VLOOKUP(D604,'DESEMPATE Y DISCAPACIDAD'!D$3:$E$450,2,FALSE)=1,"N/A",IF(VLOOKUP(D604,'DESEMPATE Y DISCAPACIDAD'!D$3:$F$450,3,FALSE)="X","SI","NO"))),"")</f>
        <v/>
      </c>
      <c r="F604" s="125"/>
      <c r="G604" s="125"/>
      <c r="H604" s="121"/>
      <c r="I604" s="122"/>
      <c r="J604" s="121"/>
      <c r="K604" s="121"/>
      <c r="L604" s="179"/>
      <c r="M604" s="121"/>
      <c r="N604" s="121" t="str">
        <f t="shared" ref="N604:N612" si="555">IFERROR(IF(OR(J604="",K604=""),"",IF(J604="NO","NO",K604)),"")</f>
        <v/>
      </c>
      <c r="O604" s="121" t="str">
        <f>IFERROR(IF(OR(J604="",L604=""),"",IF(J604="NO","NO",L604)),"")</f>
        <v/>
      </c>
      <c r="P604" s="121" t="str">
        <f t="shared" ref="P604:P612" si="556">IFERROR(IF(OR(J604="",M604=""),"",IF(J604="NO","NO",M604)),"")</f>
        <v/>
      </c>
      <c r="Q604" s="121" t="str">
        <f t="shared" si="531"/>
        <v/>
      </c>
      <c r="R604" s="103"/>
      <c r="S604" s="123"/>
      <c r="T604" s="123"/>
      <c r="U604" s="121" t="str">
        <f t="shared" ref="U604:U612" si="557">IFERROR(IF(T604="","",YEAR(T604)),"")</f>
        <v/>
      </c>
      <c r="V604" s="124" t="str">
        <f>IF(U604=2023,1160000,IFERROR(INDEX(SMMLV!$B$2:$B$101,MATCH(U604,SMMLV!$A$2:$A$101,0)),""))</f>
        <v/>
      </c>
      <c r="W604" s="124"/>
      <c r="X604" s="125"/>
      <c r="Y604" s="125"/>
      <c r="Z604" s="474"/>
      <c r="AA604" s="475"/>
      <c r="AB604" s="476"/>
      <c r="AC604" s="125" t="str">
        <f t="shared" ref="AC604:AC612" si="558">IFERROR(IF(Y604="","",IF(ISNUMBER(Y604),IF(COUNTIF(Z604,"SI")&gt;0,"SI","NO"),Y604)),"")</f>
        <v/>
      </c>
      <c r="AD604" s="117" t="str">
        <f t="shared" si="532"/>
        <v/>
      </c>
      <c r="AE604" s="117" t="str">
        <f t="shared" si="547"/>
        <v/>
      </c>
      <c r="AF604" s="117" t="str">
        <f t="shared" si="533"/>
        <v/>
      </c>
      <c r="AG604" s="470"/>
      <c r="AH604" s="470"/>
      <c r="AI604" s="125" t="str">
        <f t="shared" si="534"/>
        <v/>
      </c>
      <c r="AJ604" s="470"/>
      <c r="AK604" s="470"/>
      <c r="AL604" s="472"/>
      <c r="AM604" s="496"/>
      <c r="AN604" s="125"/>
      <c r="AO604" s="490"/>
      <c r="AP604" s="125"/>
      <c r="AQ604" s="490"/>
      <c r="AR604" s="522"/>
      <c r="AS604" s="522"/>
      <c r="AT604" s="138"/>
      <c r="AU604" s="702"/>
      <c r="AV604" s="702"/>
      <c r="AW604" s="708"/>
      <c r="AX604" s="708"/>
      <c r="AY604" s="19"/>
      <c r="CB604" s="29" t="str">
        <f>IFERROR(IF(COUNTIF(AF603:AF612,"")=10,"",IF(COUNTIF(E603:E612,"N/A")&gt;0,IF(AF604&gt;=CMEMM1,AF604,0),"N/A")),"")</f>
        <v/>
      </c>
      <c r="CC604" s="4"/>
      <c r="CD604" s="4" t="str">
        <f>IFERROR(IF(COUNTIF(AF603:AF612,"")=10,"",IF(AF604="","",IF(AF604&gt;=CMEMM1,1,0))),"")</f>
        <v/>
      </c>
      <c r="CE604" s="4" t="str">
        <f>B603&amp;"-0"&amp;2</f>
        <v>P61-02</v>
      </c>
      <c r="CF604" s="4">
        <f>IFERROR(INDEX('DESEMPATE Y DISCAPACIDAD'!$D$3:$D$450,MATCH(CE604,'DESEMPATE Y DISCAPACIDAD'!$C$3:$C$450,0)),"")</f>
        <v>0</v>
      </c>
      <c r="CG604" s="4">
        <f>IF(OR(CE604="",CF604=""),"",SUMIF(D603:D612,CF604,CD603:CD612))</f>
        <v>0</v>
      </c>
      <c r="CH604" s="4" t="str">
        <f t="shared" si="535"/>
        <v>NO CUMPLE</v>
      </c>
      <c r="CI604" s="4">
        <f t="shared" ref="CI604:CI612" si="559">IF(CF604="","",IF(ISTEXT(CF604),1,0))</f>
        <v>0</v>
      </c>
      <c r="CJ604" s="4"/>
      <c r="CK604" s="4"/>
      <c r="CL604" s="4" t="str">
        <f t="shared" si="536"/>
        <v/>
      </c>
      <c r="CM604" s="4" t="str">
        <f t="shared" si="537"/>
        <v/>
      </c>
      <c r="CN604" s="4" t="str">
        <f t="shared" ref="CN604:CN612" si="560">IF(OR(CL604="",CM604=""),"",IF(AND(CL604=0,CM604=0),"N/A",IF(AND(CL604=1,CM604=0),"COND. A",IF(AND(CL604=0,CM604=1),"COND. B",IF(AND(CL604=1,CM604=1),"COND. A Y B","")))))</f>
        <v/>
      </c>
      <c r="CO604" s="4"/>
      <c r="CP604" s="4"/>
      <c r="CQ604" s="29" t="str">
        <f t="shared" si="538"/>
        <v/>
      </c>
      <c r="CR604" s="29" t="str">
        <f t="shared" si="539"/>
        <v/>
      </c>
      <c r="CS604" s="4"/>
    </row>
    <row r="605" spans="1:97" ht="34.25" hidden="1" customHeight="1">
      <c r="B605" s="481"/>
      <c r="C605" s="118"/>
      <c r="D605" s="126" t="str">
        <f>+IFERROR(INDEX('DESEMPATE Y DISCAPACIDAD'!$D$3:$D$450,MATCH(C605,'DESEMPATE Y DISCAPACIDAD'!$C$3:$C$450,0)),"")</f>
        <v/>
      </c>
      <c r="E605" s="127" t="str">
        <f>IFERROR(IF(D605="","",IF(VLOOKUP(D605,'DESEMPATE Y DISCAPACIDAD'!D$3:$E$450,2,FALSE)=1,"N/A",IF(VLOOKUP(D605,'DESEMPATE Y DISCAPACIDAD'!D$3:$F$450,3,FALSE)="X","SI","NO"))),"")</f>
        <v/>
      </c>
      <c r="F605" s="121"/>
      <c r="G605" s="121"/>
      <c r="H605" s="125"/>
      <c r="I605" s="128"/>
      <c r="J605" s="125"/>
      <c r="K605" s="125"/>
      <c r="L605" s="3"/>
      <c r="M605" s="3"/>
      <c r="N605" s="125" t="str">
        <f t="shared" si="555"/>
        <v/>
      </c>
      <c r="O605" s="125" t="str">
        <f>IFERROR(IF(OR(J605="",L605=""),"",IF(J605="NO","NO",L605)),"")</f>
        <v/>
      </c>
      <c r="P605" s="125" t="str">
        <f t="shared" si="556"/>
        <v/>
      </c>
      <c r="Q605" s="125" t="str">
        <f t="shared" si="531"/>
        <v/>
      </c>
      <c r="R605" s="68"/>
      <c r="S605" s="129"/>
      <c r="T605" s="129"/>
      <c r="U605" s="125" t="str">
        <f t="shared" si="557"/>
        <v/>
      </c>
      <c r="V605" s="117" t="str">
        <f>IF(U605=2023,1160000,IFERROR(INDEX(SMMLV!$B$2:$B$101,MATCH(U605,SMMLV!$A$2:$A$101,0)),""))</f>
        <v/>
      </c>
      <c r="W605" s="117"/>
      <c r="X605" s="125"/>
      <c r="Y605" s="125"/>
      <c r="Z605" s="474"/>
      <c r="AA605" s="475"/>
      <c r="AB605" s="476"/>
      <c r="AC605" s="125" t="str">
        <f t="shared" si="558"/>
        <v/>
      </c>
      <c r="AD605" s="117" t="str">
        <f t="shared" si="532"/>
        <v/>
      </c>
      <c r="AE605" s="117" t="str">
        <f t="shared" si="547"/>
        <v/>
      </c>
      <c r="AF605" s="117" t="str">
        <f t="shared" si="533"/>
        <v/>
      </c>
      <c r="AG605" s="470"/>
      <c r="AH605" s="470"/>
      <c r="AI605" s="125" t="str">
        <f t="shared" si="534"/>
        <v/>
      </c>
      <c r="AJ605" s="470"/>
      <c r="AK605" s="470"/>
      <c r="AL605" s="472"/>
      <c r="AM605" s="496"/>
      <c r="AN605" s="125"/>
      <c r="AO605" s="490"/>
      <c r="AP605" s="125"/>
      <c r="AQ605" s="490"/>
      <c r="AR605" s="522"/>
      <c r="AS605" s="522"/>
      <c r="AT605" s="138"/>
      <c r="AU605" s="702"/>
      <c r="AV605" s="702"/>
      <c r="AW605" s="708"/>
      <c r="AX605" s="708"/>
      <c r="AY605" s="19"/>
      <c r="CB605" s="29" t="str">
        <f>IFERROR(IF(COUNTIF(AF603:AF612,"")=10,"",IF(COUNTIF(E603:E612,"N/A")&gt;0,IF(AF605&gt;=CMEMM1,AF605,0),"N/A")),"")</f>
        <v/>
      </c>
      <c r="CC605" s="4"/>
      <c r="CD605" s="4" t="str">
        <f>IFERROR(IF(COUNTIF(AF603:AF612,"")=10,"",IF(AF605="","",IF(AF605&gt;=CMEMM1,1,0))),"")</f>
        <v/>
      </c>
      <c r="CE605" s="4" t="str">
        <f>B603&amp;"-0"&amp;3</f>
        <v>P61-03</v>
      </c>
      <c r="CF605" s="4">
        <f>IFERROR(INDEX('DESEMPATE Y DISCAPACIDAD'!$D$3:$D$450,MATCH(CE605,'DESEMPATE Y DISCAPACIDAD'!$C$3:$C$450,0)),"")</f>
        <v>0</v>
      </c>
      <c r="CG605" s="4">
        <f>IF(OR(CE605="",CF605=""),"",SUMIF(D603:D612,CF605,CD603:CD612))</f>
        <v>0</v>
      </c>
      <c r="CH605" s="4" t="str">
        <f t="shared" si="535"/>
        <v>NO CUMPLE</v>
      </c>
      <c r="CI605" s="4">
        <f t="shared" si="559"/>
        <v>0</v>
      </c>
      <c r="CJ605" s="4"/>
      <c r="CK605" s="4"/>
      <c r="CL605" s="4" t="str">
        <f t="shared" si="536"/>
        <v/>
      </c>
      <c r="CM605" s="4" t="str">
        <f t="shared" si="537"/>
        <v/>
      </c>
      <c r="CN605" s="4" t="str">
        <f t="shared" si="560"/>
        <v/>
      </c>
      <c r="CO605" s="4"/>
      <c r="CP605" s="4"/>
      <c r="CQ605" s="29" t="str">
        <f t="shared" si="538"/>
        <v/>
      </c>
      <c r="CR605" s="29" t="str">
        <f t="shared" si="539"/>
        <v/>
      </c>
      <c r="CS605" s="4"/>
    </row>
    <row r="606" spans="1:97" ht="34.25" hidden="1" customHeight="1">
      <c r="B606" s="481"/>
      <c r="C606" s="118"/>
      <c r="D606" s="126" t="str">
        <f>+IFERROR(INDEX('DESEMPATE Y DISCAPACIDAD'!$D$3:$D$450,MATCH(C606,'DESEMPATE Y DISCAPACIDAD'!$C$3:$C$450,0)),"")</f>
        <v/>
      </c>
      <c r="E606" s="127" t="str">
        <f>IFERROR(IF(D606="","",IF(VLOOKUP(D606,'DESEMPATE Y DISCAPACIDAD'!D$3:$E$450,2,FALSE)=1,"N/A",IF(VLOOKUP(D606,'DESEMPATE Y DISCAPACIDAD'!D$3:$F$450,3,FALSE)="X","SI","NO"))),"")</f>
        <v/>
      </c>
      <c r="F606" s="141"/>
      <c r="G606" s="125"/>
      <c r="H606" s="125"/>
      <c r="I606" s="128"/>
      <c r="J606" s="125"/>
      <c r="K606" s="125"/>
      <c r="L606" s="3"/>
      <c r="M606" s="125"/>
      <c r="N606" s="125" t="str">
        <f t="shared" si="555"/>
        <v/>
      </c>
      <c r="O606" s="125" t="str">
        <f>IFERROR(IF(OR(J606="",L606=""),"",IF(J606="NO","NO",L606)),"")</f>
        <v/>
      </c>
      <c r="P606" s="125" t="str">
        <f t="shared" si="556"/>
        <v/>
      </c>
      <c r="Q606" s="125" t="str">
        <f t="shared" si="531"/>
        <v/>
      </c>
      <c r="R606" s="68"/>
      <c r="S606" s="129"/>
      <c r="T606" s="129"/>
      <c r="U606" s="125" t="str">
        <f t="shared" si="557"/>
        <v/>
      </c>
      <c r="V606" s="117" t="str">
        <f>IF(U606=2023,1160000,IFERROR(INDEX(SMMLV!$B$2:$B$101,MATCH(U606,SMMLV!$A$2:$A$101,0)),""))</f>
        <v/>
      </c>
      <c r="W606" s="117"/>
      <c r="X606" s="125"/>
      <c r="Y606" s="125"/>
      <c r="Z606" s="474"/>
      <c r="AA606" s="475"/>
      <c r="AB606" s="476"/>
      <c r="AC606" s="125" t="str">
        <f t="shared" si="558"/>
        <v/>
      </c>
      <c r="AD606" s="117" t="str">
        <f t="shared" si="532"/>
        <v/>
      </c>
      <c r="AE606" s="117" t="str">
        <f t="shared" si="547"/>
        <v/>
      </c>
      <c r="AF606" s="117" t="str">
        <f t="shared" si="533"/>
        <v/>
      </c>
      <c r="AG606" s="470"/>
      <c r="AH606" s="470"/>
      <c r="AI606" s="125" t="str">
        <f t="shared" si="534"/>
        <v/>
      </c>
      <c r="AJ606" s="470"/>
      <c r="AK606" s="470"/>
      <c r="AL606" s="472"/>
      <c r="AM606" s="496"/>
      <c r="AN606" s="125"/>
      <c r="AO606" s="490"/>
      <c r="AP606" s="125"/>
      <c r="AQ606" s="490"/>
      <c r="AR606" s="522"/>
      <c r="AS606" s="522"/>
      <c r="AT606" s="138"/>
      <c r="AU606" s="702"/>
      <c r="AV606" s="702"/>
      <c r="AW606" s="708"/>
      <c r="AX606" s="708"/>
      <c r="AY606" s="19"/>
      <c r="CB606" s="29" t="str">
        <f>IFERROR(IF(COUNTIF(AF603:AF612,"")=10,"",IF(COUNTIF(E603:E612,"N/A")&gt;0,IF(AF606&gt;=CMEMM1,AF606,0),"N/A")),"")</f>
        <v/>
      </c>
      <c r="CC606" s="4"/>
      <c r="CD606" s="4" t="str">
        <f>IFERROR(IF(COUNTIF(AF603:AF612,"")=10,"",IF(AF606="","",IF(AF606&gt;=CMEMM1,1,0))),"")</f>
        <v/>
      </c>
      <c r="CE606" s="4" t="str">
        <f>B603&amp;"-0"&amp;4</f>
        <v>P61-04</v>
      </c>
      <c r="CF606" s="4">
        <f>IFERROR(INDEX('DESEMPATE Y DISCAPACIDAD'!$D$3:$D$450,MATCH(CE606,'DESEMPATE Y DISCAPACIDAD'!$C$3:$C$450,0)),"")</f>
        <v>0</v>
      </c>
      <c r="CG606" s="4">
        <f>IF(OR(CE606="",CF606=""),"",SUMIF(D603:D612,CF606,CD603:CD612))</f>
        <v>0</v>
      </c>
      <c r="CH606" s="4" t="str">
        <f t="shared" si="535"/>
        <v>NO CUMPLE</v>
      </c>
      <c r="CI606" s="4">
        <f t="shared" si="559"/>
        <v>0</v>
      </c>
      <c r="CJ606" s="4"/>
      <c r="CK606" s="4"/>
      <c r="CL606" s="4" t="str">
        <f t="shared" si="536"/>
        <v/>
      </c>
      <c r="CM606" s="4" t="str">
        <f t="shared" si="537"/>
        <v/>
      </c>
      <c r="CN606" s="4" t="str">
        <f t="shared" si="560"/>
        <v/>
      </c>
      <c r="CO606" s="4"/>
      <c r="CP606" s="4"/>
      <c r="CQ606" s="29" t="str">
        <f t="shared" si="538"/>
        <v/>
      </c>
      <c r="CR606" s="29" t="str">
        <f t="shared" si="539"/>
        <v/>
      </c>
      <c r="CS606" s="4"/>
    </row>
    <row r="607" spans="1:97" ht="34.25" hidden="1" customHeight="1">
      <c r="B607" s="481"/>
      <c r="C607" s="118"/>
      <c r="D607" s="126" t="str">
        <f>+IFERROR(INDEX('DESEMPATE Y DISCAPACIDAD'!$D$3:$D$450,MATCH(C607,'DESEMPATE Y DISCAPACIDAD'!$C$3:$C$450,0)),"")</f>
        <v/>
      </c>
      <c r="E607" s="127" t="str">
        <f>IFERROR(IF(D607="","",IF(VLOOKUP(D607,'DESEMPATE Y DISCAPACIDAD'!D$3:$E$450,2,FALSE)=1,"N/A",IF(VLOOKUP(D607,'DESEMPATE Y DISCAPACIDAD'!D$3:$F$450,3,FALSE)="X","SI","NO"))),"")</f>
        <v/>
      </c>
      <c r="F607" s="125"/>
      <c r="G607" s="125"/>
      <c r="H607" s="125"/>
      <c r="I607" s="128"/>
      <c r="J607" s="125"/>
      <c r="K607" s="125"/>
      <c r="L607" s="125"/>
      <c r="M607" s="125"/>
      <c r="N607" s="125" t="str">
        <f t="shared" si="555"/>
        <v/>
      </c>
      <c r="O607" s="125" t="str">
        <f t="shared" ref="O607:O612" si="561">IFERROR(IF(OR(J607="",L607=""),"",IF(J607="NO","NO",L607)),"")</f>
        <v/>
      </c>
      <c r="P607" s="125" t="str">
        <f t="shared" si="556"/>
        <v/>
      </c>
      <c r="Q607" s="125" t="str">
        <f t="shared" si="531"/>
        <v/>
      </c>
      <c r="R607" s="68"/>
      <c r="S607" s="129"/>
      <c r="T607" s="129"/>
      <c r="U607" s="125" t="str">
        <f t="shared" si="557"/>
        <v/>
      </c>
      <c r="V607" s="117" t="str">
        <f>IF(U607=2023,1160000,IFERROR(INDEX(SMMLV!$B$2:$B$101,MATCH(U607,SMMLV!$A$2:$A$101,0)),""))</f>
        <v/>
      </c>
      <c r="W607" s="117"/>
      <c r="X607" s="125"/>
      <c r="Y607" s="125"/>
      <c r="Z607" s="474"/>
      <c r="AA607" s="475"/>
      <c r="AB607" s="476"/>
      <c r="AC607" s="125" t="str">
        <f t="shared" si="558"/>
        <v/>
      </c>
      <c r="AD607" s="117" t="str">
        <f t="shared" si="532"/>
        <v/>
      </c>
      <c r="AE607" s="117" t="str">
        <f t="shared" si="547"/>
        <v/>
      </c>
      <c r="AF607" s="117" t="str">
        <f t="shared" si="533"/>
        <v/>
      </c>
      <c r="AG607" s="470"/>
      <c r="AH607" s="470"/>
      <c r="AI607" s="125" t="str">
        <f t="shared" si="534"/>
        <v/>
      </c>
      <c r="AJ607" s="470"/>
      <c r="AK607" s="470"/>
      <c r="AL607" s="472"/>
      <c r="AM607" s="496"/>
      <c r="AN607" s="125"/>
      <c r="AO607" s="490"/>
      <c r="AP607" s="125"/>
      <c r="AQ607" s="490"/>
      <c r="AR607" s="522"/>
      <c r="AS607" s="522"/>
      <c r="AT607" s="138"/>
      <c r="AU607" s="702"/>
      <c r="AV607" s="702"/>
      <c r="AW607" s="708"/>
      <c r="AX607" s="708"/>
      <c r="AY607" s="19"/>
      <c r="CB607" s="29" t="str">
        <f>IFERROR(IF(COUNTIF(AF603:AF612,"")=10,"",IF(COUNTIF(E603:E612,"N/A")&gt;0,IF(AF607&gt;=CMEMM1,AF607,0),"N/A")),"")</f>
        <v/>
      </c>
      <c r="CC607" s="4"/>
      <c r="CD607" s="4" t="str">
        <f>IFERROR(IF(COUNTIF(AF603:AF612,"")=10,"",IF(AF607="","",IF(AF607&gt;=CMEMM1,1,0))),"")</f>
        <v/>
      </c>
      <c r="CE607" s="4" t="str">
        <f>B603&amp;"-0"&amp;5</f>
        <v>P61-05</v>
      </c>
      <c r="CF607" s="4">
        <f>IFERROR(INDEX('DESEMPATE Y DISCAPACIDAD'!$D$3:$D$450,MATCH(CE607,'DESEMPATE Y DISCAPACIDAD'!$C$3:$C$450,0)),"")</f>
        <v>0</v>
      </c>
      <c r="CG607" s="4">
        <f>IF(OR(CE607="",CF607=""),"",SUMIF(D603:D612,CF607,CD603:CD612))</f>
        <v>0</v>
      </c>
      <c r="CH607" s="4" t="str">
        <f t="shared" si="535"/>
        <v>NO CUMPLE</v>
      </c>
      <c r="CI607" s="4">
        <f t="shared" si="559"/>
        <v>0</v>
      </c>
      <c r="CJ607" s="4"/>
      <c r="CK607" s="4"/>
      <c r="CL607" s="4" t="str">
        <f t="shared" si="536"/>
        <v/>
      </c>
      <c r="CM607" s="4" t="str">
        <f t="shared" si="537"/>
        <v/>
      </c>
      <c r="CN607" s="4" t="str">
        <f t="shared" si="560"/>
        <v/>
      </c>
      <c r="CO607" s="4"/>
      <c r="CP607" s="4"/>
      <c r="CQ607" s="29" t="str">
        <f t="shared" si="538"/>
        <v/>
      </c>
      <c r="CR607" s="29" t="str">
        <f t="shared" si="539"/>
        <v/>
      </c>
      <c r="CS607" s="4"/>
    </row>
    <row r="608" spans="1:97" ht="34.25" hidden="1" customHeight="1">
      <c r="B608" s="481"/>
      <c r="C608" s="118"/>
      <c r="D608" s="126" t="str">
        <f>+IFERROR(INDEX('DESEMPATE Y DISCAPACIDAD'!$D$3:$D$450,MATCH(C608,'DESEMPATE Y DISCAPACIDAD'!$C$3:$C$450,0)),"")</f>
        <v/>
      </c>
      <c r="E608" s="127" t="str">
        <f>IFERROR(IF(D608="","",IF(VLOOKUP(D608,'DESEMPATE Y DISCAPACIDAD'!D$3:$E$450,2,FALSE)=1,"N/A",IF(VLOOKUP(D608,'DESEMPATE Y DISCAPACIDAD'!D$3:$F$450,3,FALSE)="X","SI","NO"))),"")</f>
        <v/>
      </c>
      <c r="F608" s="125"/>
      <c r="G608" s="125"/>
      <c r="H608" s="125"/>
      <c r="I608" s="128"/>
      <c r="J608" s="125"/>
      <c r="K608" s="125"/>
      <c r="L608" s="125"/>
      <c r="M608" s="125"/>
      <c r="N608" s="125" t="str">
        <f t="shared" si="555"/>
        <v/>
      </c>
      <c r="O608" s="125" t="str">
        <f t="shared" si="561"/>
        <v/>
      </c>
      <c r="P608" s="125" t="str">
        <f t="shared" si="556"/>
        <v/>
      </c>
      <c r="Q608" s="125" t="str">
        <f t="shared" si="531"/>
        <v/>
      </c>
      <c r="R608" s="68"/>
      <c r="S608" s="129"/>
      <c r="T608" s="129"/>
      <c r="U608" s="125" t="str">
        <f t="shared" si="557"/>
        <v/>
      </c>
      <c r="V608" s="117" t="str">
        <f>IF(U608=2023,1160000,IFERROR(INDEX(SMMLV!$B$2:$B$101,MATCH(U608,SMMLV!$A$2:$A$101,0)),""))</f>
        <v/>
      </c>
      <c r="W608" s="117"/>
      <c r="X608" s="125"/>
      <c r="Y608" s="125"/>
      <c r="Z608" s="474"/>
      <c r="AA608" s="475"/>
      <c r="AB608" s="476"/>
      <c r="AC608" s="125" t="str">
        <f t="shared" si="558"/>
        <v/>
      </c>
      <c r="AD608" s="117" t="str">
        <f t="shared" si="532"/>
        <v/>
      </c>
      <c r="AE608" s="117" t="str">
        <f t="shared" si="547"/>
        <v/>
      </c>
      <c r="AF608" s="117" t="str">
        <f t="shared" si="533"/>
        <v/>
      </c>
      <c r="AG608" s="470"/>
      <c r="AH608" s="470"/>
      <c r="AI608" s="125" t="str">
        <f t="shared" si="534"/>
        <v/>
      </c>
      <c r="AJ608" s="470"/>
      <c r="AK608" s="470"/>
      <c r="AL608" s="472"/>
      <c r="AM608" s="496"/>
      <c r="AN608" s="125"/>
      <c r="AO608" s="490"/>
      <c r="AP608" s="125"/>
      <c r="AQ608" s="490"/>
      <c r="AR608" s="522"/>
      <c r="AS608" s="522"/>
      <c r="AT608" s="138"/>
      <c r="AU608" s="702"/>
      <c r="AV608" s="702"/>
      <c r="AW608" s="708"/>
      <c r="AX608" s="708"/>
      <c r="AY608" s="19"/>
      <c r="CB608" s="29" t="str">
        <f>IFERROR(IF(COUNTIF(AF603:AF612,"")=10,"",IF(COUNTIF(E603:E612,"N/A")&gt;0,IF(AF608&gt;=CMEMM1,AF608,0),"N/A")),"")</f>
        <v/>
      </c>
      <c r="CC608" s="4"/>
      <c r="CD608" s="4" t="str">
        <f>IFERROR(IF(COUNTIF(AF603:AF612,"")=10,"",IF(AF608="","",IF(AF608&gt;=CMEMM1,1,0))),"")</f>
        <v/>
      </c>
      <c r="CE608" s="4" t="str">
        <f>B603&amp;"-0"&amp;6</f>
        <v>P61-06</v>
      </c>
      <c r="CF608" s="4">
        <f>IFERROR(INDEX('DESEMPATE Y DISCAPACIDAD'!$D$3:$D$450,MATCH(CE608,'DESEMPATE Y DISCAPACIDAD'!$C$3:$C$450,0)),"")</f>
        <v>0</v>
      </c>
      <c r="CG608" s="4">
        <f>IF(OR(CE608="",CF608=""),"",SUMIF(D603:D612,CF608,CD603:CD612))</f>
        <v>0</v>
      </c>
      <c r="CH608" s="4" t="str">
        <f t="shared" si="535"/>
        <v>NO CUMPLE</v>
      </c>
      <c r="CI608" s="4">
        <f t="shared" si="559"/>
        <v>0</v>
      </c>
      <c r="CJ608" s="4"/>
      <c r="CK608" s="4"/>
      <c r="CL608" s="4" t="str">
        <f t="shared" si="536"/>
        <v/>
      </c>
      <c r="CM608" s="4" t="str">
        <f t="shared" si="537"/>
        <v/>
      </c>
      <c r="CN608" s="4" t="str">
        <f t="shared" si="560"/>
        <v/>
      </c>
      <c r="CO608" s="4"/>
      <c r="CP608" s="4"/>
      <c r="CQ608" s="29" t="str">
        <f t="shared" si="538"/>
        <v/>
      </c>
      <c r="CR608" s="29" t="str">
        <f t="shared" si="539"/>
        <v/>
      </c>
      <c r="CS608" s="4"/>
    </row>
    <row r="609" spans="1:97" ht="34.25" hidden="1" customHeight="1">
      <c r="B609" s="481"/>
      <c r="C609" s="118"/>
      <c r="D609" s="126" t="str">
        <f>+IFERROR(INDEX('DESEMPATE Y DISCAPACIDAD'!$D$3:$D$450,MATCH(C609,'DESEMPATE Y DISCAPACIDAD'!$C$3:$C$450,0)),"")</f>
        <v/>
      </c>
      <c r="E609" s="127" t="str">
        <f>IFERROR(IF(D609="","",IF(VLOOKUP(D609,'DESEMPATE Y DISCAPACIDAD'!D$3:$E$450,2,FALSE)=1,"N/A",IF(VLOOKUP(D609,'DESEMPATE Y DISCAPACIDAD'!D$3:$F$450,3,FALSE)="X","SI","NO"))),"")</f>
        <v/>
      </c>
      <c r="F609" s="125"/>
      <c r="G609" s="125"/>
      <c r="H609" s="125"/>
      <c r="I609" s="128"/>
      <c r="J609" s="125"/>
      <c r="K609" s="125"/>
      <c r="L609" s="125"/>
      <c r="M609" s="125"/>
      <c r="N609" s="125" t="str">
        <f t="shared" si="555"/>
        <v/>
      </c>
      <c r="O609" s="125" t="str">
        <f t="shared" si="561"/>
        <v/>
      </c>
      <c r="P609" s="125" t="str">
        <f t="shared" si="556"/>
        <v/>
      </c>
      <c r="Q609" s="125" t="str">
        <f t="shared" si="531"/>
        <v/>
      </c>
      <c r="R609" s="68"/>
      <c r="S609" s="129"/>
      <c r="T609" s="129"/>
      <c r="U609" s="125" t="str">
        <f t="shared" si="557"/>
        <v/>
      </c>
      <c r="V609" s="117" t="str">
        <f>IF(U609=2023,1160000,IFERROR(INDEX(SMMLV!$B$2:$B$101,MATCH(U609,SMMLV!$A$2:$A$101,0)),""))</f>
        <v/>
      </c>
      <c r="W609" s="117"/>
      <c r="X609" s="125"/>
      <c r="Y609" s="125"/>
      <c r="Z609" s="474"/>
      <c r="AA609" s="475"/>
      <c r="AB609" s="476"/>
      <c r="AC609" s="125" t="str">
        <f t="shared" si="558"/>
        <v/>
      </c>
      <c r="AD609" s="117" t="str">
        <f t="shared" si="532"/>
        <v/>
      </c>
      <c r="AE609" s="117" t="str">
        <f t="shared" si="547"/>
        <v/>
      </c>
      <c r="AF609" s="117" t="str">
        <f t="shared" si="533"/>
        <v/>
      </c>
      <c r="AG609" s="470"/>
      <c r="AH609" s="470"/>
      <c r="AI609" s="125" t="str">
        <f t="shared" si="534"/>
        <v/>
      </c>
      <c r="AJ609" s="470"/>
      <c r="AK609" s="470"/>
      <c r="AL609" s="472"/>
      <c r="AM609" s="496"/>
      <c r="AN609" s="125"/>
      <c r="AO609" s="490"/>
      <c r="AP609" s="125"/>
      <c r="AQ609" s="490"/>
      <c r="AR609" s="522"/>
      <c r="AS609" s="522"/>
      <c r="AT609" s="138"/>
      <c r="AU609" s="702"/>
      <c r="AV609" s="702"/>
      <c r="AW609" s="708"/>
      <c r="AX609" s="708"/>
      <c r="AY609" s="19"/>
      <c r="CB609" s="29" t="str">
        <f>IFERROR(IF(COUNTIF(AF603:AF612,"")=10,"",IF(COUNTIF(E603:E612,"N/A")&gt;0,IF(AF609&gt;=CMEMM1,AF609,0),"N/A")),"")</f>
        <v/>
      </c>
      <c r="CC609" s="4"/>
      <c r="CD609" s="4" t="str">
        <f>IFERROR(IF(COUNTIF(AF603:AF612,"")=10,"",IF(AF609="","",IF(AF609&gt;=CMEMM1,1,0))),"")</f>
        <v/>
      </c>
      <c r="CE609" s="4" t="str">
        <f>B603&amp;"-0"&amp;7</f>
        <v>P61-07</v>
      </c>
      <c r="CF609" s="4" t="str">
        <f>IFERROR(INDEX('DESEMPATE Y DISCAPACIDAD'!$D$3:$D$450,MATCH(CE609,'DESEMPATE Y DISCAPACIDAD'!$C$3:$C$450,0)),"")</f>
        <v/>
      </c>
      <c r="CG609" s="4" t="str">
        <f>IF(OR(CE609="",CF609=""),"",SUMIF(D603:D612,CF609,CD603:CD612))</f>
        <v/>
      </c>
      <c r="CH609" s="4" t="str">
        <f t="shared" si="535"/>
        <v/>
      </c>
      <c r="CI609" s="4" t="str">
        <f t="shared" si="559"/>
        <v/>
      </c>
      <c r="CJ609" s="4"/>
      <c r="CK609" s="4"/>
      <c r="CL609" s="4" t="str">
        <f t="shared" si="536"/>
        <v/>
      </c>
      <c r="CM609" s="4" t="str">
        <f t="shared" si="537"/>
        <v/>
      </c>
      <c r="CN609" s="4" t="str">
        <f t="shared" si="560"/>
        <v/>
      </c>
      <c r="CO609" s="4"/>
      <c r="CP609" s="4"/>
      <c r="CQ609" s="29" t="str">
        <f t="shared" si="538"/>
        <v/>
      </c>
      <c r="CR609" s="29" t="str">
        <f t="shared" si="539"/>
        <v/>
      </c>
      <c r="CS609" s="4"/>
    </row>
    <row r="610" spans="1:97" ht="34.25" hidden="1" customHeight="1">
      <c r="B610" s="481"/>
      <c r="C610" s="118"/>
      <c r="D610" s="126" t="str">
        <f>+IFERROR(INDEX('DESEMPATE Y DISCAPACIDAD'!$D$3:$D$450,MATCH(C610,'DESEMPATE Y DISCAPACIDAD'!$C$3:$C$450,0)),"")</f>
        <v/>
      </c>
      <c r="E610" s="127" t="str">
        <f>IFERROR(IF(D610="","",IF(VLOOKUP(D610,'DESEMPATE Y DISCAPACIDAD'!D$3:$E$450,2,FALSE)=1,"N/A",IF(VLOOKUP(D610,'DESEMPATE Y DISCAPACIDAD'!D$3:$F$450,3,FALSE)="X","SI","NO"))),"")</f>
        <v/>
      </c>
      <c r="F610" s="125"/>
      <c r="G610" s="125"/>
      <c r="H610" s="125"/>
      <c r="I610" s="128"/>
      <c r="J610" s="125"/>
      <c r="K610" s="125"/>
      <c r="L610" s="125"/>
      <c r="M610" s="125"/>
      <c r="N610" s="125" t="str">
        <f t="shared" si="555"/>
        <v/>
      </c>
      <c r="O610" s="125" t="str">
        <f t="shared" si="561"/>
        <v/>
      </c>
      <c r="P610" s="125" t="str">
        <f t="shared" si="556"/>
        <v/>
      </c>
      <c r="Q610" s="125" t="str">
        <f t="shared" si="531"/>
        <v/>
      </c>
      <c r="R610" s="68"/>
      <c r="S610" s="129"/>
      <c r="T610" s="129"/>
      <c r="U610" s="125" t="str">
        <f t="shared" si="557"/>
        <v/>
      </c>
      <c r="V610" s="117" t="str">
        <f>IF(U610=2023,1160000,IFERROR(INDEX(SMMLV!$B$2:$B$101,MATCH(U610,SMMLV!$A$2:$A$101,0)),""))</f>
        <v/>
      </c>
      <c r="W610" s="117"/>
      <c r="X610" s="125"/>
      <c r="Y610" s="125"/>
      <c r="Z610" s="474"/>
      <c r="AA610" s="475"/>
      <c r="AB610" s="476"/>
      <c r="AC610" s="125" t="str">
        <f t="shared" si="558"/>
        <v/>
      </c>
      <c r="AD610" s="117" t="str">
        <f t="shared" si="532"/>
        <v/>
      </c>
      <c r="AE610" s="117" t="str">
        <f t="shared" si="547"/>
        <v/>
      </c>
      <c r="AF610" s="117" t="str">
        <f t="shared" si="533"/>
        <v/>
      </c>
      <c r="AG610" s="470"/>
      <c r="AH610" s="470"/>
      <c r="AI610" s="125" t="str">
        <f t="shared" si="534"/>
        <v/>
      </c>
      <c r="AJ610" s="470"/>
      <c r="AK610" s="470"/>
      <c r="AL610" s="472"/>
      <c r="AM610" s="496"/>
      <c r="AN610" s="125"/>
      <c r="AO610" s="490"/>
      <c r="AP610" s="125"/>
      <c r="AQ610" s="490"/>
      <c r="AR610" s="522"/>
      <c r="AS610" s="522"/>
      <c r="AT610" s="138"/>
      <c r="AU610" s="702"/>
      <c r="AV610" s="702"/>
      <c r="AW610" s="708"/>
      <c r="AX610" s="708"/>
      <c r="AY610" s="19"/>
      <c r="CB610" s="29" t="str">
        <f>IFERROR(IF(COUNTIF(AF603:AF612,"")=10,"",IF(COUNTIF(E603:E612,"N/A")&gt;0,IF(AF610&gt;=CMEMM1,AF610,0),"N/A")),"")</f>
        <v/>
      </c>
      <c r="CC610" s="4"/>
      <c r="CD610" s="4" t="str">
        <f>IFERROR(IF(COUNTIF(AF603:AF612,"")=10,"",IF(AF610="","",IF(AF610&gt;=CMEMM1,1,0))),"")</f>
        <v/>
      </c>
      <c r="CE610" s="4" t="str">
        <f>B603&amp;"-0"&amp;8</f>
        <v>P61-08</v>
      </c>
      <c r="CF610" s="4" t="str">
        <f>IFERROR(INDEX('DESEMPATE Y DISCAPACIDAD'!$D$3:$D$450,MATCH(CE610,'DESEMPATE Y DISCAPACIDAD'!$C$3:$C$450,0)),"")</f>
        <v/>
      </c>
      <c r="CG610" s="4" t="str">
        <f>IF(OR(CE610="",CF610=""),"",SUMIF(D603:D612,CF610,CD603:CD612))</f>
        <v/>
      </c>
      <c r="CH610" s="4" t="str">
        <f t="shared" si="535"/>
        <v/>
      </c>
      <c r="CI610" s="4" t="str">
        <f t="shared" si="559"/>
        <v/>
      </c>
      <c r="CJ610" s="4"/>
      <c r="CK610" s="4"/>
      <c r="CL610" s="4" t="str">
        <f t="shared" si="536"/>
        <v/>
      </c>
      <c r="CM610" s="4" t="str">
        <f t="shared" si="537"/>
        <v/>
      </c>
      <c r="CN610" s="4" t="str">
        <f t="shared" si="560"/>
        <v/>
      </c>
      <c r="CO610" s="4"/>
      <c r="CP610" s="4"/>
      <c r="CQ610" s="29" t="str">
        <f t="shared" si="538"/>
        <v/>
      </c>
      <c r="CR610" s="29" t="str">
        <f t="shared" si="539"/>
        <v/>
      </c>
      <c r="CS610" s="4"/>
    </row>
    <row r="611" spans="1:97" ht="34.25" hidden="1" customHeight="1">
      <c r="B611" s="481"/>
      <c r="C611" s="118"/>
      <c r="D611" s="126" t="str">
        <f>+IFERROR(INDEX('DESEMPATE Y DISCAPACIDAD'!$D$3:$D$450,MATCH(C611,'DESEMPATE Y DISCAPACIDAD'!$C$3:$C$450,0)),"")</f>
        <v/>
      </c>
      <c r="E611" s="127" t="str">
        <f>IFERROR(IF(D611="","",IF(VLOOKUP(D611,'DESEMPATE Y DISCAPACIDAD'!D$3:$E$450,2,FALSE)=1,"N/A",IF(VLOOKUP(D611,'DESEMPATE Y DISCAPACIDAD'!D$3:$F$450,3,FALSE)="X","SI","NO"))),"")</f>
        <v/>
      </c>
      <c r="F611" s="125"/>
      <c r="G611" s="125"/>
      <c r="H611" s="125"/>
      <c r="I611" s="128"/>
      <c r="J611" s="125"/>
      <c r="K611" s="125"/>
      <c r="L611" s="125"/>
      <c r="M611" s="125"/>
      <c r="N611" s="125" t="str">
        <f t="shared" si="555"/>
        <v/>
      </c>
      <c r="O611" s="125" t="str">
        <f t="shared" si="561"/>
        <v/>
      </c>
      <c r="P611" s="125" t="str">
        <f t="shared" si="556"/>
        <v/>
      </c>
      <c r="Q611" s="125" t="str">
        <f t="shared" si="531"/>
        <v/>
      </c>
      <c r="R611" s="68"/>
      <c r="S611" s="129"/>
      <c r="T611" s="129"/>
      <c r="U611" s="125" t="str">
        <f t="shared" si="557"/>
        <v/>
      </c>
      <c r="V611" s="117" t="str">
        <f>IF(U611=2023,1160000,IFERROR(INDEX(SMMLV!$B$2:$B$101,MATCH(U611,SMMLV!$A$2:$A$101,0)),""))</f>
        <v/>
      </c>
      <c r="W611" s="117"/>
      <c r="X611" s="125"/>
      <c r="Y611" s="125"/>
      <c r="Z611" s="474"/>
      <c r="AA611" s="475"/>
      <c r="AB611" s="476"/>
      <c r="AC611" s="125" t="str">
        <f t="shared" si="558"/>
        <v/>
      </c>
      <c r="AD611" s="117" t="str">
        <f t="shared" si="532"/>
        <v/>
      </c>
      <c r="AE611" s="117" t="str">
        <f t="shared" si="547"/>
        <v/>
      </c>
      <c r="AF611" s="117" t="str">
        <f t="shared" si="533"/>
        <v/>
      </c>
      <c r="AG611" s="470"/>
      <c r="AH611" s="470"/>
      <c r="AI611" s="125" t="str">
        <f t="shared" si="534"/>
        <v/>
      </c>
      <c r="AJ611" s="470"/>
      <c r="AK611" s="470"/>
      <c r="AL611" s="472"/>
      <c r="AM611" s="496"/>
      <c r="AN611" s="125"/>
      <c r="AO611" s="490"/>
      <c r="AP611" s="125"/>
      <c r="AQ611" s="490"/>
      <c r="AR611" s="522"/>
      <c r="AS611" s="522"/>
      <c r="AT611" s="138"/>
      <c r="AU611" s="702"/>
      <c r="AV611" s="702"/>
      <c r="AW611" s="708"/>
      <c r="AX611" s="708"/>
      <c r="AY611" s="19"/>
      <c r="CB611" s="29" t="str">
        <f>IFERROR(IF(COUNTIF(AF603:AF612,"")=10,"",IF(COUNTIF(E603:E612,"N/A")&gt;0,IF(AF611&gt;=CMEMM1,AF611,0),"N/A")),"")</f>
        <v/>
      </c>
      <c r="CC611" s="4"/>
      <c r="CD611" s="4" t="str">
        <f>IFERROR(IF(COUNTIF(AF603:AF612,"")=10,"",IF(AF611="","",IF(AF611&gt;=CMEMM1,1,0))),"")</f>
        <v/>
      </c>
      <c r="CE611" s="4" t="str">
        <f>B603&amp;"-0"&amp;9</f>
        <v>P61-09</v>
      </c>
      <c r="CF611" s="4" t="str">
        <f>IFERROR(INDEX('DESEMPATE Y DISCAPACIDAD'!$D$3:$D$450,MATCH(CE611,'DESEMPATE Y DISCAPACIDAD'!$C$3:$C$450,0)),"")</f>
        <v/>
      </c>
      <c r="CG611" s="4" t="str">
        <f>IF(OR(CE611="",CF611=""),"",SUMIF(D603:D612,CF611,CD603:CD612))</f>
        <v/>
      </c>
      <c r="CH611" s="4" t="str">
        <f t="shared" si="535"/>
        <v/>
      </c>
      <c r="CI611" s="4" t="str">
        <f t="shared" si="559"/>
        <v/>
      </c>
      <c r="CJ611" s="4"/>
      <c r="CK611" s="4"/>
      <c r="CL611" s="4" t="str">
        <f t="shared" si="536"/>
        <v/>
      </c>
      <c r="CM611" s="4" t="str">
        <f t="shared" si="537"/>
        <v/>
      </c>
      <c r="CN611" s="4" t="str">
        <f t="shared" si="560"/>
        <v/>
      </c>
      <c r="CO611" s="4"/>
      <c r="CP611" s="4"/>
      <c r="CQ611" s="29" t="str">
        <f t="shared" si="538"/>
        <v/>
      </c>
      <c r="CR611" s="29" t="str">
        <f t="shared" si="539"/>
        <v/>
      </c>
      <c r="CS611" s="4"/>
    </row>
    <row r="612" spans="1:97" ht="34.25" hidden="1" customHeight="1" thickBot="1">
      <c r="B612" s="482"/>
      <c r="C612" s="130"/>
      <c r="D612" s="131" t="str">
        <f>+IFERROR(INDEX('DESEMPATE Y DISCAPACIDAD'!$D$3:$D$450,MATCH(C612,'DESEMPATE Y DISCAPACIDAD'!$C$3:$C$450,0)),"")</f>
        <v/>
      </c>
      <c r="E612" s="132" t="str">
        <f>IFERROR(IF(D612="","",IF(VLOOKUP(D612,'DESEMPATE Y DISCAPACIDAD'!D$3:$E$450,2,FALSE)=1,"N/A",IF(VLOOKUP(D612,'DESEMPATE Y DISCAPACIDAD'!D$3:$F$450,3,FALSE)="X","SI","NO"))),"")</f>
        <v/>
      </c>
      <c r="F612" s="133"/>
      <c r="G612" s="133"/>
      <c r="H612" s="133"/>
      <c r="I612" s="134"/>
      <c r="J612" s="133"/>
      <c r="K612" s="133"/>
      <c r="L612" s="133"/>
      <c r="M612" s="133"/>
      <c r="N612" s="133" t="str">
        <f t="shared" si="555"/>
        <v/>
      </c>
      <c r="O612" s="133" t="str">
        <f t="shared" si="561"/>
        <v/>
      </c>
      <c r="P612" s="133" t="str">
        <f t="shared" si="556"/>
        <v/>
      </c>
      <c r="Q612" s="133" t="str">
        <f t="shared" si="531"/>
        <v/>
      </c>
      <c r="R612" s="104"/>
      <c r="S612" s="135"/>
      <c r="T612" s="135"/>
      <c r="U612" s="133" t="str">
        <f t="shared" si="557"/>
        <v/>
      </c>
      <c r="V612" s="136" t="str">
        <f>IF(U612=2023,1160000,IFERROR(INDEX(SMMLV!$B$2:$B$101,MATCH(U612,SMMLV!$A$2:$A$101,0)),""))</f>
        <v/>
      </c>
      <c r="W612" s="136"/>
      <c r="X612" s="133"/>
      <c r="Y612" s="133"/>
      <c r="Z612" s="487"/>
      <c r="AA612" s="488"/>
      <c r="AB612" s="489"/>
      <c r="AC612" s="133" t="str">
        <f t="shared" si="558"/>
        <v/>
      </c>
      <c r="AD612" s="136" t="str">
        <f t="shared" si="532"/>
        <v/>
      </c>
      <c r="AE612" s="117" t="str">
        <f t="shared" si="547"/>
        <v/>
      </c>
      <c r="AF612" s="136" t="str">
        <f t="shared" si="533"/>
        <v/>
      </c>
      <c r="AG612" s="471"/>
      <c r="AH612" s="471"/>
      <c r="AI612" s="133" t="str">
        <f t="shared" si="534"/>
        <v/>
      </c>
      <c r="AJ612" s="471"/>
      <c r="AK612" s="471"/>
      <c r="AL612" s="473"/>
      <c r="AM612" s="497"/>
      <c r="AN612" s="133"/>
      <c r="AO612" s="491"/>
      <c r="AP612" s="133"/>
      <c r="AQ612" s="491"/>
      <c r="AR612" s="523"/>
      <c r="AS612" s="523"/>
      <c r="AT612" s="139"/>
      <c r="AU612" s="703"/>
      <c r="AV612" s="703"/>
      <c r="AW612" s="709"/>
      <c r="AX612" s="709"/>
      <c r="AY612" s="19"/>
      <c r="CB612" s="29" t="str">
        <f>IFERROR(IF(COUNTIF(AF603:AF612,"")=10,"",IF(COUNTIF(E603:E612,"N/A")&gt;0,IF(AF612&gt;=CMEMM1,AF612,0),"N/A")),"")</f>
        <v/>
      </c>
      <c r="CC612" s="4"/>
      <c r="CD612" s="4" t="str">
        <f>IFERROR(IF(COUNTIF(AF603:AF612,"")=10,"",IF(AF612="","",IF(AF612&gt;=CMEMM1,1,0))),"")</f>
        <v/>
      </c>
      <c r="CE612" s="4" t="str">
        <f>B603&amp;"-"&amp;10</f>
        <v>P61-10</v>
      </c>
      <c r="CF612" s="4" t="str">
        <f>IFERROR(INDEX('DESEMPATE Y DISCAPACIDAD'!$D$3:$D$450,MATCH(CE612,'DESEMPATE Y DISCAPACIDAD'!$C$3:$C$450,0)),"")</f>
        <v/>
      </c>
      <c r="CG612" s="4" t="str">
        <f>IF(OR(CE612="",CF612=""),"",SUMIF(D603:D612,CF612,CD603:CD612))</f>
        <v/>
      </c>
      <c r="CH612" s="4" t="str">
        <f t="shared" si="535"/>
        <v/>
      </c>
      <c r="CI612" s="4" t="str">
        <f t="shared" si="559"/>
        <v/>
      </c>
      <c r="CJ612" s="4"/>
      <c r="CK612" s="4"/>
      <c r="CL612" s="4" t="str">
        <f t="shared" si="536"/>
        <v/>
      </c>
      <c r="CM612" s="4" t="str">
        <f t="shared" si="537"/>
        <v/>
      </c>
      <c r="CN612" s="4" t="str">
        <f t="shared" si="560"/>
        <v/>
      </c>
      <c r="CO612" s="4"/>
      <c r="CP612" s="4"/>
      <c r="CQ612" s="29" t="str">
        <f t="shared" si="538"/>
        <v/>
      </c>
      <c r="CR612" s="29" t="str">
        <f t="shared" si="539"/>
        <v/>
      </c>
      <c r="CS612" s="4"/>
    </row>
    <row r="613" spans="1:97" ht="34.25" hidden="1" customHeight="1">
      <c r="A613" s="4" t="str">
        <f>"A"&amp;B613</f>
        <v>AP62</v>
      </c>
      <c r="B613" s="480" t="s">
        <v>592</v>
      </c>
      <c r="C613" s="108"/>
      <c r="D613" s="119" t="str">
        <f>+IFERROR(INDEX('DESEMPATE Y DISCAPACIDAD'!$D$3:$D$450,MATCH(C613,'DESEMPATE Y DISCAPACIDAD'!$C$3:$C$450,0)),"")</f>
        <v/>
      </c>
      <c r="E613" s="120" t="str">
        <f>IFERROR(IF(D613="","",IF(VLOOKUP(D613,'DESEMPATE Y DISCAPACIDAD'!D$3:$E$450,2,FALSE)=1,"N/A",IF(VLOOKUP(D613,'DESEMPATE Y DISCAPACIDAD'!D$3:$F$450,3,FALSE)="X","SI","NO"))),"")</f>
        <v/>
      </c>
      <c r="F613" s="125"/>
      <c r="G613" s="125"/>
      <c r="H613" s="121"/>
      <c r="I613" s="122"/>
      <c r="J613" s="121"/>
      <c r="K613" s="121"/>
      <c r="L613" s="179"/>
      <c r="M613" s="121"/>
      <c r="N613" s="121" t="str">
        <f>IFERROR(IF(OR(J613="",K613=""),"",IF(J613="NO","NO",K613)),"")</f>
        <v/>
      </c>
      <c r="O613" s="121" t="str">
        <f>IFERROR(IF(OR(J613="",L613=""),"",IF(J613="NO","NO",L613)),"")</f>
        <v/>
      </c>
      <c r="P613" s="121" t="str">
        <f>IFERROR(IF(OR(J613="",M613=""),"",IF(J613="NO","NO",M613)),"")</f>
        <v/>
      </c>
      <c r="Q613" s="121" t="str">
        <f t="shared" si="531"/>
        <v/>
      </c>
      <c r="R613" s="103"/>
      <c r="S613" s="123"/>
      <c r="T613" s="123"/>
      <c r="U613" s="121" t="str">
        <f>IFERROR(IF(T613="","",YEAR(T613)),"")</f>
        <v/>
      </c>
      <c r="V613" s="124" t="str">
        <f>IF(U613=2023,1160000,IFERROR(INDEX(SMMLV!$B$2:$B$101,MATCH(U613,SMMLV!$A$2:$A$101,0)),""))</f>
        <v/>
      </c>
      <c r="W613" s="124"/>
      <c r="X613" s="121"/>
      <c r="Y613" s="121"/>
      <c r="Z613" s="483"/>
      <c r="AA613" s="484"/>
      <c r="AB613" s="485"/>
      <c r="AC613" s="121" t="str">
        <f>IFERROR(IF(Y613="","",IF(ISNUMBER(Y613),IF(COUNTIF(Z613,"SI")&gt;0,"SI","NO"),Y613)),"")</f>
        <v/>
      </c>
      <c r="AD613" s="124" t="str">
        <f t="shared" si="532"/>
        <v/>
      </c>
      <c r="AE613" s="117" t="str">
        <f t="shared" si="547"/>
        <v/>
      </c>
      <c r="AF613" s="124" t="str">
        <f t="shared" si="533"/>
        <v/>
      </c>
      <c r="AG613" s="486" t="str">
        <f>IFERROR(IF(COUNTIF(AF613:AF622,"")=10,"",IF(COUNTIF(E613:E622,"N/A")&gt;0,IF(SUM(CB613:CB622)&gt;=CMEM1,"CUMPLE","NO CUMPLE"),IF(SUM(AF613:AF622)&gt;=CMEM1,"CUMPLE","NO CUMPLE"))),"")</f>
        <v/>
      </c>
      <c r="AH613" s="486" t="str">
        <f>IF(COUNTIF(AF613:AF622,"")=10,"",IF(SUMIF(C613:C622,C613,AF613:AF622)&gt;=CMLM1,"CUMPLE",IF(SUMIF(C613:C622,C614,AF613:AF622)&gt;=CMLM1,"CUMPLE",IF(SUMIF(C613:C622,C615,AF613:AF622)&gt;=CMLM1,"CUMPLE",IF(SUMIF(C613:C622,C616,AF613:AF622)&gt;=CMLM1,"CUMPLE",IF(SUMIF(C613:C622,C617,AF613:AF622)&gt;=CMLM1,"CUMPLE",IF(SUMIF(C613:C622,C618,AF613:AF622)&gt;=CMLM1,"CUMPLE",IF(SUMIF(C613:C622,C619,AF613:AF622)&gt;=CMLM1,"CUMPLE",IF(SUMIF(C613:C622,C620,AF613:AF622)&gt;=CMLM1,"CUMPLE",IF(SUMIF(C613:C622,C621,AF613:AF622)&gt;=CMLM1,"CUMPLE",IF(SUMIF(C613:C622,C622,AF613:AF622)&gt;=CMLM1,"CUMPLE","NO CUMPLE")))))))))))</f>
        <v/>
      </c>
      <c r="AI613" s="121" t="str">
        <f t="shared" si="534"/>
        <v/>
      </c>
      <c r="AJ613" s="469" t="str">
        <f>IFERROR(IF(COUNTIF(AF613:AF622,"")=10,"",IF(COUNTIF(E613:E622,"N/A")&gt;0,"N/A",CJ613)),"")</f>
        <v/>
      </c>
      <c r="AK613" s="469" t="str">
        <f>IFERROR(IF(AND(COUNTIF(N613:N622,"SI")&gt;=1,COUNTIF(O613:O622,"SI")&gt;=1,COUNTIF(P613:P622,"SI")&gt;=1,COUNTIF(J613:J622,"SI")&lt;=10,CO613="CUMPLE"),"CUMPLE","NO CUMPLE"),"")</f>
        <v>NO CUMPLE</v>
      </c>
      <c r="AL613" s="472"/>
      <c r="AM613" s="495">
        <f>IFERROR(IF(B613&lt;&gt;"",IF(VLOOKUP(B613,'DESEMPATE Y DISCAPACIDAD'!$A$3:$Q$450,10,FALSE)="","",VLOOKUP(B613,'DESEMPATE Y DISCAPACIDAD'!$A$3:$Q$450,10,FALSE)+6),""),"")</f>
        <v>6</v>
      </c>
      <c r="AN613" s="121"/>
      <c r="AO613" s="490"/>
      <c r="AP613" s="121"/>
      <c r="AQ613" s="490" t="str">
        <f>IFERROR(IF(COUNTIF(AP613:AP622,"")=10,"",IF(AO613="NO",0,COUNTIF(AP613:AP622,"SI"))),"")</f>
        <v/>
      </c>
      <c r="AR613" s="521" t="str">
        <f>IFERROR(IF(COUNTIF(AF613:AF622,"")=10,"",IF(AO613="NO",0,IF(COUNTIF(E613:E622,"N/A")&gt;0,SUM(CQ613:CQ622),SUM(CR613:CR622)))),"")</f>
        <v/>
      </c>
      <c r="AS613" s="521" t="str">
        <f>IFERROR(IF(OR(COUNTIF(AF613:AF622,"")=10,AQ613="",AR613=""),"",IF(AO613="NO",0,AR613/AQ613)),"")</f>
        <v/>
      </c>
      <c r="AT613" s="137"/>
      <c r="AU613" s="701"/>
      <c r="AV613" s="701"/>
      <c r="AW613" s="707"/>
      <c r="AX613" s="707"/>
      <c r="AY613" s="19"/>
      <c r="CB613" s="29" t="str">
        <f>IFERROR(IF(COUNTIF(AF613:AF622,"")=10,"",IF(COUNTIF(E613:E622,"N/A")&gt;0,IF(AF613&gt;=CMEMM1,AF613,0),"N/A")),"")</f>
        <v/>
      </c>
      <c r="CC613" s="4"/>
      <c r="CD613" s="4" t="str">
        <f>IFERROR(IF(COUNTIF(AF613:AF622,"")=10,"",IF(AF613="","",IF(AF613&gt;=CMEMM1,1,0))),"")</f>
        <v/>
      </c>
      <c r="CE613" s="4" t="str">
        <f>B613&amp;"-0"&amp;1</f>
        <v>P62-01</v>
      </c>
      <c r="CF613" s="4">
        <f>IFERROR(INDEX('DESEMPATE Y DISCAPACIDAD'!$D$3:$D$450,MATCH(CE613,'DESEMPATE Y DISCAPACIDAD'!$C$3:$C$450,0)),"")</f>
        <v>0</v>
      </c>
      <c r="CG613" s="4">
        <f>IF(OR(CE613="",CF613=""),"",SUMIF(D613:D622,CF613,CD613:CD622))</f>
        <v>0</v>
      </c>
      <c r="CH613" s="4" t="str">
        <f t="shared" si="535"/>
        <v>NO CUMPLE</v>
      </c>
      <c r="CI613" s="4">
        <f>IF(CF613="","",IF(ISTEXT(CF613),1,0))</f>
        <v>0</v>
      </c>
      <c r="CJ613" s="4" t="str">
        <f>IF(OR(CE613="",CF613="",CG613="",CH613="",CI613=""),"",IF(COUNTIF(CH613:CH622,"CUMPLE")=COUNTIF(CI613:CI622,1),"CUMPLE","NO CUMPLE"))</f>
        <v>CUMPLE</v>
      </c>
      <c r="CK613" s="4"/>
      <c r="CL613" s="4" t="str">
        <f t="shared" si="536"/>
        <v/>
      </c>
      <c r="CM613" s="4" t="str">
        <f t="shared" si="537"/>
        <v/>
      </c>
      <c r="CN613" s="4" t="str">
        <f>IF(OR(CL613="",CM613=""),"",IF(AND(CL613=0,CM613=0),"N/A",IF(AND(CL613=1,CM613=0),"COND. A",IF(AND(CL613=0,CM613=1),"COND. B",IF(AND(CL613=1,CM613=1),"COND. A Y B","")))))</f>
        <v/>
      </c>
      <c r="CO613" s="4" t="str">
        <f>IF(COUNTIF(CN613:CN622,"N/A")=10,"NO CUMPLE",IF(COUNTIF(CN613:CN622,"COND. A Y B")&gt;1,"CUMPLE",IF(AND(COUNTIF(CN613:CN622,"COND. A")&gt;0,COUNTIF(CN613:CN622,"COND. B")&gt;0),"CUMPLE",IF(AND(COUNTIF(CN613:CN622,"COND. A Y B")&gt;0,COUNTIF(CN613:CN622,"COND. A")&gt;0),"CUMPLE",IF(AND(COUNTIF(CN613:CN622,"COND. A Y B")&gt;0,COUNTIF(CN613:CN622,"COND. B")&gt;0),"CUMPLE","NO CUMPLE")))))</f>
        <v>NO CUMPLE</v>
      </c>
      <c r="CP613" s="4"/>
      <c r="CQ613" s="29" t="str">
        <f t="shared" si="538"/>
        <v/>
      </c>
      <c r="CR613" s="29" t="str">
        <f t="shared" si="539"/>
        <v/>
      </c>
      <c r="CS613" s="4"/>
    </row>
    <row r="614" spans="1:97" ht="34.25" hidden="1" customHeight="1">
      <c r="B614" s="481"/>
      <c r="C614" s="118"/>
      <c r="D614" s="119" t="str">
        <f>+IFERROR(INDEX('DESEMPATE Y DISCAPACIDAD'!$D$3:$D$450,MATCH(C614,'DESEMPATE Y DISCAPACIDAD'!$C$3:$C$450,0)),"")</f>
        <v/>
      </c>
      <c r="E614" s="120" t="str">
        <f>IFERROR(IF(D614="","",IF(VLOOKUP(D614,'DESEMPATE Y DISCAPACIDAD'!D$3:$E$450,2,FALSE)=1,"N/A",IF(VLOOKUP(D614,'DESEMPATE Y DISCAPACIDAD'!D$3:$F$450,3,FALSE)="X","SI","NO"))),"")</f>
        <v/>
      </c>
      <c r="F614" s="125"/>
      <c r="G614" s="125"/>
      <c r="H614" s="121"/>
      <c r="I614" s="122"/>
      <c r="J614" s="121"/>
      <c r="K614" s="121"/>
      <c r="L614" s="179"/>
      <c r="M614" s="121"/>
      <c r="N614" s="121" t="str">
        <f t="shared" ref="N614:N622" si="562">IFERROR(IF(OR(J614="",K614=""),"",IF(J614="NO","NO",K614)),"")</f>
        <v/>
      </c>
      <c r="O614" s="121" t="str">
        <f>IFERROR(IF(OR(J614="",L614=""),"",IF(J614="NO","NO",L614)),"")</f>
        <v/>
      </c>
      <c r="P614" s="121" t="str">
        <f t="shared" ref="P614:P622" si="563">IFERROR(IF(OR(J614="",M614=""),"",IF(J614="NO","NO",M614)),"")</f>
        <v/>
      </c>
      <c r="Q614" s="121" t="str">
        <f t="shared" si="531"/>
        <v/>
      </c>
      <c r="R614" s="103"/>
      <c r="S614" s="123"/>
      <c r="T614" s="123"/>
      <c r="U614" s="121" t="str">
        <f t="shared" ref="U614:U622" si="564">IFERROR(IF(T614="","",YEAR(T614)),"")</f>
        <v/>
      </c>
      <c r="V614" s="124" t="str">
        <f>IF(U614=2023,1160000,IFERROR(INDEX(SMMLV!$B$2:$B$101,MATCH(U614,SMMLV!$A$2:$A$101,0)),""))</f>
        <v/>
      </c>
      <c r="W614" s="124"/>
      <c r="X614" s="125"/>
      <c r="Y614" s="125"/>
      <c r="Z614" s="474"/>
      <c r="AA614" s="475"/>
      <c r="AB614" s="476"/>
      <c r="AC614" s="125" t="str">
        <f t="shared" ref="AC614:AC622" si="565">IFERROR(IF(Y614="","",IF(ISNUMBER(Y614),IF(COUNTIF(Z614,"SI")&gt;0,"SI","NO"),Y614)),"")</f>
        <v/>
      </c>
      <c r="AD614" s="117" t="str">
        <f t="shared" si="532"/>
        <v/>
      </c>
      <c r="AE614" s="117" t="str">
        <f t="shared" si="547"/>
        <v/>
      </c>
      <c r="AF614" s="117" t="str">
        <f t="shared" si="533"/>
        <v/>
      </c>
      <c r="AG614" s="470"/>
      <c r="AH614" s="470"/>
      <c r="AI614" s="125" t="str">
        <f t="shared" si="534"/>
        <v/>
      </c>
      <c r="AJ614" s="470"/>
      <c r="AK614" s="470"/>
      <c r="AL614" s="472"/>
      <c r="AM614" s="496"/>
      <c r="AN614" s="125"/>
      <c r="AO614" s="490"/>
      <c r="AP614" s="125"/>
      <c r="AQ614" s="490"/>
      <c r="AR614" s="522"/>
      <c r="AS614" s="522"/>
      <c r="AT614" s="138"/>
      <c r="AU614" s="702"/>
      <c r="AV614" s="702"/>
      <c r="AW614" s="708"/>
      <c r="AX614" s="708"/>
      <c r="AY614" s="19"/>
      <c r="CB614" s="29" t="str">
        <f>IFERROR(IF(COUNTIF(AF613:AF622,"")=10,"",IF(COUNTIF(E613:E622,"N/A")&gt;0,IF(AF614&gt;=CMEMM1,AF614,0),"N/A")),"")</f>
        <v/>
      </c>
      <c r="CC614" s="4"/>
      <c r="CD614" s="4" t="str">
        <f>IFERROR(IF(COUNTIF(AF613:AF622,"")=10,"",IF(AF614="","",IF(AF614&gt;=CMEMM1,1,0))),"")</f>
        <v/>
      </c>
      <c r="CE614" s="4" t="str">
        <f>B613&amp;"-0"&amp;2</f>
        <v>P62-02</v>
      </c>
      <c r="CF614" s="4">
        <f>IFERROR(INDEX('DESEMPATE Y DISCAPACIDAD'!$D$3:$D$450,MATCH(CE614,'DESEMPATE Y DISCAPACIDAD'!$C$3:$C$450,0)),"")</f>
        <v>0</v>
      </c>
      <c r="CG614" s="4">
        <f>IF(OR(CE614="",CF614=""),"",SUMIF(D613:D622,CF614,CD613:CD622))</f>
        <v>0</v>
      </c>
      <c r="CH614" s="4" t="str">
        <f t="shared" si="535"/>
        <v>NO CUMPLE</v>
      </c>
      <c r="CI614" s="4">
        <f t="shared" ref="CI614:CI622" si="566">IF(CF614="","",IF(ISTEXT(CF614),1,0))</f>
        <v>0</v>
      </c>
      <c r="CJ614" s="4"/>
      <c r="CK614" s="4"/>
      <c r="CL614" s="4" t="str">
        <f t="shared" si="536"/>
        <v/>
      </c>
      <c r="CM614" s="4" t="str">
        <f t="shared" si="537"/>
        <v/>
      </c>
      <c r="CN614" s="4" t="str">
        <f t="shared" ref="CN614:CN622" si="567">IF(OR(CL614="",CM614=""),"",IF(AND(CL614=0,CM614=0),"N/A",IF(AND(CL614=1,CM614=0),"COND. A",IF(AND(CL614=0,CM614=1),"COND. B",IF(AND(CL614=1,CM614=1),"COND. A Y B","")))))</f>
        <v/>
      </c>
      <c r="CO614" s="4"/>
      <c r="CP614" s="4"/>
      <c r="CQ614" s="29" t="str">
        <f t="shared" si="538"/>
        <v/>
      </c>
      <c r="CR614" s="29" t="str">
        <f t="shared" si="539"/>
        <v/>
      </c>
      <c r="CS614" s="4"/>
    </row>
    <row r="615" spans="1:97" ht="34.25" hidden="1" customHeight="1">
      <c r="B615" s="481"/>
      <c r="C615" s="118"/>
      <c r="D615" s="126" t="str">
        <f>+IFERROR(INDEX('DESEMPATE Y DISCAPACIDAD'!$D$3:$D$450,MATCH(C615,'DESEMPATE Y DISCAPACIDAD'!$C$3:$C$450,0)),"")</f>
        <v/>
      </c>
      <c r="E615" s="127" t="str">
        <f>IFERROR(IF(D615="","",IF(VLOOKUP(D615,'DESEMPATE Y DISCAPACIDAD'!D$3:$E$450,2,FALSE)=1,"N/A",IF(VLOOKUP(D615,'DESEMPATE Y DISCAPACIDAD'!D$3:$F$450,3,FALSE)="X","SI","NO"))),"")</f>
        <v/>
      </c>
      <c r="F615" s="121"/>
      <c r="G615" s="121"/>
      <c r="H615" s="125"/>
      <c r="I615" s="128"/>
      <c r="J615" s="125"/>
      <c r="K615" s="125"/>
      <c r="L615" s="3"/>
      <c r="M615" s="3"/>
      <c r="N615" s="125" t="str">
        <f t="shared" si="562"/>
        <v/>
      </c>
      <c r="O615" s="125" t="str">
        <f>IFERROR(IF(OR(J615="",L615=""),"",IF(J615="NO","NO",L615)),"")</f>
        <v/>
      </c>
      <c r="P615" s="125" t="str">
        <f t="shared" si="563"/>
        <v/>
      </c>
      <c r="Q615" s="125" t="str">
        <f t="shared" si="531"/>
        <v/>
      </c>
      <c r="R615" s="68"/>
      <c r="S615" s="129"/>
      <c r="T615" s="129"/>
      <c r="U615" s="125" t="str">
        <f t="shared" si="564"/>
        <v/>
      </c>
      <c r="V615" s="117" t="str">
        <f>IF(U615=2023,1160000,IFERROR(INDEX(SMMLV!$B$2:$B$101,MATCH(U615,SMMLV!$A$2:$A$101,0)),""))</f>
        <v/>
      </c>
      <c r="W615" s="117"/>
      <c r="X615" s="125"/>
      <c r="Y615" s="125"/>
      <c r="Z615" s="474"/>
      <c r="AA615" s="475"/>
      <c r="AB615" s="476"/>
      <c r="AC615" s="125" t="str">
        <f t="shared" si="565"/>
        <v/>
      </c>
      <c r="AD615" s="117" t="str">
        <f t="shared" si="532"/>
        <v/>
      </c>
      <c r="AE615" s="117" t="str">
        <f t="shared" si="547"/>
        <v/>
      </c>
      <c r="AF615" s="117" t="str">
        <f t="shared" si="533"/>
        <v/>
      </c>
      <c r="AG615" s="470"/>
      <c r="AH615" s="470"/>
      <c r="AI615" s="125" t="str">
        <f t="shared" si="534"/>
        <v/>
      </c>
      <c r="AJ615" s="470"/>
      <c r="AK615" s="470"/>
      <c r="AL615" s="472"/>
      <c r="AM615" s="496"/>
      <c r="AN615" s="125"/>
      <c r="AO615" s="490"/>
      <c r="AP615" s="125"/>
      <c r="AQ615" s="490"/>
      <c r="AR615" s="522"/>
      <c r="AS615" s="522"/>
      <c r="AT615" s="138"/>
      <c r="AU615" s="702"/>
      <c r="AV615" s="702"/>
      <c r="AW615" s="708"/>
      <c r="AX615" s="708"/>
      <c r="AY615" s="19"/>
      <c r="CB615" s="29" t="str">
        <f>IFERROR(IF(COUNTIF(AF613:AF622,"")=10,"",IF(COUNTIF(E613:E622,"N/A")&gt;0,IF(AF615&gt;=CMEMM1,AF615,0),"N/A")),"")</f>
        <v/>
      </c>
      <c r="CC615" s="4"/>
      <c r="CD615" s="4" t="str">
        <f>IFERROR(IF(COUNTIF(AF613:AF622,"")=10,"",IF(AF615="","",IF(AF615&gt;=CMEMM1,1,0))),"")</f>
        <v/>
      </c>
      <c r="CE615" s="4" t="str">
        <f>B613&amp;"-0"&amp;3</f>
        <v>P62-03</v>
      </c>
      <c r="CF615" s="4">
        <f>IFERROR(INDEX('DESEMPATE Y DISCAPACIDAD'!$D$3:$D$450,MATCH(CE615,'DESEMPATE Y DISCAPACIDAD'!$C$3:$C$450,0)),"")</f>
        <v>0</v>
      </c>
      <c r="CG615" s="4">
        <f>IF(OR(CE615="",CF615=""),"",SUMIF(D613:D622,CF615,CD613:CD622))</f>
        <v>0</v>
      </c>
      <c r="CH615" s="4" t="str">
        <f t="shared" si="535"/>
        <v>NO CUMPLE</v>
      </c>
      <c r="CI615" s="4">
        <f t="shared" si="566"/>
        <v>0</v>
      </c>
      <c r="CJ615" s="4"/>
      <c r="CK615" s="4"/>
      <c r="CL615" s="4" t="str">
        <f t="shared" si="536"/>
        <v/>
      </c>
      <c r="CM615" s="4" t="str">
        <f t="shared" si="537"/>
        <v/>
      </c>
      <c r="CN615" s="4" t="str">
        <f t="shared" si="567"/>
        <v/>
      </c>
      <c r="CO615" s="4"/>
      <c r="CP615" s="4"/>
      <c r="CQ615" s="29" t="str">
        <f t="shared" si="538"/>
        <v/>
      </c>
      <c r="CR615" s="29" t="str">
        <f t="shared" si="539"/>
        <v/>
      </c>
      <c r="CS615" s="4"/>
    </row>
    <row r="616" spans="1:97" ht="34.25" hidden="1" customHeight="1">
      <c r="B616" s="481"/>
      <c r="C616" s="118"/>
      <c r="D616" s="126" t="str">
        <f>+IFERROR(INDEX('DESEMPATE Y DISCAPACIDAD'!$D$3:$D$450,MATCH(C616,'DESEMPATE Y DISCAPACIDAD'!$C$3:$C$450,0)),"")</f>
        <v/>
      </c>
      <c r="E616" s="127" t="str">
        <f>IFERROR(IF(D616="","",IF(VLOOKUP(D616,'DESEMPATE Y DISCAPACIDAD'!D$3:$E$450,2,FALSE)=1,"N/A",IF(VLOOKUP(D616,'DESEMPATE Y DISCAPACIDAD'!D$3:$F$450,3,FALSE)="X","SI","NO"))),"")</f>
        <v/>
      </c>
      <c r="F616" s="141"/>
      <c r="G616" s="125"/>
      <c r="H616" s="125"/>
      <c r="I616" s="128"/>
      <c r="J616" s="125"/>
      <c r="K616" s="125"/>
      <c r="L616" s="3"/>
      <c r="M616" s="125"/>
      <c r="N616" s="125" t="str">
        <f t="shared" si="562"/>
        <v/>
      </c>
      <c r="O616" s="125" t="str">
        <f>IFERROR(IF(OR(J616="",L616=""),"",IF(J616="NO","NO",L616)),"")</f>
        <v/>
      </c>
      <c r="P616" s="125" t="str">
        <f t="shared" si="563"/>
        <v/>
      </c>
      <c r="Q616" s="125" t="str">
        <f t="shared" si="531"/>
        <v/>
      </c>
      <c r="R616" s="68"/>
      <c r="S616" s="129"/>
      <c r="T616" s="129"/>
      <c r="U616" s="125" t="str">
        <f t="shared" si="564"/>
        <v/>
      </c>
      <c r="V616" s="117" t="str">
        <f>IF(U616=2023,1160000,IFERROR(INDEX(SMMLV!$B$2:$B$101,MATCH(U616,SMMLV!$A$2:$A$101,0)),""))</f>
        <v/>
      </c>
      <c r="W616" s="117"/>
      <c r="X616" s="125"/>
      <c r="Y616" s="125"/>
      <c r="Z616" s="474"/>
      <c r="AA616" s="475"/>
      <c r="AB616" s="476"/>
      <c r="AC616" s="125" t="str">
        <f t="shared" si="565"/>
        <v/>
      </c>
      <c r="AD616" s="117" t="str">
        <f t="shared" si="532"/>
        <v/>
      </c>
      <c r="AE616" s="117" t="str">
        <f t="shared" si="547"/>
        <v/>
      </c>
      <c r="AF616" s="117" t="str">
        <f t="shared" si="533"/>
        <v/>
      </c>
      <c r="AG616" s="470"/>
      <c r="AH616" s="470"/>
      <c r="AI616" s="125" t="str">
        <f t="shared" si="534"/>
        <v/>
      </c>
      <c r="AJ616" s="470"/>
      <c r="AK616" s="470"/>
      <c r="AL616" s="472"/>
      <c r="AM616" s="496"/>
      <c r="AN616" s="125"/>
      <c r="AO616" s="490"/>
      <c r="AP616" s="125"/>
      <c r="AQ616" s="490"/>
      <c r="AR616" s="522"/>
      <c r="AS616" s="522"/>
      <c r="AT616" s="138"/>
      <c r="AU616" s="702"/>
      <c r="AV616" s="702"/>
      <c r="AW616" s="708"/>
      <c r="AX616" s="708"/>
      <c r="AY616" s="19"/>
      <c r="CB616" s="29" t="str">
        <f>IFERROR(IF(COUNTIF(AF613:AF622,"")=10,"",IF(COUNTIF(E613:E622,"N/A")&gt;0,IF(AF616&gt;=CMEMM1,AF616,0),"N/A")),"")</f>
        <v/>
      </c>
      <c r="CC616" s="4"/>
      <c r="CD616" s="4" t="str">
        <f>IFERROR(IF(COUNTIF(AF613:AF622,"")=10,"",IF(AF616="","",IF(AF616&gt;=CMEMM1,1,0))),"")</f>
        <v/>
      </c>
      <c r="CE616" s="4" t="str">
        <f>B613&amp;"-0"&amp;4</f>
        <v>P62-04</v>
      </c>
      <c r="CF616" s="4">
        <f>IFERROR(INDEX('DESEMPATE Y DISCAPACIDAD'!$D$3:$D$450,MATCH(CE616,'DESEMPATE Y DISCAPACIDAD'!$C$3:$C$450,0)),"")</f>
        <v>0</v>
      </c>
      <c r="CG616" s="4">
        <f>IF(OR(CE616="",CF616=""),"",SUMIF(D613:D622,CF616,CD613:CD622))</f>
        <v>0</v>
      </c>
      <c r="CH616" s="4" t="str">
        <f t="shared" si="535"/>
        <v>NO CUMPLE</v>
      </c>
      <c r="CI616" s="4">
        <f t="shared" si="566"/>
        <v>0</v>
      </c>
      <c r="CJ616" s="4"/>
      <c r="CK616" s="4"/>
      <c r="CL616" s="4" t="str">
        <f t="shared" si="536"/>
        <v/>
      </c>
      <c r="CM616" s="4" t="str">
        <f t="shared" si="537"/>
        <v/>
      </c>
      <c r="CN616" s="4" t="str">
        <f t="shared" si="567"/>
        <v/>
      </c>
      <c r="CO616" s="4"/>
      <c r="CP616" s="4"/>
      <c r="CQ616" s="29" t="str">
        <f t="shared" si="538"/>
        <v/>
      </c>
      <c r="CR616" s="29" t="str">
        <f t="shared" si="539"/>
        <v/>
      </c>
      <c r="CS616" s="4"/>
    </row>
    <row r="617" spans="1:97" ht="34.25" hidden="1" customHeight="1">
      <c r="B617" s="481"/>
      <c r="C617" s="118"/>
      <c r="D617" s="126" t="str">
        <f>+IFERROR(INDEX('DESEMPATE Y DISCAPACIDAD'!$D$3:$D$450,MATCH(C617,'DESEMPATE Y DISCAPACIDAD'!$C$3:$C$450,0)),"")</f>
        <v/>
      </c>
      <c r="E617" s="127" t="str">
        <f>IFERROR(IF(D617="","",IF(VLOOKUP(D617,'DESEMPATE Y DISCAPACIDAD'!D$3:$E$450,2,FALSE)=1,"N/A",IF(VLOOKUP(D617,'DESEMPATE Y DISCAPACIDAD'!D$3:$F$450,3,FALSE)="X","SI","NO"))),"")</f>
        <v/>
      </c>
      <c r="F617" s="125"/>
      <c r="G617" s="125"/>
      <c r="H617" s="125"/>
      <c r="I617" s="128"/>
      <c r="J617" s="125"/>
      <c r="K617" s="125"/>
      <c r="L617" s="125"/>
      <c r="M617" s="125"/>
      <c r="N617" s="125" t="str">
        <f t="shared" si="562"/>
        <v/>
      </c>
      <c r="O617" s="125" t="str">
        <f t="shared" ref="O617:O622" si="568">IFERROR(IF(OR(J617="",L617=""),"",IF(J617="NO","NO",L617)),"")</f>
        <v/>
      </c>
      <c r="P617" s="125" t="str">
        <f t="shared" si="563"/>
        <v/>
      </c>
      <c r="Q617" s="125" t="str">
        <f t="shared" si="531"/>
        <v/>
      </c>
      <c r="R617" s="68"/>
      <c r="S617" s="129"/>
      <c r="T617" s="129"/>
      <c r="U617" s="125" t="str">
        <f t="shared" si="564"/>
        <v/>
      </c>
      <c r="V617" s="117" t="str">
        <f>IF(U617=2023,1160000,IFERROR(INDEX(SMMLV!$B$2:$B$101,MATCH(U617,SMMLV!$A$2:$A$101,0)),""))</f>
        <v/>
      </c>
      <c r="W617" s="117"/>
      <c r="X617" s="125"/>
      <c r="Y617" s="125"/>
      <c r="Z617" s="474"/>
      <c r="AA617" s="475"/>
      <c r="AB617" s="476"/>
      <c r="AC617" s="125" t="str">
        <f t="shared" si="565"/>
        <v/>
      </c>
      <c r="AD617" s="117" t="str">
        <f t="shared" si="532"/>
        <v/>
      </c>
      <c r="AE617" s="117" t="str">
        <f t="shared" si="547"/>
        <v/>
      </c>
      <c r="AF617" s="117" t="str">
        <f t="shared" si="533"/>
        <v/>
      </c>
      <c r="AG617" s="470"/>
      <c r="AH617" s="470"/>
      <c r="AI617" s="125" t="str">
        <f t="shared" si="534"/>
        <v/>
      </c>
      <c r="AJ617" s="470"/>
      <c r="AK617" s="470"/>
      <c r="AL617" s="472"/>
      <c r="AM617" s="496"/>
      <c r="AN617" s="125"/>
      <c r="AO617" s="490"/>
      <c r="AP617" s="125"/>
      <c r="AQ617" s="490"/>
      <c r="AR617" s="522"/>
      <c r="AS617" s="522"/>
      <c r="AT617" s="138"/>
      <c r="AU617" s="702"/>
      <c r="AV617" s="702"/>
      <c r="AW617" s="708"/>
      <c r="AX617" s="708"/>
      <c r="AY617" s="19"/>
      <c r="CB617" s="29" t="str">
        <f>IFERROR(IF(COUNTIF(AF613:AF622,"")=10,"",IF(COUNTIF(E613:E622,"N/A")&gt;0,IF(AF617&gt;=CMEMM1,AF617,0),"N/A")),"")</f>
        <v/>
      </c>
      <c r="CC617" s="4"/>
      <c r="CD617" s="4" t="str">
        <f>IFERROR(IF(COUNTIF(AF613:AF622,"")=10,"",IF(AF617="","",IF(AF617&gt;=CMEMM1,1,0))),"")</f>
        <v/>
      </c>
      <c r="CE617" s="4" t="str">
        <f>B613&amp;"-0"&amp;5</f>
        <v>P62-05</v>
      </c>
      <c r="CF617" s="4">
        <f>IFERROR(INDEX('DESEMPATE Y DISCAPACIDAD'!$D$3:$D$450,MATCH(CE617,'DESEMPATE Y DISCAPACIDAD'!$C$3:$C$450,0)),"")</f>
        <v>0</v>
      </c>
      <c r="CG617" s="4">
        <f>IF(OR(CE617="",CF617=""),"",SUMIF(D613:D622,CF617,CD613:CD622))</f>
        <v>0</v>
      </c>
      <c r="CH617" s="4" t="str">
        <f t="shared" si="535"/>
        <v>NO CUMPLE</v>
      </c>
      <c r="CI617" s="4">
        <f t="shared" si="566"/>
        <v>0</v>
      </c>
      <c r="CJ617" s="4"/>
      <c r="CK617" s="4"/>
      <c r="CL617" s="4" t="str">
        <f t="shared" si="536"/>
        <v/>
      </c>
      <c r="CM617" s="4" t="str">
        <f t="shared" si="537"/>
        <v/>
      </c>
      <c r="CN617" s="4" t="str">
        <f t="shared" si="567"/>
        <v/>
      </c>
      <c r="CO617" s="4"/>
      <c r="CP617" s="4"/>
      <c r="CQ617" s="29" t="str">
        <f t="shared" si="538"/>
        <v/>
      </c>
      <c r="CR617" s="29" t="str">
        <f t="shared" si="539"/>
        <v/>
      </c>
      <c r="CS617" s="4"/>
    </row>
    <row r="618" spans="1:97" ht="34.25" hidden="1" customHeight="1">
      <c r="B618" s="481"/>
      <c r="C618" s="118"/>
      <c r="D618" s="126" t="str">
        <f>+IFERROR(INDEX('DESEMPATE Y DISCAPACIDAD'!$D$3:$D$450,MATCH(C618,'DESEMPATE Y DISCAPACIDAD'!$C$3:$C$450,0)),"")</f>
        <v/>
      </c>
      <c r="E618" s="127" t="str">
        <f>IFERROR(IF(D618="","",IF(VLOOKUP(D618,'DESEMPATE Y DISCAPACIDAD'!D$3:$E$450,2,FALSE)=1,"N/A",IF(VLOOKUP(D618,'DESEMPATE Y DISCAPACIDAD'!D$3:$F$450,3,FALSE)="X","SI","NO"))),"")</f>
        <v/>
      </c>
      <c r="F618" s="125"/>
      <c r="G618" s="125"/>
      <c r="H618" s="125"/>
      <c r="I618" s="128"/>
      <c r="J618" s="125"/>
      <c r="K618" s="125"/>
      <c r="L618" s="125"/>
      <c r="M618" s="125"/>
      <c r="N618" s="125" t="str">
        <f t="shared" si="562"/>
        <v/>
      </c>
      <c r="O618" s="125" t="str">
        <f t="shared" si="568"/>
        <v/>
      </c>
      <c r="P618" s="125" t="str">
        <f t="shared" si="563"/>
        <v/>
      </c>
      <c r="Q618" s="125" t="str">
        <f t="shared" si="531"/>
        <v/>
      </c>
      <c r="R618" s="68"/>
      <c r="S618" s="129"/>
      <c r="T618" s="129"/>
      <c r="U618" s="125" t="str">
        <f t="shared" si="564"/>
        <v/>
      </c>
      <c r="V618" s="117" t="str">
        <f>IF(U618=2023,1160000,IFERROR(INDEX(SMMLV!$B$2:$B$101,MATCH(U618,SMMLV!$A$2:$A$101,0)),""))</f>
        <v/>
      </c>
      <c r="W618" s="117"/>
      <c r="X618" s="125"/>
      <c r="Y618" s="125"/>
      <c r="Z618" s="474"/>
      <c r="AA618" s="475"/>
      <c r="AB618" s="476"/>
      <c r="AC618" s="125" t="str">
        <f t="shared" si="565"/>
        <v/>
      </c>
      <c r="AD618" s="117" t="str">
        <f t="shared" si="532"/>
        <v/>
      </c>
      <c r="AE618" s="117" t="str">
        <f t="shared" si="547"/>
        <v/>
      </c>
      <c r="AF618" s="117" t="str">
        <f t="shared" si="533"/>
        <v/>
      </c>
      <c r="AG618" s="470"/>
      <c r="AH618" s="470"/>
      <c r="AI618" s="125" t="str">
        <f t="shared" si="534"/>
        <v/>
      </c>
      <c r="AJ618" s="470"/>
      <c r="AK618" s="470"/>
      <c r="AL618" s="472"/>
      <c r="AM618" s="496"/>
      <c r="AN618" s="125"/>
      <c r="AO618" s="490"/>
      <c r="AP618" s="125"/>
      <c r="AQ618" s="490"/>
      <c r="AR618" s="522"/>
      <c r="AS618" s="522"/>
      <c r="AT618" s="138"/>
      <c r="AU618" s="702"/>
      <c r="AV618" s="702"/>
      <c r="AW618" s="708"/>
      <c r="AX618" s="708"/>
      <c r="AY618" s="19"/>
      <c r="CB618" s="29" t="str">
        <f>IFERROR(IF(COUNTIF(AF613:AF622,"")=10,"",IF(COUNTIF(E613:E622,"N/A")&gt;0,IF(AF618&gt;=CMEMM1,AF618,0),"N/A")),"")</f>
        <v/>
      </c>
      <c r="CC618" s="4"/>
      <c r="CD618" s="4" t="str">
        <f>IFERROR(IF(COUNTIF(AF613:AF622,"")=10,"",IF(AF618="","",IF(AF618&gt;=CMEMM1,1,0))),"")</f>
        <v/>
      </c>
      <c r="CE618" s="4" t="str">
        <f>B613&amp;"-0"&amp;6</f>
        <v>P62-06</v>
      </c>
      <c r="CF618" s="4">
        <f>IFERROR(INDEX('DESEMPATE Y DISCAPACIDAD'!$D$3:$D$450,MATCH(CE618,'DESEMPATE Y DISCAPACIDAD'!$C$3:$C$450,0)),"")</f>
        <v>0</v>
      </c>
      <c r="CG618" s="4">
        <f>IF(OR(CE618="",CF618=""),"",SUMIF(D613:D622,CF618,CD613:CD622))</f>
        <v>0</v>
      </c>
      <c r="CH618" s="4" t="str">
        <f t="shared" si="535"/>
        <v>NO CUMPLE</v>
      </c>
      <c r="CI618" s="4">
        <f t="shared" si="566"/>
        <v>0</v>
      </c>
      <c r="CJ618" s="4"/>
      <c r="CK618" s="4"/>
      <c r="CL618" s="4" t="str">
        <f t="shared" si="536"/>
        <v/>
      </c>
      <c r="CM618" s="4" t="str">
        <f t="shared" si="537"/>
        <v/>
      </c>
      <c r="CN618" s="4" t="str">
        <f t="shared" si="567"/>
        <v/>
      </c>
      <c r="CO618" s="4"/>
      <c r="CP618" s="4"/>
      <c r="CQ618" s="29" t="str">
        <f t="shared" si="538"/>
        <v/>
      </c>
      <c r="CR618" s="29" t="str">
        <f t="shared" si="539"/>
        <v/>
      </c>
      <c r="CS618" s="4"/>
    </row>
    <row r="619" spans="1:97" ht="34.25" hidden="1" customHeight="1">
      <c r="B619" s="481"/>
      <c r="C619" s="118"/>
      <c r="D619" s="126" t="str">
        <f>+IFERROR(INDEX('DESEMPATE Y DISCAPACIDAD'!$D$3:$D$450,MATCH(C619,'DESEMPATE Y DISCAPACIDAD'!$C$3:$C$450,0)),"")</f>
        <v/>
      </c>
      <c r="E619" s="127" t="str">
        <f>IFERROR(IF(D619="","",IF(VLOOKUP(D619,'DESEMPATE Y DISCAPACIDAD'!D$3:$E$450,2,FALSE)=1,"N/A",IF(VLOOKUP(D619,'DESEMPATE Y DISCAPACIDAD'!D$3:$F$450,3,FALSE)="X","SI","NO"))),"")</f>
        <v/>
      </c>
      <c r="F619" s="125"/>
      <c r="G619" s="125"/>
      <c r="H619" s="125"/>
      <c r="I619" s="128"/>
      <c r="J619" s="125"/>
      <c r="K619" s="125"/>
      <c r="L619" s="125"/>
      <c r="M619" s="125"/>
      <c r="N619" s="125" t="str">
        <f t="shared" si="562"/>
        <v/>
      </c>
      <c r="O619" s="125" t="str">
        <f t="shared" si="568"/>
        <v/>
      </c>
      <c r="P619" s="125" t="str">
        <f t="shared" si="563"/>
        <v/>
      </c>
      <c r="Q619" s="125" t="str">
        <f t="shared" si="531"/>
        <v/>
      </c>
      <c r="R619" s="68"/>
      <c r="S619" s="129"/>
      <c r="T619" s="129"/>
      <c r="U619" s="125" t="str">
        <f t="shared" si="564"/>
        <v/>
      </c>
      <c r="V619" s="117" t="str">
        <f>IF(U619=2023,1160000,IFERROR(INDEX(SMMLV!$B$2:$B$101,MATCH(U619,SMMLV!$A$2:$A$101,0)),""))</f>
        <v/>
      </c>
      <c r="W619" s="117"/>
      <c r="X619" s="125"/>
      <c r="Y619" s="125"/>
      <c r="Z619" s="474"/>
      <c r="AA619" s="475"/>
      <c r="AB619" s="476"/>
      <c r="AC619" s="125" t="str">
        <f t="shared" si="565"/>
        <v/>
      </c>
      <c r="AD619" s="117" t="str">
        <f t="shared" si="532"/>
        <v/>
      </c>
      <c r="AE619" s="117" t="str">
        <f t="shared" si="547"/>
        <v/>
      </c>
      <c r="AF619" s="117" t="str">
        <f t="shared" si="533"/>
        <v/>
      </c>
      <c r="AG619" s="470"/>
      <c r="AH619" s="470"/>
      <c r="AI619" s="125" t="str">
        <f t="shared" si="534"/>
        <v/>
      </c>
      <c r="AJ619" s="470"/>
      <c r="AK619" s="470"/>
      <c r="AL619" s="472"/>
      <c r="AM619" s="496"/>
      <c r="AN619" s="125"/>
      <c r="AO619" s="490"/>
      <c r="AP619" s="125"/>
      <c r="AQ619" s="490"/>
      <c r="AR619" s="522"/>
      <c r="AS619" s="522"/>
      <c r="AT619" s="138"/>
      <c r="AU619" s="702"/>
      <c r="AV619" s="702"/>
      <c r="AW619" s="708"/>
      <c r="AX619" s="708"/>
      <c r="AY619" s="19"/>
      <c r="CB619" s="29" t="str">
        <f>IFERROR(IF(COUNTIF(AF613:AF622,"")=10,"",IF(COUNTIF(E613:E622,"N/A")&gt;0,IF(AF619&gt;=CMEMM1,AF619,0),"N/A")),"")</f>
        <v/>
      </c>
      <c r="CC619" s="4"/>
      <c r="CD619" s="4" t="str">
        <f>IFERROR(IF(COUNTIF(AF613:AF622,"")=10,"",IF(AF619="","",IF(AF619&gt;=CMEMM1,1,0))),"")</f>
        <v/>
      </c>
      <c r="CE619" s="4" t="str">
        <f>B613&amp;"-0"&amp;7</f>
        <v>P62-07</v>
      </c>
      <c r="CF619" s="4" t="str">
        <f>IFERROR(INDEX('DESEMPATE Y DISCAPACIDAD'!$D$3:$D$450,MATCH(CE619,'DESEMPATE Y DISCAPACIDAD'!$C$3:$C$450,0)),"")</f>
        <v/>
      </c>
      <c r="CG619" s="4" t="str">
        <f>IF(OR(CE619="",CF619=""),"",SUMIF(D613:D622,CF619,CD613:CD622))</f>
        <v/>
      </c>
      <c r="CH619" s="4" t="str">
        <f t="shared" si="535"/>
        <v/>
      </c>
      <c r="CI619" s="4" t="str">
        <f t="shared" si="566"/>
        <v/>
      </c>
      <c r="CJ619" s="4"/>
      <c r="CK619" s="4"/>
      <c r="CL619" s="4" t="str">
        <f t="shared" si="536"/>
        <v/>
      </c>
      <c r="CM619" s="4" t="str">
        <f t="shared" si="537"/>
        <v/>
      </c>
      <c r="CN619" s="4" t="str">
        <f t="shared" si="567"/>
        <v/>
      </c>
      <c r="CO619" s="4"/>
      <c r="CP619" s="4"/>
      <c r="CQ619" s="29" t="str">
        <f t="shared" si="538"/>
        <v/>
      </c>
      <c r="CR619" s="29" t="str">
        <f t="shared" si="539"/>
        <v/>
      </c>
      <c r="CS619" s="4"/>
    </row>
    <row r="620" spans="1:97" ht="34.25" hidden="1" customHeight="1">
      <c r="B620" s="481"/>
      <c r="C620" s="118"/>
      <c r="D620" s="126" t="str">
        <f>+IFERROR(INDEX('DESEMPATE Y DISCAPACIDAD'!$D$3:$D$450,MATCH(C620,'DESEMPATE Y DISCAPACIDAD'!$C$3:$C$450,0)),"")</f>
        <v/>
      </c>
      <c r="E620" s="127" t="str">
        <f>IFERROR(IF(D620="","",IF(VLOOKUP(D620,'DESEMPATE Y DISCAPACIDAD'!D$3:$E$450,2,FALSE)=1,"N/A",IF(VLOOKUP(D620,'DESEMPATE Y DISCAPACIDAD'!D$3:$F$450,3,FALSE)="X","SI","NO"))),"")</f>
        <v/>
      </c>
      <c r="F620" s="125"/>
      <c r="G620" s="125"/>
      <c r="H620" s="125"/>
      <c r="I620" s="128"/>
      <c r="J620" s="125"/>
      <c r="K620" s="125"/>
      <c r="L620" s="125"/>
      <c r="M620" s="125"/>
      <c r="N620" s="125" t="str">
        <f t="shared" si="562"/>
        <v/>
      </c>
      <c r="O620" s="125" t="str">
        <f t="shared" si="568"/>
        <v/>
      </c>
      <c r="P620" s="125" t="str">
        <f t="shared" si="563"/>
        <v/>
      </c>
      <c r="Q620" s="125" t="str">
        <f t="shared" si="531"/>
        <v/>
      </c>
      <c r="R620" s="68"/>
      <c r="S620" s="129"/>
      <c r="T620" s="129"/>
      <c r="U620" s="125" t="str">
        <f t="shared" si="564"/>
        <v/>
      </c>
      <c r="V620" s="117" t="str">
        <f>IF(U620=2023,1160000,IFERROR(INDEX(SMMLV!$B$2:$B$101,MATCH(U620,SMMLV!$A$2:$A$101,0)),""))</f>
        <v/>
      </c>
      <c r="W620" s="117"/>
      <c r="X620" s="125"/>
      <c r="Y620" s="125"/>
      <c r="Z620" s="474"/>
      <c r="AA620" s="475"/>
      <c r="AB620" s="476"/>
      <c r="AC620" s="125" t="str">
        <f t="shared" si="565"/>
        <v/>
      </c>
      <c r="AD620" s="117" t="str">
        <f t="shared" si="532"/>
        <v/>
      </c>
      <c r="AE620" s="117" t="str">
        <f t="shared" si="547"/>
        <v/>
      </c>
      <c r="AF620" s="117" t="str">
        <f t="shared" si="533"/>
        <v/>
      </c>
      <c r="AG620" s="470"/>
      <c r="AH620" s="470"/>
      <c r="AI620" s="125" t="str">
        <f t="shared" si="534"/>
        <v/>
      </c>
      <c r="AJ620" s="470"/>
      <c r="AK620" s="470"/>
      <c r="AL620" s="472"/>
      <c r="AM620" s="496"/>
      <c r="AN620" s="125"/>
      <c r="AO620" s="490"/>
      <c r="AP620" s="125"/>
      <c r="AQ620" s="490"/>
      <c r="AR620" s="522"/>
      <c r="AS620" s="522"/>
      <c r="AT620" s="138"/>
      <c r="AU620" s="702"/>
      <c r="AV620" s="702"/>
      <c r="AW620" s="708"/>
      <c r="AX620" s="708"/>
      <c r="AY620" s="19"/>
      <c r="CB620" s="29" t="str">
        <f>IFERROR(IF(COUNTIF(AF613:AF622,"")=10,"",IF(COUNTIF(E613:E622,"N/A")&gt;0,IF(AF620&gt;=CMEMM1,AF620,0),"N/A")),"")</f>
        <v/>
      </c>
      <c r="CC620" s="4"/>
      <c r="CD620" s="4" t="str">
        <f>IFERROR(IF(COUNTIF(AF613:AF622,"")=10,"",IF(AF620="","",IF(AF620&gt;=CMEMM1,1,0))),"")</f>
        <v/>
      </c>
      <c r="CE620" s="4" t="str">
        <f>B613&amp;"-0"&amp;8</f>
        <v>P62-08</v>
      </c>
      <c r="CF620" s="4" t="str">
        <f>IFERROR(INDEX('DESEMPATE Y DISCAPACIDAD'!$D$3:$D$450,MATCH(CE620,'DESEMPATE Y DISCAPACIDAD'!$C$3:$C$450,0)),"")</f>
        <v/>
      </c>
      <c r="CG620" s="4" t="str">
        <f>IF(OR(CE620="",CF620=""),"",SUMIF(D613:D622,CF620,CD613:CD622))</f>
        <v/>
      </c>
      <c r="CH620" s="4" t="str">
        <f t="shared" si="535"/>
        <v/>
      </c>
      <c r="CI620" s="4" t="str">
        <f t="shared" si="566"/>
        <v/>
      </c>
      <c r="CJ620" s="4"/>
      <c r="CK620" s="4"/>
      <c r="CL620" s="4" t="str">
        <f t="shared" si="536"/>
        <v/>
      </c>
      <c r="CM620" s="4" t="str">
        <f t="shared" si="537"/>
        <v/>
      </c>
      <c r="CN620" s="4" t="str">
        <f t="shared" si="567"/>
        <v/>
      </c>
      <c r="CO620" s="4"/>
      <c r="CP620" s="4"/>
      <c r="CQ620" s="29" t="str">
        <f t="shared" si="538"/>
        <v/>
      </c>
      <c r="CR620" s="29" t="str">
        <f t="shared" si="539"/>
        <v/>
      </c>
      <c r="CS620" s="4"/>
    </row>
    <row r="621" spans="1:97" ht="34.25" hidden="1" customHeight="1">
      <c r="B621" s="481"/>
      <c r="C621" s="118"/>
      <c r="D621" s="126" t="str">
        <f>+IFERROR(INDEX('DESEMPATE Y DISCAPACIDAD'!$D$3:$D$450,MATCH(C621,'DESEMPATE Y DISCAPACIDAD'!$C$3:$C$450,0)),"")</f>
        <v/>
      </c>
      <c r="E621" s="127" t="str">
        <f>IFERROR(IF(D621="","",IF(VLOOKUP(D621,'DESEMPATE Y DISCAPACIDAD'!D$3:$E$450,2,FALSE)=1,"N/A",IF(VLOOKUP(D621,'DESEMPATE Y DISCAPACIDAD'!D$3:$F$450,3,FALSE)="X","SI","NO"))),"")</f>
        <v/>
      </c>
      <c r="F621" s="125"/>
      <c r="G621" s="125"/>
      <c r="H621" s="125"/>
      <c r="I621" s="128"/>
      <c r="J621" s="125"/>
      <c r="K621" s="125"/>
      <c r="L621" s="125"/>
      <c r="M621" s="125"/>
      <c r="N621" s="125" t="str">
        <f t="shared" si="562"/>
        <v/>
      </c>
      <c r="O621" s="125" t="str">
        <f t="shared" si="568"/>
        <v/>
      </c>
      <c r="P621" s="125" t="str">
        <f t="shared" si="563"/>
        <v/>
      </c>
      <c r="Q621" s="125" t="str">
        <f t="shared" si="531"/>
        <v/>
      </c>
      <c r="R621" s="68"/>
      <c r="S621" s="129"/>
      <c r="T621" s="129"/>
      <c r="U621" s="125" t="str">
        <f t="shared" si="564"/>
        <v/>
      </c>
      <c r="V621" s="117" t="str">
        <f>IF(U621=2023,1160000,IFERROR(INDEX(SMMLV!$B$2:$B$101,MATCH(U621,SMMLV!$A$2:$A$101,0)),""))</f>
        <v/>
      </c>
      <c r="W621" s="117"/>
      <c r="X621" s="125"/>
      <c r="Y621" s="125"/>
      <c r="Z621" s="474"/>
      <c r="AA621" s="475"/>
      <c r="AB621" s="476"/>
      <c r="AC621" s="125" t="str">
        <f t="shared" si="565"/>
        <v/>
      </c>
      <c r="AD621" s="117" t="str">
        <f t="shared" si="532"/>
        <v/>
      </c>
      <c r="AE621" s="117" t="str">
        <f t="shared" si="547"/>
        <v/>
      </c>
      <c r="AF621" s="117" t="str">
        <f t="shared" si="533"/>
        <v/>
      </c>
      <c r="AG621" s="470"/>
      <c r="AH621" s="470"/>
      <c r="AI621" s="125" t="str">
        <f t="shared" si="534"/>
        <v/>
      </c>
      <c r="AJ621" s="470"/>
      <c r="AK621" s="470"/>
      <c r="AL621" s="472"/>
      <c r="AM621" s="496"/>
      <c r="AN621" s="125"/>
      <c r="AO621" s="490"/>
      <c r="AP621" s="125"/>
      <c r="AQ621" s="490"/>
      <c r="AR621" s="522"/>
      <c r="AS621" s="522"/>
      <c r="AT621" s="138"/>
      <c r="AU621" s="702"/>
      <c r="AV621" s="702"/>
      <c r="AW621" s="708"/>
      <c r="AX621" s="708"/>
      <c r="AY621" s="19"/>
      <c r="CB621" s="29" t="str">
        <f>IFERROR(IF(COUNTIF(AF613:AF622,"")=10,"",IF(COUNTIF(E613:E622,"N/A")&gt;0,IF(AF621&gt;=CMEMM1,AF621,0),"N/A")),"")</f>
        <v/>
      </c>
      <c r="CC621" s="4"/>
      <c r="CD621" s="4" t="str">
        <f>IFERROR(IF(COUNTIF(AF613:AF622,"")=10,"",IF(AF621="","",IF(AF621&gt;=CMEMM1,1,0))),"")</f>
        <v/>
      </c>
      <c r="CE621" s="4" t="str">
        <f>B613&amp;"-0"&amp;9</f>
        <v>P62-09</v>
      </c>
      <c r="CF621" s="4" t="str">
        <f>IFERROR(INDEX('DESEMPATE Y DISCAPACIDAD'!$D$3:$D$450,MATCH(CE621,'DESEMPATE Y DISCAPACIDAD'!$C$3:$C$450,0)),"")</f>
        <v/>
      </c>
      <c r="CG621" s="4" t="str">
        <f>IF(OR(CE621="",CF621=""),"",SUMIF(D613:D622,CF621,CD613:CD622))</f>
        <v/>
      </c>
      <c r="CH621" s="4" t="str">
        <f t="shared" si="535"/>
        <v/>
      </c>
      <c r="CI621" s="4" t="str">
        <f t="shared" si="566"/>
        <v/>
      </c>
      <c r="CJ621" s="4"/>
      <c r="CK621" s="4"/>
      <c r="CL621" s="4" t="str">
        <f t="shared" si="536"/>
        <v/>
      </c>
      <c r="CM621" s="4" t="str">
        <f t="shared" si="537"/>
        <v/>
      </c>
      <c r="CN621" s="4" t="str">
        <f t="shared" si="567"/>
        <v/>
      </c>
      <c r="CO621" s="4"/>
      <c r="CP621" s="4"/>
      <c r="CQ621" s="29" t="str">
        <f t="shared" si="538"/>
        <v/>
      </c>
      <c r="CR621" s="29" t="str">
        <f t="shared" si="539"/>
        <v/>
      </c>
      <c r="CS621" s="4"/>
    </row>
    <row r="622" spans="1:97" ht="34.25" hidden="1" customHeight="1" thickBot="1">
      <c r="B622" s="482"/>
      <c r="C622" s="130"/>
      <c r="D622" s="131" t="str">
        <f>+IFERROR(INDEX('DESEMPATE Y DISCAPACIDAD'!$D$3:$D$450,MATCH(C622,'DESEMPATE Y DISCAPACIDAD'!$C$3:$C$450,0)),"")</f>
        <v/>
      </c>
      <c r="E622" s="132" t="str">
        <f>IFERROR(IF(D622="","",IF(VLOOKUP(D622,'DESEMPATE Y DISCAPACIDAD'!D$3:$E$450,2,FALSE)=1,"N/A",IF(VLOOKUP(D622,'DESEMPATE Y DISCAPACIDAD'!D$3:$F$450,3,FALSE)="X","SI","NO"))),"")</f>
        <v/>
      </c>
      <c r="F622" s="133"/>
      <c r="G622" s="133"/>
      <c r="H622" s="133"/>
      <c r="I622" s="134"/>
      <c r="J622" s="133"/>
      <c r="K622" s="133"/>
      <c r="L622" s="133"/>
      <c r="M622" s="133"/>
      <c r="N622" s="133" t="str">
        <f t="shared" si="562"/>
        <v/>
      </c>
      <c r="O622" s="133" t="str">
        <f t="shared" si="568"/>
        <v/>
      </c>
      <c r="P622" s="133" t="str">
        <f t="shared" si="563"/>
        <v/>
      </c>
      <c r="Q622" s="133" t="str">
        <f t="shared" si="531"/>
        <v/>
      </c>
      <c r="R622" s="104"/>
      <c r="S622" s="135"/>
      <c r="T622" s="135"/>
      <c r="U622" s="133" t="str">
        <f t="shared" si="564"/>
        <v/>
      </c>
      <c r="V622" s="136" t="str">
        <f>IF(U622=2023,1160000,IFERROR(INDEX(SMMLV!$B$2:$B$101,MATCH(U622,SMMLV!$A$2:$A$101,0)),""))</f>
        <v/>
      </c>
      <c r="W622" s="136"/>
      <c r="X622" s="133"/>
      <c r="Y622" s="133"/>
      <c r="Z622" s="487"/>
      <c r="AA622" s="488"/>
      <c r="AB622" s="489"/>
      <c r="AC622" s="133" t="str">
        <f t="shared" si="565"/>
        <v/>
      </c>
      <c r="AD622" s="136" t="str">
        <f t="shared" si="532"/>
        <v/>
      </c>
      <c r="AE622" s="117" t="str">
        <f t="shared" si="547"/>
        <v/>
      </c>
      <c r="AF622" s="136" t="str">
        <f t="shared" si="533"/>
        <v/>
      </c>
      <c r="AG622" s="471"/>
      <c r="AH622" s="471"/>
      <c r="AI622" s="133" t="str">
        <f t="shared" si="534"/>
        <v/>
      </c>
      <c r="AJ622" s="471"/>
      <c r="AK622" s="471"/>
      <c r="AL622" s="473"/>
      <c r="AM622" s="497"/>
      <c r="AN622" s="133"/>
      <c r="AO622" s="491"/>
      <c r="AP622" s="133"/>
      <c r="AQ622" s="491"/>
      <c r="AR622" s="523"/>
      <c r="AS622" s="523"/>
      <c r="AT622" s="139"/>
      <c r="AU622" s="703"/>
      <c r="AV622" s="703"/>
      <c r="AW622" s="709"/>
      <c r="AX622" s="709"/>
      <c r="AY622" s="19"/>
      <c r="CB622" s="29" t="str">
        <f>IFERROR(IF(COUNTIF(AF613:AF622,"")=10,"",IF(COUNTIF(E613:E622,"N/A")&gt;0,IF(AF622&gt;=CMEMM1,AF622,0),"N/A")),"")</f>
        <v/>
      </c>
      <c r="CC622" s="4"/>
      <c r="CD622" s="4" t="str">
        <f>IFERROR(IF(COUNTIF(AF613:AF622,"")=10,"",IF(AF622="","",IF(AF622&gt;=CMEMM1,1,0))),"")</f>
        <v/>
      </c>
      <c r="CE622" s="4" t="str">
        <f>B613&amp;"-"&amp;10</f>
        <v>P62-10</v>
      </c>
      <c r="CF622" s="4" t="str">
        <f>IFERROR(INDEX('DESEMPATE Y DISCAPACIDAD'!$D$3:$D$450,MATCH(CE622,'DESEMPATE Y DISCAPACIDAD'!$C$3:$C$450,0)),"")</f>
        <v/>
      </c>
      <c r="CG622" s="4" t="str">
        <f>IF(OR(CE622="",CF622=""),"",SUMIF(D613:D622,CF622,CD613:CD622))</f>
        <v/>
      </c>
      <c r="CH622" s="4" t="str">
        <f t="shared" si="535"/>
        <v/>
      </c>
      <c r="CI622" s="4" t="str">
        <f t="shared" si="566"/>
        <v/>
      </c>
      <c r="CJ622" s="4"/>
      <c r="CK622" s="4"/>
      <c r="CL622" s="4" t="str">
        <f t="shared" si="536"/>
        <v/>
      </c>
      <c r="CM622" s="4" t="str">
        <f t="shared" si="537"/>
        <v/>
      </c>
      <c r="CN622" s="4" t="str">
        <f t="shared" si="567"/>
        <v/>
      </c>
      <c r="CO622" s="4"/>
      <c r="CP622" s="4"/>
      <c r="CQ622" s="29" t="str">
        <f t="shared" si="538"/>
        <v/>
      </c>
      <c r="CR622" s="29" t="str">
        <f t="shared" si="539"/>
        <v/>
      </c>
      <c r="CS622" s="4"/>
    </row>
    <row r="623" spans="1:97" ht="34.25" hidden="1" customHeight="1">
      <c r="A623" s="4" t="str">
        <f>"A"&amp;B623</f>
        <v>AP63</v>
      </c>
      <c r="B623" s="480" t="s">
        <v>593</v>
      </c>
      <c r="C623" s="108"/>
      <c r="D623" s="119" t="str">
        <f>+IFERROR(INDEX('DESEMPATE Y DISCAPACIDAD'!$D$3:$D$450,MATCH(C623,'DESEMPATE Y DISCAPACIDAD'!$C$3:$C$450,0)),"")</f>
        <v/>
      </c>
      <c r="E623" s="120" t="str">
        <f>IFERROR(IF(D623="","",IF(VLOOKUP(D623,'DESEMPATE Y DISCAPACIDAD'!D$3:$E$450,2,FALSE)=1,"N/A",IF(VLOOKUP(D623,'DESEMPATE Y DISCAPACIDAD'!D$3:$F$450,3,FALSE)="X","SI","NO"))),"")</f>
        <v/>
      </c>
      <c r="F623" s="125"/>
      <c r="G623" s="125"/>
      <c r="H623" s="121"/>
      <c r="I623" s="122"/>
      <c r="J623" s="121"/>
      <c r="K623" s="121"/>
      <c r="L623" s="179"/>
      <c r="M623" s="121"/>
      <c r="N623" s="121" t="str">
        <f>IFERROR(IF(OR(J623="",K623=""),"",IF(J623="NO","NO",K623)),"")</f>
        <v/>
      </c>
      <c r="O623" s="121" t="str">
        <f>IFERROR(IF(OR(J623="",L623=""),"",IF(J623="NO","NO",L623)),"")</f>
        <v/>
      </c>
      <c r="P623" s="121" t="str">
        <f>IFERROR(IF(OR(J623="",M623=""),"",IF(J623="NO","NO",M623)),"")</f>
        <v/>
      </c>
      <c r="Q623" s="121" t="str">
        <f t="shared" si="531"/>
        <v/>
      </c>
      <c r="R623" s="103"/>
      <c r="S623" s="123"/>
      <c r="T623" s="123"/>
      <c r="U623" s="121" t="str">
        <f>IFERROR(IF(T623="","",YEAR(T623)),"")</f>
        <v/>
      </c>
      <c r="V623" s="124" t="str">
        <f>IF(U623=2023,1160000,IFERROR(INDEX(SMMLV!$B$2:$B$101,MATCH(U623,SMMLV!$A$2:$A$101,0)),""))</f>
        <v/>
      </c>
      <c r="W623" s="124"/>
      <c r="X623" s="121"/>
      <c r="Y623" s="121"/>
      <c r="Z623" s="483"/>
      <c r="AA623" s="484"/>
      <c r="AB623" s="485"/>
      <c r="AC623" s="121" t="str">
        <f>IFERROR(IF(Y623="","",IF(ISNUMBER(Y623),IF(COUNTIF(Z623,"SI")&gt;0,"SI","NO"),Y623)),"")</f>
        <v/>
      </c>
      <c r="AD623" s="124" t="str">
        <f t="shared" si="532"/>
        <v/>
      </c>
      <c r="AE623" s="117" t="str">
        <f t="shared" si="547"/>
        <v/>
      </c>
      <c r="AF623" s="124" t="str">
        <f t="shared" si="533"/>
        <v/>
      </c>
      <c r="AG623" s="486" t="str">
        <f>IFERROR(IF(COUNTIF(AF623:AF632,"")=10,"",IF(COUNTIF(E623:E632,"N/A")&gt;0,IF(SUM(CB623:CB632)&gt;=CMEM1,"CUMPLE","NO CUMPLE"),IF(SUM(AF623:AF632)&gt;=CMEM1,"CUMPLE","NO CUMPLE"))),"")</f>
        <v/>
      </c>
      <c r="AH623" s="486" t="str">
        <f>IF(COUNTIF(AF623:AF632,"")=10,"",IF(SUMIF(C623:C632,C623,AF623:AF632)&gt;=CMLM1,"CUMPLE",IF(SUMIF(C623:C632,C624,AF623:AF632)&gt;=CMLM1,"CUMPLE",IF(SUMIF(C623:C632,C625,AF623:AF632)&gt;=CMLM1,"CUMPLE",IF(SUMIF(C623:C632,C626,AF623:AF632)&gt;=CMLM1,"CUMPLE",IF(SUMIF(C623:C632,C627,AF623:AF632)&gt;=CMLM1,"CUMPLE",IF(SUMIF(C623:C632,C628,AF623:AF632)&gt;=CMLM1,"CUMPLE",IF(SUMIF(C623:C632,C629,AF623:AF632)&gt;=CMLM1,"CUMPLE",IF(SUMIF(C623:C632,C630,AF623:AF632)&gt;=CMLM1,"CUMPLE",IF(SUMIF(C623:C632,C631,AF623:AF632)&gt;=CMLM1,"CUMPLE",IF(SUMIF(C623:C632,C632,AF623:AF632)&gt;=CMLM1,"CUMPLE","NO CUMPLE")))))))))))</f>
        <v/>
      </c>
      <c r="AI623" s="121" t="str">
        <f t="shared" si="534"/>
        <v/>
      </c>
      <c r="AJ623" s="469" t="str">
        <f>IFERROR(IF(COUNTIF(AF623:AF632,"")=10,"",IF(COUNTIF(E623:E632,"N/A")&gt;0,"N/A",CJ623)),"")</f>
        <v/>
      </c>
      <c r="AK623" s="469" t="str">
        <f>IFERROR(IF(AND(COUNTIF(N623:N632,"SI")&gt;=1,COUNTIF(O623:O632,"SI")&gt;=1,COUNTIF(P623:P632,"SI")&gt;=1,COUNTIF(J623:J632,"SI")&lt;=10,CO623="CUMPLE"),"CUMPLE","NO CUMPLE"),"")</f>
        <v>NO CUMPLE</v>
      </c>
      <c r="AL623" s="472"/>
      <c r="AM623" s="495">
        <f>IFERROR(IF(B623&lt;&gt;"",IF(VLOOKUP(B623,'DESEMPATE Y DISCAPACIDAD'!$A$3:$Q$450,10,FALSE)="","",VLOOKUP(B623,'DESEMPATE Y DISCAPACIDAD'!$A$3:$Q$450,10,FALSE)+6),""),"")</f>
        <v>6</v>
      </c>
      <c r="AN623" s="121"/>
      <c r="AO623" s="490"/>
      <c r="AP623" s="121"/>
      <c r="AQ623" s="490" t="str">
        <f>IFERROR(IF(COUNTIF(AP623:AP632,"")=10,"",IF(AO623="NO",0,COUNTIF(AP623:AP632,"SI"))),"")</f>
        <v/>
      </c>
      <c r="AR623" s="521" t="str">
        <f>IFERROR(IF(COUNTIF(AF623:AF632,"")=10,"",IF(AO623="NO",0,IF(COUNTIF(E623:E632,"N/A")&gt;0,SUM(CQ623:CQ632),SUM(CR623:CR632)))),"")</f>
        <v/>
      </c>
      <c r="AS623" s="521" t="str">
        <f>IFERROR(IF(OR(COUNTIF(AF623:AF632,"")=10,AQ623="",AR623=""),"",IF(AO623="NO",0,AR623/AQ623)),"")</f>
        <v/>
      </c>
      <c r="AT623" s="137"/>
      <c r="AU623" s="701"/>
      <c r="AV623" s="701"/>
      <c r="AW623" s="707"/>
      <c r="AX623" s="707"/>
      <c r="AY623" s="19"/>
      <c r="CB623" s="29" t="str">
        <f>IFERROR(IF(COUNTIF(AF623:AF632,"")=10,"",IF(COUNTIF(E623:E632,"N/A")&gt;0,IF(AF623&gt;=CMEMM1,AF623,0),"N/A")),"")</f>
        <v/>
      </c>
      <c r="CC623" s="4"/>
      <c r="CD623" s="4" t="str">
        <f>IFERROR(IF(COUNTIF(AF623:AF632,"")=10,"",IF(AF623="","",IF(AF623&gt;=CMEMM1,1,0))),"")</f>
        <v/>
      </c>
      <c r="CE623" s="4" t="str">
        <f>B623&amp;"-0"&amp;1</f>
        <v>P63-01</v>
      </c>
      <c r="CF623" s="4">
        <f>IFERROR(INDEX('DESEMPATE Y DISCAPACIDAD'!$D$3:$D$450,MATCH(CE623,'DESEMPATE Y DISCAPACIDAD'!$C$3:$C$450,0)),"")</f>
        <v>0</v>
      </c>
      <c r="CG623" s="4">
        <f>IF(OR(CE623="",CF623=""),"",SUMIF(D623:D632,CF623,CD623:CD632))</f>
        <v>0</v>
      </c>
      <c r="CH623" s="4" t="str">
        <f t="shared" si="535"/>
        <v>NO CUMPLE</v>
      </c>
      <c r="CI623" s="4">
        <f>IF(CF623="","",IF(ISTEXT(CF623),1,0))</f>
        <v>0</v>
      </c>
      <c r="CJ623" s="4" t="str">
        <f>IF(OR(CE623="",CF623="",CG623="",CH623="",CI623=""),"",IF(COUNTIF(CH623:CH632,"CUMPLE")=COUNTIF(CI623:CI632,1),"CUMPLE","NO CUMPLE"))</f>
        <v>CUMPLE</v>
      </c>
      <c r="CK623" s="4"/>
      <c r="CL623" s="4" t="str">
        <f t="shared" si="536"/>
        <v/>
      </c>
      <c r="CM623" s="4" t="str">
        <f t="shared" si="537"/>
        <v/>
      </c>
      <c r="CN623" s="4" t="str">
        <f>IF(OR(CL623="",CM623=""),"",IF(AND(CL623=0,CM623=0),"N/A",IF(AND(CL623=1,CM623=0),"COND. A",IF(AND(CL623=0,CM623=1),"COND. B",IF(AND(CL623=1,CM623=1),"COND. A Y B","")))))</f>
        <v/>
      </c>
      <c r="CO623" s="4" t="str">
        <f>IF(COUNTIF(CN623:CN632,"N/A")=10,"NO CUMPLE",IF(COUNTIF(CN623:CN632,"COND. A Y B")&gt;1,"CUMPLE",IF(AND(COUNTIF(CN623:CN632,"COND. A")&gt;0,COUNTIF(CN623:CN632,"COND. B")&gt;0),"CUMPLE",IF(AND(COUNTIF(CN623:CN632,"COND. A Y B")&gt;0,COUNTIF(CN623:CN632,"COND. A")&gt;0),"CUMPLE",IF(AND(COUNTIF(CN623:CN632,"COND. A Y B")&gt;0,COUNTIF(CN623:CN632,"COND. B")&gt;0),"CUMPLE","NO CUMPLE")))))</f>
        <v>NO CUMPLE</v>
      </c>
      <c r="CP623" s="4"/>
      <c r="CQ623" s="29" t="str">
        <f t="shared" si="538"/>
        <v/>
      </c>
      <c r="CR623" s="29" t="str">
        <f t="shared" si="539"/>
        <v/>
      </c>
      <c r="CS623" s="4"/>
    </row>
    <row r="624" spans="1:97" ht="34.25" hidden="1" customHeight="1">
      <c r="B624" s="481"/>
      <c r="C624" s="118"/>
      <c r="D624" s="119" t="str">
        <f>+IFERROR(INDEX('DESEMPATE Y DISCAPACIDAD'!$D$3:$D$450,MATCH(C624,'DESEMPATE Y DISCAPACIDAD'!$C$3:$C$450,0)),"")</f>
        <v/>
      </c>
      <c r="E624" s="120" t="str">
        <f>IFERROR(IF(D624="","",IF(VLOOKUP(D624,'DESEMPATE Y DISCAPACIDAD'!D$3:$E$450,2,FALSE)=1,"N/A",IF(VLOOKUP(D624,'DESEMPATE Y DISCAPACIDAD'!D$3:$F$450,3,FALSE)="X","SI","NO"))),"")</f>
        <v/>
      </c>
      <c r="F624" s="125"/>
      <c r="G624" s="125"/>
      <c r="H624" s="121"/>
      <c r="I624" s="122"/>
      <c r="J624" s="121"/>
      <c r="K624" s="121"/>
      <c r="L624" s="179"/>
      <c r="M624" s="121"/>
      <c r="N624" s="121" t="str">
        <f t="shared" ref="N624:N632" si="569">IFERROR(IF(OR(J624="",K624=""),"",IF(J624="NO","NO",K624)),"")</f>
        <v/>
      </c>
      <c r="O624" s="121" t="str">
        <f>IFERROR(IF(OR(J624="",L624=""),"",IF(J624="NO","NO",L624)),"")</f>
        <v/>
      </c>
      <c r="P624" s="121" t="str">
        <f t="shared" ref="P624:P632" si="570">IFERROR(IF(OR(J624="",M624=""),"",IF(J624="NO","NO",M624)),"")</f>
        <v/>
      </c>
      <c r="Q624" s="121" t="str">
        <f t="shared" si="531"/>
        <v/>
      </c>
      <c r="R624" s="103"/>
      <c r="S624" s="123"/>
      <c r="T624" s="123"/>
      <c r="U624" s="121" t="str">
        <f t="shared" ref="U624:U632" si="571">IFERROR(IF(T624="","",YEAR(T624)),"")</f>
        <v/>
      </c>
      <c r="V624" s="124" t="str">
        <f>IF(U624=2023,1160000,IFERROR(INDEX(SMMLV!$B$2:$B$101,MATCH(U624,SMMLV!$A$2:$A$101,0)),""))</f>
        <v/>
      </c>
      <c r="W624" s="124"/>
      <c r="X624" s="125"/>
      <c r="Y624" s="125"/>
      <c r="Z624" s="474"/>
      <c r="AA624" s="475"/>
      <c r="AB624" s="476"/>
      <c r="AC624" s="125" t="str">
        <f t="shared" ref="AC624:AC632" si="572">IFERROR(IF(Y624="","",IF(ISNUMBER(Y624),IF(COUNTIF(Z624,"SI")&gt;0,"SI","NO"),Y624)),"")</f>
        <v/>
      </c>
      <c r="AD624" s="117" t="str">
        <f t="shared" si="532"/>
        <v/>
      </c>
      <c r="AE624" s="117" t="str">
        <f t="shared" si="547"/>
        <v/>
      </c>
      <c r="AF624" s="117" t="str">
        <f t="shared" si="533"/>
        <v/>
      </c>
      <c r="AG624" s="470"/>
      <c r="AH624" s="470"/>
      <c r="AI624" s="125" t="str">
        <f t="shared" si="534"/>
        <v/>
      </c>
      <c r="AJ624" s="470"/>
      <c r="AK624" s="470"/>
      <c r="AL624" s="472"/>
      <c r="AM624" s="496"/>
      <c r="AN624" s="125"/>
      <c r="AO624" s="490"/>
      <c r="AP624" s="125"/>
      <c r="AQ624" s="490"/>
      <c r="AR624" s="522"/>
      <c r="AS624" s="522"/>
      <c r="AT624" s="138"/>
      <c r="AU624" s="702"/>
      <c r="AV624" s="702"/>
      <c r="AW624" s="708"/>
      <c r="AX624" s="708"/>
      <c r="AY624" s="19"/>
      <c r="CB624" s="29" t="str">
        <f>IFERROR(IF(COUNTIF(AF623:AF632,"")=10,"",IF(COUNTIF(E623:E632,"N/A")&gt;0,IF(AF624&gt;=CMEMM1,AF624,0),"N/A")),"")</f>
        <v/>
      </c>
      <c r="CC624" s="4"/>
      <c r="CD624" s="4" t="str">
        <f>IFERROR(IF(COUNTIF(AF623:AF632,"")=10,"",IF(AF624="","",IF(AF624&gt;=CMEMM1,1,0))),"")</f>
        <v/>
      </c>
      <c r="CE624" s="4" t="str">
        <f>B623&amp;"-0"&amp;2</f>
        <v>P63-02</v>
      </c>
      <c r="CF624" s="4">
        <f>IFERROR(INDEX('DESEMPATE Y DISCAPACIDAD'!$D$3:$D$450,MATCH(CE624,'DESEMPATE Y DISCAPACIDAD'!$C$3:$C$450,0)),"")</f>
        <v>0</v>
      </c>
      <c r="CG624" s="4">
        <f>IF(OR(CE624="",CF624=""),"",SUMIF(D623:D632,CF624,CD623:CD632))</f>
        <v>0</v>
      </c>
      <c r="CH624" s="4" t="str">
        <f t="shared" si="535"/>
        <v>NO CUMPLE</v>
      </c>
      <c r="CI624" s="4">
        <f t="shared" ref="CI624:CI632" si="573">IF(CF624="","",IF(ISTEXT(CF624),1,0))</f>
        <v>0</v>
      </c>
      <c r="CJ624" s="4"/>
      <c r="CK624" s="4"/>
      <c r="CL624" s="4" t="str">
        <f t="shared" si="536"/>
        <v/>
      </c>
      <c r="CM624" s="4" t="str">
        <f t="shared" si="537"/>
        <v/>
      </c>
      <c r="CN624" s="4" t="str">
        <f t="shared" ref="CN624:CN632" si="574">IF(OR(CL624="",CM624=""),"",IF(AND(CL624=0,CM624=0),"N/A",IF(AND(CL624=1,CM624=0),"COND. A",IF(AND(CL624=0,CM624=1),"COND. B",IF(AND(CL624=1,CM624=1),"COND. A Y B","")))))</f>
        <v/>
      </c>
      <c r="CO624" s="4"/>
      <c r="CP624" s="4"/>
      <c r="CQ624" s="29" t="str">
        <f t="shared" si="538"/>
        <v/>
      </c>
      <c r="CR624" s="29" t="str">
        <f t="shared" si="539"/>
        <v/>
      </c>
      <c r="CS624" s="4"/>
    </row>
    <row r="625" spans="1:97" ht="34.25" hidden="1" customHeight="1">
      <c r="B625" s="481"/>
      <c r="C625" s="118"/>
      <c r="D625" s="126" t="str">
        <f>+IFERROR(INDEX('DESEMPATE Y DISCAPACIDAD'!$D$3:$D$450,MATCH(C625,'DESEMPATE Y DISCAPACIDAD'!$C$3:$C$450,0)),"")</f>
        <v/>
      </c>
      <c r="E625" s="127" t="str">
        <f>IFERROR(IF(D625="","",IF(VLOOKUP(D625,'DESEMPATE Y DISCAPACIDAD'!D$3:$E$450,2,FALSE)=1,"N/A",IF(VLOOKUP(D625,'DESEMPATE Y DISCAPACIDAD'!D$3:$F$450,3,FALSE)="X","SI","NO"))),"")</f>
        <v/>
      </c>
      <c r="F625" s="121"/>
      <c r="G625" s="121"/>
      <c r="H625" s="125"/>
      <c r="I625" s="128"/>
      <c r="J625" s="125"/>
      <c r="K625" s="125"/>
      <c r="L625" s="3"/>
      <c r="M625" s="3"/>
      <c r="N625" s="125" t="str">
        <f t="shared" si="569"/>
        <v/>
      </c>
      <c r="O625" s="125" t="str">
        <f>IFERROR(IF(OR(J625="",L625=""),"",IF(J625="NO","NO",L625)),"")</f>
        <v/>
      </c>
      <c r="P625" s="125" t="str">
        <f t="shared" si="570"/>
        <v/>
      </c>
      <c r="Q625" s="125" t="str">
        <f t="shared" si="531"/>
        <v/>
      </c>
      <c r="R625" s="68"/>
      <c r="S625" s="129"/>
      <c r="T625" s="129"/>
      <c r="U625" s="125" t="str">
        <f t="shared" si="571"/>
        <v/>
      </c>
      <c r="V625" s="117" t="str">
        <f>IF(U625=2023,1160000,IFERROR(INDEX(SMMLV!$B$2:$B$101,MATCH(U625,SMMLV!$A$2:$A$101,0)),""))</f>
        <v/>
      </c>
      <c r="W625" s="117"/>
      <c r="X625" s="125"/>
      <c r="Y625" s="125"/>
      <c r="Z625" s="474"/>
      <c r="AA625" s="475"/>
      <c r="AB625" s="476"/>
      <c r="AC625" s="125" t="str">
        <f t="shared" si="572"/>
        <v/>
      </c>
      <c r="AD625" s="117" t="str">
        <f t="shared" si="532"/>
        <v/>
      </c>
      <c r="AE625" s="117" t="str">
        <f t="shared" si="547"/>
        <v/>
      </c>
      <c r="AF625" s="117" t="str">
        <f t="shared" si="533"/>
        <v/>
      </c>
      <c r="AG625" s="470"/>
      <c r="AH625" s="470"/>
      <c r="AI625" s="125" t="str">
        <f t="shared" si="534"/>
        <v/>
      </c>
      <c r="AJ625" s="470"/>
      <c r="AK625" s="470"/>
      <c r="AL625" s="472"/>
      <c r="AM625" s="496"/>
      <c r="AN625" s="125"/>
      <c r="AO625" s="490"/>
      <c r="AP625" s="125"/>
      <c r="AQ625" s="490"/>
      <c r="AR625" s="522"/>
      <c r="AS625" s="522"/>
      <c r="AT625" s="138"/>
      <c r="AU625" s="702"/>
      <c r="AV625" s="702"/>
      <c r="AW625" s="708"/>
      <c r="AX625" s="708"/>
      <c r="AY625" s="19"/>
      <c r="CB625" s="29" t="str">
        <f>IFERROR(IF(COUNTIF(AF623:AF632,"")=10,"",IF(COUNTIF(E623:E632,"N/A")&gt;0,IF(AF625&gt;=CMEMM1,AF625,0),"N/A")),"")</f>
        <v/>
      </c>
      <c r="CC625" s="4"/>
      <c r="CD625" s="4" t="str">
        <f>IFERROR(IF(COUNTIF(AF623:AF632,"")=10,"",IF(AF625="","",IF(AF625&gt;=CMEMM1,1,0))),"")</f>
        <v/>
      </c>
      <c r="CE625" s="4" t="str">
        <f>B623&amp;"-0"&amp;3</f>
        <v>P63-03</v>
      </c>
      <c r="CF625" s="4">
        <f>IFERROR(INDEX('DESEMPATE Y DISCAPACIDAD'!$D$3:$D$450,MATCH(CE625,'DESEMPATE Y DISCAPACIDAD'!$C$3:$C$450,0)),"")</f>
        <v>0</v>
      </c>
      <c r="CG625" s="4">
        <f>IF(OR(CE625="",CF625=""),"",SUMIF(D623:D632,CF625,CD623:CD632))</f>
        <v>0</v>
      </c>
      <c r="CH625" s="4" t="str">
        <f t="shared" si="535"/>
        <v>NO CUMPLE</v>
      </c>
      <c r="CI625" s="4">
        <f t="shared" si="573"/>
        <v>0</v>
      </c>
      <c r="CJ625" s="4"/>
      <c r="CK625" s="4"/>
      <c r="CL625" s="4" t="str">
        <f t="shared" si="536"/>
        <v/>
      </c>
      <c r="CM625" s="4" t="str">
        <f t="shared" si="537"/>
        <v/>
      </c>
      <c r="CN625" s="4" t="str">
        <f t="shared" si="574"/>
        <v/>
      </c>
      <c r="CO625" s="4"/>
      <c r="CP625" s="4"/>
      <c r="CQ625" s="29" t="str">
        <f t="shared" si="538"/>
        <v/>
      </c>
      <c r="CR625" s="29" t="str">
        <f t="shared" si="539"/>
        <v/>
      </c>
      <c r="CS625" s="4"/>
    </row>
    <row r="626" spans="1:97" ht="34.25" hidden="1" customHeight="1">
      <c r="B626" s="481"/>
      <c r="C626" s="118"/>
      <c r="D626" s="126" t="str">
        <f>+IFERROR(INDEX('DESEMPATE Y DISCAPACIDAD'!$D$3:$D$450,MATCH(C626,'DESEMPATE Y DISCAPACIDAD'!$C$3:$C$450,0)),"")</f>
        <v/>
      </c>
      <c r="E626" s="127" t="str">
        <f>IFERROR(IF(D626="","",IF(VLOOKUP(D626,'DESEMPATE Y DISCAPACIDAD'!D$3:$E$450,2,FALSE)=1,"N/A",IF(VLOOKUP(D626,'DESEMPATE Y DISCAPACIDAD'!D$3:$F$450,3,FALSE)="X","SI","NO"))),"")</f>
        <v/>
      </c>
      <c r="F626" s="141"/>
      <c r="G626" s="125"/>
      <c r="H626" s="125"/>
      <c r="I626" s="128"/>
      <c r="J626" s="125"/>
      <c r="K626" s="125"/>
      <c r="L626" s="3"/>
      <c r="M626" s="125"/>
      <c r="N626" s="125" t="str">
        <f t="shared" si="569"/>
        <v/>
      </c>
      <c r="O626" s="125" t="str">
        <f>IFERROR(IF(OR(J626="",L626=""),"",IF(J626="NO","NO",L626)),"")</f>
        <v/>
      </c>
      <c r="P626" s="125" t="str">
        <f t="shared" si="570"/>
        <v/>
      </c>
      <c r="Q626" s="125" t="str">
        <f t="shared" si="531"/>
        <v/>
      </c>
      <c r="R626" s="68"/>
      <c r="S626" s="129"/>
      <c r="T626" s="129"/>
      <c r="U626" s="125" t="str">
        <f t="shared" si="571"/>
        <v/>
      </c>
      <c r="V626" s="117" t="str">
        <f>IF(U626=2023,1160000,IFERROR(INDEX(SMMLV!$B$2:$B$101,MATCH(U626,SMMLV!$A$2:$A$101,0)),""))</f>
        <v/>
      </c>
      <c r="W626" s="117"/>
      <c r="X626" s="125"/>
      <c r="Y626" s="125"/>
      <c r="Z626" s="474"/>
      <c r="AA626" s="475"/>
      <c r="AB626" s="476"/>
      <c r="AC626" s="125" t="str">
        <f t="shared" si="572"/>
        <v/>
      </c>
      <c r="AD626" s="117" t="str">
        <f t="shared" si="532"/>
        <v/>
      </c>
      <c r="AE626" s="117" t="str">
        <f t="shared" si="547"/>
        <v/>
      </c>
      <c r="AF626" s="117" t="str">
        <f t="shared" si="533"/>
        <v/>
      </c>
      <c r="AG626" s="470"/>
      <c r="AH626" s="470"/>
      <c r="AI626" s="125" t="str">
        <f t="shared" si="534"/>
        <v/>
      </c>
      <c r="AJ626" s="470"/>
      <c r="AK626" s="470"/>
      <c r="AL626" s="472"/>
      <c r="AM626" s="496"/>
      <c r="AN626" s="125"/>
      <c r="AO626" s="490"/>
      <c r="AP626" s="125"/>
      <c r="AQ626" s="490"/>
      <c r="AR626" s="522"/>
      <c r="AS626" s="522"/>
      <c r="AT626" s="138"/>
      <c r="AU626" s="702"/>
      <c r="AV626" s="702"/>
      <c r="AW626" s="708"/>
      <c r="AX626" s="708"/>
      <c r="AY626" s="19"/>
      <c r="CB626" s="29" t="str">
        <f>IFERROR(IF(COUNTIF(AF623:AF632,"")=10,"",IF(COUNTIF(E623:E632,"N/A")&gt;0,IF(AF626&gt;=CMEMM1,AF626,0),"N/A")),"")</f>
        <v/>
      </c>
      <c r="CC626" s="4"/>
      <c r="CD626" s="4" t="str">
        <f>IFERROR(IF(COUNTIF(AF623:AF632,"")=10,"",IF(AF626="","",IF(AF626&gt;=CMEMM1,1,0))),"")</f>
        <v/>
      </c>
      <c r="CE626" s="4" t="str">
        <f>B623&amp;"-0"&amp;4</f>
        <v>P63-04</v>
      </c>
      <c r="CF626" s="4">
        <f>IFERROR(INDEX('DESEMPATE Y DISCAPACIDAD'!$D$3:$D$450,MATCH(CE626,'DESEMPATE Y DISCAPACIDAD'!$C$3:$C$450,0)),"")</f>
        <v>0</v>
      </c>
      <c r="CG626" s="4">
        <f>IF(OR(CE626="",CF626=""),"",SUMIF(D623:D632,CF626,CD623:CD632))</f>
        <v>0</v>
      </c>
      <c r="CH626" s="4" t="str">
        <f t="shared" si="535"/>
        <v>NO CUMPLE</v>
      </c>
      <c r="CI626" s="4">
        <f t="shared" si="573"/>
        <v>0</v>
      </c>
      <c r="CJ626" s="4"/>
      <c r="CK626" s="4"/>
      <c r="CL626" s="4" t="str">
        <f t="shared" si="536"/>
        <v/>
      </c>
      <c r="CM626" s="4" t="str">
        <f t="shared" si="537"/>
        <v/>
      </c>
      <c r="CN626" s="4" t="str">
        <f t="shared" si="574"/>
        <v/>
      </c>
      <c r="CO626" s="4"/>
      <c r="CP626" s="4"/>
      <c r="CQ626" s="29" t="str">
        <f t="shared" si="538"/>
        <v/>
      </c>
      <c r="CR626" s="29" t="str">
        <f t="shared" si="539"/>
        <v/>
      </c>
      <c r="CS626" s="4"/>
    </row>
    <row r="627" spans="1:97" ht="34.25" hidden="1" customHeight="1">
      <c r="B627" s="481"/>
      <c r="C627" s="118"/>
      <c r="D627" s="126" t="str">
        <f>+IFERROR(INDEX('DESEMPATE Y DISCAPACIDAD'!$D$3:$D$450,MATCH(C627,'DESEMPATE Y DISCAPACIDAD'!$C$3:$C$450,0)),"")</f>
        <v/>
      </c>
      <c r="E627" s="127" t="str">
        <f>IFERROR(IF(D627="","",IF(VLOOKUP(D627,'DESEMPATE Y DISCAPACIDAD'!D$3:$E$450,2,FALSE)=1,"N/A",IF(VLOOKUP(D627,'DESEMPATE Y DISCAPACIDAD'!D$3:$F$450,3,FALSE)="X","SI","NO"))),"")</f>
        <v/>
      </c>
      <c r="F627" s="125"/>
      <c r="G627" s="125"/>
      <c r="H627" s="125"/>
      <c r="I627" s="128"/>
      <c r="J627" s="125"/>
      <c r="K627" s="125"/>
      <c r="L627" s="125"/>
      <c r="M627" s="125"/>
      <c r="N627" s="125" t="str">
        <f t="shared" si="569"/>
        <v/>
      </c>
      <c r="O627" s="125" t="str">
        <f t="shared" ref="O627:O632" si="575">IFERROR(IF(OR(J627="",L627=""),"",IF(J627="NO","NO",L627)),"")</f>
        <v/>
      </c>
      <c r="P627" s="125" t="str">
        <f t="shared" si="570"/>
        <v/>
      </c>
      <c r="Q627" s="125" t="str">
        <f t="shared" si="531"/>
        <v/>
      </c>
      <c r="R627" s="68"/>
      <c r="S627" s="129"/>
      <c r="T627" s="129"/>
      <c r="U627" s="125" t="str">
        <f t="shared" si="571"/>
        <v/>
      </c>
      <c r="V627" s="117" t="str">
        <f>IF(U627=2023,1160000,IFERROR(INDEX(SMMLV!$B$2:$B$101,MATCH(U627,SMMLV!$A$2:$A$101,0)),""))</f>
        <v/>
      </c>
      <c r="W627" s="117"/>
      <c r="X627" s="125"/>
      <c r="Y627" s="125"/>
      <c r="Z627" s="474"/>
      <c r="AA627" s="475"/>
      <c r="AB627" s="476"/>
      <c r="AC627" s="125" t="str">
        <f t="shared" si="572"/>
        <v/>
      </c>
      <c r="AD627" s="117" t="str">
        <f t="shared" si="532"/>
        <v/>
      </c>
      <c r="AE627" s="117" t="str">
        <f t="shared" si="547"/>
        <v/>
      </c>
      <c r="AF627" s="117" t="str">
        <f t="shared" si="533"/>
        <v/>
      </c>
      <c r="AG627" s="470"/>
      <c r="AH627" s="470"/>
      <c r="AI627" s="125" t="str">
        <f t="shared" si="534"/>
        <v/>
      </c>
      <c r="AJ627" s="470"/>
      <c r="AK627" s="470"/>
      <c r="AL627" s="472"/>
      <c r="AM627" s="496"/>
      <c r="AN627" s="125"/>
      <c r="AO627" s="490"/>
      <c r="AP627" s="125"/>
      <c r="AQ627" s="490"/>
      <c r="AR627" s="522"/>
      <c r="AS627" s="522"/>
      <c r="AT627" s="138"/>
      <c r="AU627" s="702"/>
      <c r="AV627" s="702"/>
      <c r="AW627" s="708"/>
      <c r="AX627" s="708"/>
      <c r="AY627" s="19"/>
      <c r="CB627" s="29" t="str">
        <f>IFERROR(IF(COUNTIF(AF623:AF632,"")=10,"",IF(COUNTIF(E623:E632,"N/A")&gt;0,IF(AF627&gt;=CMEMM1,AF627,0),"N/A")),"")</f>
        <v/>
      </c>
      <c r="CC627" s="4"/>
      <c r="CD627" s="4" t="str">
        <f>IFERROR(IF(COUNTIF(AF623:AF632,"")=10,"",IF(AF627="","",IF(AF627&gt;=CMEMM1,1,0))),"")</f>
        <v/>
      </c>
      <c r="CE627" s="4" t="str">
        <f>B623&amp;"-0"&amp;5</f>
        <v>P63-05</v>
      </c>
      <c r="CF627" s="4">
        <f>IFERROR(INDEX('DESEMPATE Y DISCAPACIDAD'!$D$3:$D$450,MATCH(CE627,'DESEMPATE Y DISCAPACIDAD'!$C$3:$C$450,0)),"")</f>
        <v>0</v>
      </c>
      <c r="CG627" s="4">
        <f>IF(OR(CE627="",CF627=""),"",SUMIF(D623:D632,CF627,CD623:CD632))</f>
        <v>0</v>
      </c>
      <c r="CH627" s="4" t="str">
        <f t="shared" si="535"/>
        <v>NO CUMPLE</v>
      </c>
      <c r="CI627" s="4">
        <f t="shared" si="573"/>
        <v>0</v>
      </c>
      <c r="CJ627" s="4"/>
      <c r="CK627" s="4"/>
      <c r="CL627" s="4" t="str">
        <f t="shared" si="536"/>
        <v/>
      </c>
      <c r="CM627" s="4" t="str">
        <f t="shared" si="537"/>
        <v/>
      </c>
      <c r="CN627" s="4" t="str">
        <f t="shared" si="574"/>
        <v/>
      </c>
      <c r="CO627" s="4"/>
      <c r="CP627" s="4"/>
      <c r="CQ627" s="29" t="str">
        <f t="shared" si="538"/>
        <v/>
      </c>
      <c r="CR627" s="29" t="str">
        <f t="shared" si="539"/>
        <v/>
      </c>
      <c r="CS627" s="4"/>
    </row>
    <row r="628" spans="1:97" ht="34.25" hidden="1" customHeight="1">
      <c r="B628" s="481"/>
      <c r="C628" s="118"/>
      <c r="D628" s="126" t="str">
        <f>+IFERROR(INDEX('DESEMPATE Y DISCAPACIDAD'!$D$3:$D$450,MATCH(C628,'DESEMPATE Y DISCAPACIDAD'!$C$3:$C$450,0)),"")</f>
        <v/>
      </c>
      <c r="E628" s="127" t="str">
        <f>IFERROR(IF(D628="","",IF(VLOOKUP(D628,'DESEMPATE Y DISCAPACIDAD'!D$3:$E$450,2,FALSE)=1,"N/A",IF(VLOOKUP(D628,'DESEMPATE Y DISCAPACIDAD'!D$3:$F$450,3,FALSE)="X","SI","NO"))),"")</f>
        <v/>
      </c>
      <c r="F628" s="125"/>
      <c r="G628" s="125"/>
      <c r="H628" s="125"/>
      <c r="I628" s="128"/>
      <c r="J628" s="125"/>
      <c r="K628" s="125"/>
      <c r="L628" s="125"/>
      <c r="M628" s="125"/>
      <c r="N628" s="125" t="str">
        <f t="shared" si="569"/>
        <v/>
      </c>
      <c r="O628" s="125" t="str">
        <f t="shared" si="575"/>
        <v/>
      </c>
      <c r="P628" s="125" t="str">
        <f t="shared" si="570"/>
        <v/>
      </c>
      <c r="Q628" s="125" t="str">
        <f t="shared" si="531"/>
        <v/>
      </c>
      <c r="R628" s="68"/>
      <c r="S628" s="129"/>
      <c r="T628" s="129"/>
      <c r="U628" s="125" t="str">
        <f t="shared" si="571"/>
        <v/>
      </c>
      <c r="V628" s="117" t="str">
        <f>IF(U628=2023,1160000,IFERROR(INDEX(SMMLV!$B$2:$B$101,MATCH(U628,SMMLV!$A$2:$A$101,0)),""))</f>
        <v/>
      </c>
      <c r="W628" s="117"/>
      <c r="X628" s="125"/>
      <c r="Y628" s="125"/>
      <c r="Z628" s="474"/>
      <c r="AA628" s="475"/>
      <c r="AB628" s="476"/>
      <c r="AC628" s="125" t="str">
        <f t="shared" si="572"/>
        <v/>
      </c>
      <c r="AD628" s="117" t="str">
        <f t="shared" si="532"/>
        <v/>
      </c>
      <c r="AE628" s="117" t="str">
        <f t="shared" si="547"/>
        <v/>
      </c>
      <c r="AF628" s="117" t="str">
        <f t="shared" si="533"/>
        <v/>
      </c>
      <c r="AG628" s="470"/>
      <c r="AH628" s="470"/>
      <c r="AI628" s="125" t="str">
        <f t="shared" si="534"/>
        <v/>
      </c>
      <c r="AJ628" s="470"/>
      <c r="AK628" s="470"/>
      <c r="AL628" s="472"/>
      <c r="AM628" s="496"/>
      <c r="AN628" s="125"/>
      <c r="AO628" s="490"/>
      <c r="AP628" s="125"/>
      <c r="AQ628" s="490"/>
      <c r="AR628" s="522"/>
      <c r="AS628" s="522"/>
      <c r="AT628" s="138"/>
      <c r="AU628" s="702"/>
      <c r="AV628" s="702"/>
      <c r="AW628" s="708"/>
      <c r="AX628" s="708"/>
      <c r="AY628" s="19"/>
      <c r="CB628" s="29" t="str">
        <f>IFERROR(IF(COUNTIF(AF623:AF632,"")=10,"",IF(COUNTIF(E623:E632,"N/A")&gt;0,IF(AF628&gt;=CMEMM1,AF628,0),"N/A")),"")</f>
        <v/>
      </c>
      <c r="CC628" s="4"/>
      <c r="CD628" s="4" t="str">
        <f>IFERROR(IF(COUNTIF(AF623:AF632,"")=10,"",IF(AF628="","",IF(AF628&gt;=CMEMM1,1,0))),"")</f>
        <v/>
      </c>
      <c r="CE628" s="4" t="str">
        <f>B623&amp;"-0"&amp;6</f>
        <v>P63-06</v>
      </c>
      <c r="CF628" s="4">
        <f>IFERROR(INDEX('DESEMPATE Y DISCAPACIDAD'!$D$3:$D$450,MATCH(CE628,'DESEMPATE Y DISCAPACIDAD'!$C$3:$C$450,0)),"")</f>
        <v>0</v>
      </c>
      <c r="CG628" s="4">
        <f>IF(OR(CE628="",CF628=""),"",SUMIF(D623:D632,CF628,CD623:CD632))</f>
        <v>0</v>
      </c>
      <c r="CH628" s="4" t="str">
        <f t="shared" si="535"/>
        <v>NO CUMPLE</v>
      </c>
      <c r="CI628" s="4">
        <f t="shared" si="573"/>
        <v>0</v>
      </c>
      <c r="CJ628" s="4"/>
      <c r="CK628" s="4"/>
      <c r="CL628" s="4" t="str">
        <f t="shared" si="536"/>
        <v/>
      </c>
      <c r="CM628" s="4" t="str">
        <f t="shared" si="537"/>
        <v/>
      </c>
      <c r="CN628" s="4" t="str">
        <f t="shared" si="574"/>
        <v/>
      </c>
      <c r="CO628" s="4"/>
      <c r="CP628" s="4"/>
      <c r="CQ628" s="29" t="str">
        <f t="shared" si="538"/>
        <v/>
      </c>
      <c r="CR628" s="29" t="str">
        <f t="shared" si="539"/>
        <v/>
      </c>
      <c r="CS628" s="4"/>
    </row>
    <row r="629" spans="1:97" ht="34.25" hidden="1" customHeight="1">
      <c r="B629" s="481"/>
      <c r="C629" s="118"/>
      <c r="D629" s="126" t="str">
        <f>+IFERROR(INDEX('DESEMPATE Y DISCAPACIDAD'!$D$3:$D$450,MATCH(C629,'DESEMPATE Y DISCAPACIDAD'!$C$3:$C$450,0)),"")</f>
        <v/>
      </c>
      <c r="E629" s="127" t="str">
        <f>IFERROR(IF(D629="","",IF(VLOOKUP(D629,'DESEMPATE Y DISCAPACIDAD'!D$3:$E$450,2,FALSE)=1,"N/A",IF(VLOOKUP(D629,'DESEMPATE Y DISCAPACIDAD'!D$3:$F$450,3,FALSE)="X","SI","NO"))),"")</f>
        <v/>
      </c>
      <c r="F629" s="125"/>
      <c r="G629" s="125"/>
      <c r="H629" s="125"/>
      <c r="I629" s="128"/>
      <c r="J629" s="125"/>
      <c r="K629" s="125"/>
      <c r="L629" s="125"/>
      <c r="M629" s="125"/>
      <c r="N629" s="125" t="str">
        <f t="shared" si="569"/>
        <v/>
      </c>
      <c r="O629" s="125" t="str">
        <f t="shared" si="575"/>
        <v/>
      </c>
      <c r="P629" s="125" t="str">
        <f t="shared" si="570"/>
        <v/>
      </c>
      <c r="Q629" s="125" t="str">
        <f t="shared" si="531"/>
        <v/>
      </c>
      <c r="R629" s="68"/>
      <c r="S629" s="129"/>
      <c r="T629" s="129"/>
      <c r="U629" s="125" t="str">
        <f t="shared" si="571"/>
        <v/>
      </c>
      <c r="V629" s="117" t="str">
        <f>IF(U629=2023,1160000,IFERROR(INDEX(SMMLV!$B$2:$B$101,MATCH(U629,SMMLV!$A$2:$A$101,0)),""))</f>
        <v/>
      </c>
      <c r="W629" s="117"/>
      <c r="X629" s="125"/>
      <c r="Y629" s="125"/>
      <c r="Z629" s="474"/>
      <c r="AA629" s="475"/>
      <c r="AB629" s="476"/>
      <c r="AC629" s="125" t="str">
        <f t="shared" si="572"/>
        <v/>
      </c>
      <c r="AD629" s="117" t="str">
        <f t="shared" si="532"/>
        <v/>
      </c>
      <c r="AE629" s="117" t="str">
        <f t="shared" si="547"/>
        <v/>
      </c>
      <c r="AF629" s="117" t="str">
        <f t="shared" si="533"/>
        <v/>
      </c>
      <c r="AG629" s="470"/>
      <c r="AH629" s="470"/>
      <c r="AI629" s="125" t="str">
        <f t="shared" si="534"/>
        <v/>
      </c>
      <c r="AJ629" s="470"/>
      <c r="AK629" s="470"/>
      <c r="AL629" s="472"/>
      <c r="AM629" s="496"/>
      <c r="AN629" s="125"/>
      <c r="AO629" s="490"/>
      <c r="AP629" s="125"/>
      <c r="AQ629" s="490"/>
      <c r="AR629" s="522"/>
      <c r="AS629" s="522"/>
      <c r="AT629" s="138"/>
      <c r="AU629" s="702"/>
      <c r="AV629" s="702"/>
      <c r="AW629" s="708"/>
      <c r="AX629" s="708"/>
      <c r="AY629" s="19"/>
      <c r="CB629" s="29" t="str">
        <f>IFERROR(IF(COUNTIF(AF623:AF632,"")=10,"",IF(COUNTIF(E623:E632,"N/A")&gt;0,IF(AF629&gt;=CMEMM1,AF629,0),"N/A")),"")</f>
        <v/>
      </c>
      <c r="CC629" s="4"/>
      <c r="CD629" s="4" t="str">
        <f>IFERROR(IF(COUNTIF(AF623:AF632,"")=10,"",IF(AF629="","",IF(AF629&gt;=CMEMM1,1,0))),"")</f>
        <v/>
      </c>
      <c r="CE629" s="4" t="str">
        <f>B623&amp;"-0"&amp;7</f>
        <v>P63-07</v>
      </c>
      <c r="CF629" s="4" t="str">
        <f>IFERROR(INDEX('DESEMPATE Y DISCAPACIDAD'!$D$3:$D$450,MATCH(CE629,'DESEMPATE Y DISCAPACIDAD'!$C$3:$C$450,0)),"")</f>
        <v/>
      </c>
      <c r="CG629" s="4" t="str">
        <f>IF(OR(CE629="",CF629=""),"",SUMIF(D623:D632,CF629,CD623:CD632))</f>
        <v/>
      </c>
      <c r="CH629" s="4" t="str">
        <f t="shared" si="535"/>
        <v/>
      </c>
      <c r="CI629" s="4" t="str">
        <f t="shared" si="573"/>
        <v/>
      </c>
      <c r="CJ629" s="4"/>
      <c r="CK629" s="4"/>
      <c r="CL629" s="4" t="str">
        <f t="shared" si="536"/>
        <v/>
      </c>
      <c r="CM629" s="4" t="str">
        <f t="shared" si="537"/>
        <v/>
      </c>
      <c r="CN629" s="4" t="str">
        <f t="shared" si="574"/>
        <v/>
      </c>
      <c r="CO629" s="4"/>
      <c r="CP629" s="4"/>
      <c r="CQ629" s="29" t="str">
        <f t="shared" si="538"/>
        <v/>
      </c>
      <c r="CR629" s="29" t="str">
        <f t="shared" si="539"/>
        <v/>
      </c>
      <c r="CS629" s="4"/>
    </row>
    <row r="630" spans="1:97" ht="34.25" hidden="1" customHeight="1">
      <c r="B630" s="481"/>
      <c r="C630" s="118"/>
      <c r="D630" s="126" t="str">
        <f>+IFERROR(INDEX('DESEMPATE Y DISCAPACIDAD'!$D$3:$D$450,MATCH(C630,'DESEMPATE Y DISCAPACIDAD'!$C$3:$C$450,0)),"")</f>
        <v/>
      </c>
      <c r="E630" s="127" t="str">
        <f>IFERROR(IF(D630="","",IF(VLOOKUP(D630,'DESEMPATE Y DISCAPACIDAD'!D$3:$E$450,2,FALSE)=1,"N/A",IF(VLOOKUP(D630,'DESEMPATE Y DISCAPACIDAD'!D$3:$F$450,3,FALSE)="X","SI","NO"))),"")</f>
        <v/>
      </c>
      <c r="F630" s="125"/>
      <c r="G630" s="125"/>
      <c r="H630" s="125"/>
      <c r="I630" s="128"/>
      <c r="J630" s="125"/>
      <c r="K630" s="125"/>
      <c r="L630" s="125"/>
      <c r="M630" s="125"/>
      <c r="N630" s="125" t="str">
        <f t="shared" si="569"/>
        <v/>
      </c>
      <c r="O630" s="125" t="str">
        <f t="shared" si="575"/>
        <v/>
      </c>
      <c r="P630" s="125" t="str">
        <f t="shared" si="570"/>
        <v/>
      </c>
      <c r="Q630" s="125" t="str">
        <f t="shared" si="531"/>
        <v/>
      </c>
      <c r="R630" s="68"/>
      <c r="S630" s="129"/>
      <c r="T630" s="129"/>
      <c r="U630" s="125" t="str">
        <f t="shared" si="571"/>
        <v/>
      </c>
      <c r="V630" s="117" t="str">
        <f>IF(U630=2023,1160000,IFERROR(INDEX(SMMLV!$B$2:$B$101,MATCH(U630,SMMLV!$A$2:$A$101,0)),""))</f>
        <v/>
      </c>
      <c r="W630" s="117"/>
      <c r="X630" s="125"/>
      <c r="Y630" s="125"/>
      <c r="Z630" s="474"/>
      <c r="AA630" s="475"/>
      <c r="AB630" s="476"/>
      <c r="AC630" s="125" t="str">
        <f t="shared" si="572"/>
        <v/>
      </c>
      <c r="AD630" s="117" t="str">
        <f t="shared" si="532"/>
        <v/>
      </c>
      <c r="AE630" s="117" t="str">
        <f t="shared" si="547"/>
        <v/>
      </c>
      <c r="AF630" s="117" t="str">
        <f t="shared" si="533"/>
        <v/>
      </c>
      <c r="AG630" s="470"/>
      <c r="AH630" s="470"/>
      <c r="AI630" s="125" t="str">
        <f t="shared" si="534"/>
        <v/>
      </c>
      <c r="AJ630" s="470"/>
      <c r="AK630" s="470"/>
      <c r="AL630" s="472"/>
      <c r="AM630" s="496"/>
      <c r="AN630" s="125"/>
      <c r="AO630" s="490"/>
      <c r="AP630" s="125"/>
      <c r="AQ630" s="490"/>
      <c r="AR630" s="522"/>
      <c r="AS630" s="522"/>
      <c r="AT630" s="138"/>
      <c r="AU630" s="702"/>
      <c r="AV630" s="702"/>
      <c r="AW630" s="708"/>
      <c r="AX630" s="708"/>
      <c r="AY630" s="19"/>
      <c r="CB630" s="29" t="str">
        <f>IFERROR(IF(COUNTIF(AF623:AF632,"")=10,"",IF(COUNTIF(E623:E632,"N/A")&gt;0,IF(AF630&gt;=CMEMM1,AF630,0),"N/A")),"")</f>
        <v/>
      </c>
      <c r="CC630" s="4"/>
      <c r="CD630" s="4" t="str">
        <f>IFERROR(IF(COUNTIF(AF623:AF632,"")=10,"",IF(AF630="","",IF(AF630&gt;=CMEMM1,1,0))),"")</f>
        <v/>
      </c>
      <c r="CE630" s="4" t="str">
        <f>B623&amp;"-0"&amp;8</f>
        <v>P63-08</v>
      </c>
      <c r="CF630" s="4" t="str">
        <f>IFERROR(INDEX('DESEMPATE Y DISCAPACIDAD'!$D$3:$D$450,MATCH(CE630,'DESEMPATE Y DISCAPACIDAD'!$C$3:$C$450,0)),"")</f>
        <v/>
      </c>
      <c r="CG630" s="4" t="str">
        <f>IF(OR(CE630="",CF630=""),"",SUMIF(D623:D632,CF630,CD623:CD632))</f>
        <v/>
      </c>
      <c r="CH630" s="4" t="str">
        <f t="shared" si="535"/>
        <v/>
      </c>
      <c r="CI630" s="4" t="str">
        <f t="shared" si="573"/>
        <v/>
      </c>
      <c r="CJ630" s="4"/>
      <c r="CK630" s="4"/>
      <c r="CL630" s="4" t="str">
        <f t="shared" si="536"/>
        <v/>
      </c>
      <c r="CM630" s="4" t="str">
        <f t="shared" si="537"/>
        <v/>
      </c>
      <c r="CN630" s="4" t="str">
        <f t="shared" si="574"/>
        <v/>
      </c>
      <c r="CO630" s="4"/>
      <c r="CP630" s="4"/>
      <c r="CQ630" s="29" t="str">
        <f t="shared" si="538"/>
        <v/>
      </c>
      <c r="CR630" s="29" t="str">
        <f t="shared" si="539"/>
        <v/>
      </c>
      <c r="CS630" s="4"/>
    </row>
    <row r="631" spans="1:97" ht="34.25" hidden="1" customHeight="1">
      <c r="B631" s="481"/>
      <c r="C631" s="118"/>
      <c r="D631" s="126" t="str">
        <f>+IFERROR(INDEX('DESEMPATE Y DISCAPACIDAD'!$D$3:$D$450,MATCH(C631,'DESEMPATE Y DISCAPACIDAD'!$C$3:$C$450,0)),"")</f>
        <v/>
      </c>
      <c r="E631" s="127" t="str">
        <f>IFERROR(IF(D631="","",IF(VLOOKUP(D631,'DESEMPATE Y DISCAPACIDAD'!D$3:$E$450,2,FALSE)=1,"N/A",IF(VLOOKUP(D631,'DESEMPATE Y DISCAPACIDAD'!D$3:$F$450,3,FALSE)="X","SI","NO"))),"")</f>
        <v/>
      </c>
      <c r="F631" s="125"/>
      <c r="G631" s="125"/>
      <c r="H631" s="125"/>
      <c r="I631" s="128"/>
      <c r="J631" s="125"/>
      <c r="K631" s="125"/>
      <c r="L631" s="125"/>
      <c r="M631" s="125"/>
      <c r="N631" s="125" t="str">
        <f t="shared" si="569"/>
        <v/>
      </c>
      <c r="O631" s="125" t="str">
        <f t="shared" si="575"/>
        <v/>
      </c>
      <c r="P631" s="125" t="str">
        <f t="shared" si="570"/>
        <v/>
      </c>
      <c r="Q631" s="125" t="str">
        <f t="shared" si="531"/>
        <v/>
      </c>
      <c r="R631" s="68"/>
      <c r="S631" s="129"/>
      <c r="T631" s="129"/>
      <c r="U631" s="125" t="str">
        <f t="shared" si="571"/>
        <v/>
      </c>
      <c r="V631" s="117" t="str">
        <f>IF(U631=2023,1160000,IFERROR(INDEX(SMMLV!$B$2:$B$101,MATCH(U631,SMMLV!$A$2:$A$101,0)),""))</f>
        <v/>
      </c>
      <c r="W631" s="117"/>
      <c r="X631" s="125"/>
      <c r="Y631" s="125"/>
      <c r="Z631" s="474"/>
      <c r="AA631" s="475"/>
      <c r="AB631" s="476"/>
      <c r="AC631" s="125" t="str">
        <f t="shared" si="572"/>
        <v/>
      </c>
      <c r="AD631" s="117" t="str">
        <f t="shared" si="532"/>
        <v/>
      </c>
      <c r="AE631" s="117" t="str">
        <f t="shared" si="547"/>
        <v/>
      </c>
      <c r="AF631" s="117" t="str">
        <f t="shared" si="533"/>
        <v/>
      </c>
      <c r="AG631" s="470"/>
      <c r="AH631" s="470"/>
      <c r="AI631" s="125" t="str">
        <f t="shared" si="534"/>
        <v/>
      </c>
      <c r="AJ631" s="470"/>
      <c r="AK631" s="470"/>
      <c r="AL631" s="472"/>
      <c r="AM631" s="496"/>
      <c r="AN631" s="125"/>
      <c r="AO631" s="490"/>
      <c r="AP631" s="125"/>
      <c r="AQ631" s="490"/>
      <c r="AR631" s="522"/>
      <c r="AS631" s="522"/>
      <c r="AT631" s="138"/>
      <c r="AU631" s="702"/>
      <c r="AV631" s="702"/>
      <c r="AW631" s="708"/>
      <c r="AX631" s="708"/>
      <c r="AY631" s="19"/>
      <c r="CB631" s="29" t="str">
        <f>IFERROR(IF(COUNTIF(AF623:AF632,"")=10,"",IF(COUNTIF(E623:E632,"N/A")&gt;0,IF(AF631&gt;=CMEMM1,AF631,0),"N/A")),"")</f>
        <v/>
      </c>
      <c r="CC631" s="4"/>
      <c r="CD631" s="4" t="str">
        <f>IFERROR(IF(COUNTIF(AF623:AF632,"")=10,"",IF(AF631="","",IF(AF631&gt;=CMEMM1,1,0))),"")</f>
        <v/>
      </c>
      <c r="CE631" s="4" t="str">
        <f>B623&amp;"-0"&amp;9</f>
        <v>P63-09</v>
      </c>
      <c r="CF631" s="4" t="str">
        <f>IFERROR(INDEX('DESEMPATE Y DISCAPACIDAD'!$D$3:$D$450,MATCH(CE631,'DESEMPATE Y DISCAPACIDAD'!$C$3:$C$450,0)),"")</f>
        <v/>
      </c>
      <c r="CG631" s="4" t="str">
        <f>IF(OR(CE631="",CF631=""),"",SUMIF(D623:D632,CF631,CD623:CD632))</f>
        <v/>
      </c>
      <c r="CH631" s="4" t="str">
        <f t="shared" si="535"/>
        <v/>
      </c>
      <c r="CI631" s="4" t="str">
        <f t="shared" si="573"/>
        <v/>
      </c>
      <c r="CJ631" s="4"/>
      <c r="CK631" s="4"/>
      <c r="CL631" s="4" t="str">
        <f t="shared" si="536"/>
        <v/>
      </c>
      <c r="CM631" s="4" t="str">
        <f t="shared" si="537"/>
        <v/>
      </c>
      <c r="CN631" s="4" t="str">
        <f t="shared" si="574"/>
        <v/>
      </c>
      <c r="CO631" s="4"/>
      <c r="CP631" s="4"/>
      <c r="CQ631" s="29" t="str">
        <f t="shared" si="538"/>
        <v/>
      </c>
      <c r="CR631" s="29" t="str">
        <f t="shared" si="539"/>
        <v/>
      </c>
      <c r="CS631" s="4"/>
    </row>
    <row r="632" spans="1:97" ht="34.25" hidden="1" customHeight="1" thickBot="1">
      <c r="B632" s="482"/>
      <c r="C632" s="130"/>
      <c r="D632" s="131" t="str">
        <f>+IFERROR(INDEX('DESEMPATE Y DISCAPACIDAD'!$D$3:$D$450,MATCH(C632,'DESEMPATE Y DISCAPACIDAD'!$C$3:$C$450,0)),"")</f>
        <v/>
      </c>
      <c r="E632" s="132" t="str">
        <f>IFERROR(IF(D632="","",IF(VLOOKUP(D632,'DESEMPATE Y DISCAPACIDAD'!D$3:$E$450,2,FALSE)=1,"N/A",IF(VLOOKUP(D632,'DESEMPATE Y DISCAPACIDAD'!D$3:$F$450,3,FALSE)="X","SI","NO"))),"")</f>
        <v/>
      </c>
      <c r="F632" s="133"/>
      <c r="G632" s="133"/>
      <c r="H632" s="133"/>
      <c r="I632" s="134"/>
      <c r="J632" s="133"/>
      <c r="K632" s="133"/>
      <c r="L632" s="133"/>
      <c r="M632" s="133"/>
      <c r="N632" s="133" t="str">
        <f t="shared" si="569"/>
        <v/>
      </c>
      <c r="O632" s="133" t="str">
        <f t="shared" si="575"/>
        <v/>
      </c>
      <c r="P632" s="133" t="str">
        <f t="shared" si="570"/>
        <v/>
      </c>
      <c r="Q632" s="133" t="str">
        <f t="shared" si="531"/>
        <v/>
      </c>
      <c r="R632" s="104"/>
      <c r="S632" s="135"/>
      <c r="T632" s="135"/>
      <c r="U632" s="133" t="str">
        <f t="shared" si="571"/>
        <v/>
      </c>
      <c r="V632" s="136" t="str">
        <f>IF(U632=2023,1160000,IFERROR(INDEX(SMMLV!$B$2:$B$101,MATCH(U632,SMMLV!$A$2:$A$101,0)),""))</f>
        <v/>
      </c>
      <c r="W632" s="136"/>
      <c r="X632" s="133"/>
      <c r="Y632" s="133"/>
      <c r="Z632" s="487"/>
      <c r="AA632" s="488"/>
      <c r="AB632" s="489"/>
      <c r="AC632" s="133" t="str">
        <f t="shared" si="572"/>
        <v/>
      </c>
      <c r="AD632" s="136" t="str">
        <f t="shared" si="532"/>
        <v/>
      </c>
      <c r="AE632" s="117" t="str">
        <f t="shared" si="547"/>
        <v/>
      </c>
      <c r="AF632" s="136" t="str">
        <f t="shared" si="533"/>
        <v/>
      </c>
      <c r="AG632" s="471"/>
      <c r="AH632" s="471"/>
      <c r="AI632" s="133" t="str">
        <f t="shared" si="534"/>
        <v/>
      </c>
      <c r="AJ632" s="471"/>
      <c r="AK632" s="471"/>
      <c r="AL632" s="473"/>
      <c r="AM632" s="497"/>
      <c r="AN632" s="133"/>
      <c r="AO632" s="491"/>
      <c r="AP632" s="133"/>
      <c r="AQ632" s="491"/>
      <c r="AR632" s="523"/>
      <c r="AS632" s="523"/>
      <c r="AT632" s="139"/>
      <c r="AU632" s="703"/>
      <c r="AV632" s="703"/>
      <c r="AW632" s="709"/>
      <c r="AX632" s="709"/>
      <c r="AY632" s="19"/>
      <c r="CB632" s="29" t="str">
        <f>IFERROR(IF(COUNTIF(AF623:AF632,"")=10,"",IF(COUNTIF(E623:E632,"N/A")&gt;0,IF(AF632&gt;=CMEMM1,AF632,0),"N/A")),"")</f>
        <v/>
      </c>
      <c r="CC632" s="4"/>
      <c r="CD632" s="4" t="str">
        <f>IFERROR(IF(COUNTIF(AF623:AF632,"")=10,"",IF(AF632="","",IF(AF632&gt;=CMEMM1,1,0))),"")</f>
        <v/>
      </c>
      <c r="CE632" s="4" t="str">
        <f>B623&amp;"-"&amp;10</f>
        <v>P63-10</v>
      </c>
      <c r="CF632" s="4" t="str">
        <f>IFERROR(INDEX('DESEMPATE Y DISCAPACIDAD'!$D$3:$D$450,MATCH(CE632,'DESEMPATE Y DISCAPACIDAD'!$C$3:$C$450,0)),"")</f>
        <v/>
      </c>
      <c r="CG632" s="4" t="str">
        <f>IF(OR(CE632="",CF632=""),"",SUMIF(D623:D632,CF632,CD623:CD632))</f>
        <v/>
      </c>
      <c r="CH632" s="4" t="str">
        <f t="shared" si="535"/>
        <v/>
      </c>
      <c r="CI632" s="4" t="str">
        <f t="shared" si="573"/>
        <v/>
      </c>
      <c r="CJ632" s="4"/>
      <c r="CK632" s="4"/>
      <c r="CL632" s="4" t="str">
        <f t="shared" si="536"/>
        <v/>
      </c>
      <c r="CM632" s="4" t="str">
        <f t="shared" si="537"/>
        <v/>
      </c>
      <c r="CN632" s="4" t="str">
        <f t="shared" si="574"/>
        <v/>
      </c>
      <c r="CO632" s="4"/>
      <c r="CP632" s="4"/>
      <c r="CQ632" s="29" t="str">
        <f t="shared" si="538"/>
        <v/>
      </c>
      <c r="CR632" s="29" t="str">
        <f t="shared" si="539"/>
        <v/>
      </c>
      <c r="CS632" s="4"/>
    </row>
    <row r="633" spans="1:97" ht="34.25" hidden="1" customHeight="1">
      <c r="A633" s="4" t="str">
        <f>"A"&amp;B633</f>
        <v>AP64</v>
      </c>
      <c r="B633" s="480" t="s">
        <v>594</v>
      </c>
      <c r="C633" s="108"/>
      <c r="D633" s="119" t="str">
        <f>+IFERROR(INDEX('DESEMPATE Y DISCAPACIDAD'!$D$3:$D$450,MATCH(C633,'DESEMPATE Y DISCAPACIDAD'!$C$3:$C$450,0)),"")</f>
        <v/>
      </c>
      <c r="E633" s="120" t="str">
        <f>IFERROR(IF(D633="","",IF(VLOOKUP(D633,'DESEMPATE Y DISCAPACIDAD'!D$3:$E$450,2,FALSE)=1,"N/A",IF(VLOOKUP(D633,'DESEMPATE Y DISCAPACIDAD'!D$3:$F$450,3,FALSE)="X","SI","NO"))),"")</f>
        <v/>
      </c>
      <c r="F633" s="125"/>
      <c r="G633" s="125"/>
      <c r="H633" s="121"/>
      <c r="I633" s="122"/>
      <c r="J633" s="121"/>
      <c r="K633" s="121"/>
      <c r="L633" s="179"/>
      <c r="M633" s="121"/>
      <c r="N633" s="121" t="str">
        <f>IFERROR(IF(OR(J633="",K633=""),"",IF(J633="NO","NO",K633)),"")</f>
        <v/>
      </c>
      <c r="O633" s="121" t="str">
        <f>IFERROR(IF(OR(J633="",L633=""),"",IF(J633="NO","NO",L633)),"")</f>
        <v/>
      </c>
      <c r="P633" s="121" t="str">
        <f>IFERROR(IF(OR(J633="",M633=""),"",IF(J633="NO","NO",M633)),"")</f>
        <v/>
      </c>
      <c r="Q633" s="121" t="str">
        <f t="shared" si="531"/>
        <v/>
      </c>
      <c r="R633" s="103"/>
      <c r="S633" s="123"/>
      <c r="T633" s="123"/>
      <c r="U633" s="121" t="str">
        <f>IFERROR(IF(T633="","",YEAR(T633)),"")</f>
        <v/>
      </c>
      <c r="V633" s="124" t="str">
        <f>IF(U633=2023,1160000,IFERROR(INDEX(SMMLV!$B$2:$B$101,MATCH(U633,SMMLV!$A$2:$A$101,0)),""))</f>
        <v/>
      </c>
      <c r="W633" s="124"/>
      <c r="X633" s="121"/>
      <c r="Y633" s="121"/>
      <c r="Z633" s="483"/>
      <c r="AA633" s="484"/>
      <c r="AB633" s="485"/>
      <c r="AC633" s="121" t="str">
        <f>IFERROR(IF(Y633="","",IF(ISNUMBER(Y633),IF(COUNTIF(Z633,"SI")&gt;0,"SI","NO"),Y633)),"")</f>
        <v/>
      </c>
      <c r="AD633" s="124" t="str">
        <f t="shared" si="532"/>
        <v/>
      </c>
      <c r="AE633" s="117" t="str">
        <f t="shared" si="547"/>
        <v/>
      </c>
      <c r="AF633" s="124" t="str">
        <f t="shared" si="533"/>
        <v/>
      </c>
      <c r="AG633" s="486" t="str">
        <f>IFERROR(IF(COUNTIF(AF633:AF642,"")=10,"",IF(COUNTIF(E633:E642,"N/A")&gt;0,IF(SUM(CB633:CB642)&gt;=CMEM1,"CUMPLE","NO CUMPLE"),IF(SUM(AF633:AF642)&gt;=CMEM1,"CUMPLE","NO CUMPLE"))),"")</f>
        <v/>
      </c>
      <c r="AH633" s="486" t="str">
        <f>IF(COUNTIF(AF633:AF642,"")=10,"",IF(SUMIF(C633:C642,C633,AF633:AF642)&gt;=CMLM1,"CUMPLE",IF(SUMIF(C633:C642,C634,AF633:AF642)&gt;=CMLM1,"CUMPLE",IF(SUMIF(C633:C642,C635,AF633:AF642)&gt;=CMLM1,"CUMPLE",IF(SUMIF(C633:C642,C636,AF633:AF642)&gt;=CMLM1,"CUMPLE",IF(SUMIF(C633:C642,C637,AF633:AF642)&gt;=CMLM1,"CUMPLE",IF(SUMIF(C633:C642,C638,AF633:AF642)&gt;=CMLM1,"CUMPLE",IF(SUMIF(C633:C642,C639,AF633:AF642)&gt;=CMLM1,"CUMPLE",IF(SUMIF(C633:C642,C640,AF633:AF642)&gt;=CMLM1,"CUMPLE",IF(SUMIF(C633:C642,C641,AF633:AF642)&gt;=CMLM1,"CUMPLE",IF(SUMIF(C633:C642,C642,AF633:AF642)&gt;=CMLM1,"CUMPLE","NO CUMPLE")))))))))))</f>
        <v/>
      </c>
      <c r="AI633" s="121" t="str">
        <f t="shared" si="534"/>
        <v/>
      </c>
      <c r="AJ633" s="469" t="str">
        <f>IFERROR(IF(COUNTIF(AF633:AF642,"")=10,"",IF(COUNTIF(E633:E642,"N/A")&gt;0,"N/A",CJ633)),"")</f>
        <v/>
      </c>
      <c r="AK633" s="469" t="str">
        <f>IFERROR(IF(AND(COUNTIF(N633:N642,"SI")&gt;=1,COUNTIF(O633:O642,"SI")&gt;=1,COUNTIF(P633:P642,"SI")&gt;=1,COUNTIF(J633:J642,"SI")&lt;=10,CO633="CUMPLE"),"CUMPLE","NO CUMPLE"),"")</f>
        <v>NO CUMPLE</v>
      </c>
      <c r="AL633" s="472"/>
      <c r="AM633" s="495">
        <f>IFERROR(IF(B633&lt;&gt;"",IF(VLOOKUP(B633,'DESEMPATE Y DISCAPACIDAD'!$A$3:$Q$450,10,FALSE)="","",VLOOKUP(B633,'DESEMPATE Y DISCAPACIDAD'!$A$3:$Q$450,10,FALSE)+6),""),"")</f>
        <v>6</v>
      </c>
      <c r="AN633" s="121"/>
      <c r="AO633" s="490"/>
      <c r="AP633" s="121"/>
      <c r="AQ633" s="490" t="str">
        <f>IFERROR(IF(COUNTIF(AP633:AP642,"")=10,"",IF(AO633="NO",0,COUNTIF(AP633:AP642,"SI"))),"")</f>
        <v/>
      </c>
      <c r="AR633" s="521" t="str">
        <f>IFERROR(IF(COUNTIF(AF633:AF642,"")=10,"",IF(AO633="NO",0,IF(COUNTIF(E633:E642,"N/A")&gt;0,SUM(CQ633:CQ642),SUM(CR633:CR642)))),"")</f>
        <v/>
      </c>
      <c r="AS633" s="521" t="str">
        <f>IFERROR(IF(OR(COUNTIF(AF633:AF642,"")=10,AQ633="",AR633=""),"",IF(AO633="NO",0,AR633/AQ633)),"")</f>
        <v/>
      </c>
      <c r="AT633" s="137"/>
      <c r="AU633" s="701"/>
      <c r="AV633" s="701"/>
      <c r="AW633" s="707"/>
      <c r="AX633" s="707"/>
      <c r="AY633" s="19"/>
      <c r="CB633" s="29" t="str">
        <f>IFERROR(IF(COUNTIF(AF633:AF642,"")=10,"",IF(COUNTIF(E633:E642,"N/A")&gt;0,IF(AF633&gt;=CMEMM1,AF633,0),"N/A")),"")</f>
        <v/>
      </c>
      <c r="CC633" s="4"/>
      <c r="CD633" s="4" t="str">
        <f>IFERROR(IF(COUNTIF(AF633:AF642,"")=10,"",IF(AF633="","",IF(AF633&gt;=CMEMM1,1,0))),"")</f>
        <v/>
      </c>
      <c r="CE633" s="4" t="str">
        <f>B633&amp;"-0"&amp;1</f>
        <v>P64-01</v>
      </c>
      <c r="CF633" s="4">
        <f>IFERROR(INDEX('DESEMPATE Y DISCAPACIDAD'!$D$3:$D$450,MATCH(CE633,'DESEMPATE Y DISCAPACIDAD'!$C$3:$C$450,0)),"")</f>
        <v>0</v>
      </c>
      <c r="CG633" s="4">
        <f>IF(OR(CE633="",CF633=""),"",SUMIF(D633:D642,CF633,CD633:CD642))</f>
        <v>0</v>
      </c>
      <c r="CH633" s="4" t="str">
        <f t="shared" si="535"/>
        <v>NO CUMPLE</v>
      </c>
      <c r="CI633" s="4">
        <f>IF(CF633="","",IF(ISTEXT(CF633),1,0))</f>
        <v>0</v>
      </c>
      <c r="CJ633" s="4" t="str">
        <f>IF(OR(CE633="",CF633="",CG633="",CH633="",CI633=""),"",IF(COUNTIF(CH633:CH642,"CUMPLE")=COUNTIF(CI633:CI642,1),"CUMPLE","NO CUMPLE"))</f>
        <v>CUMPLE</v>
      </c>
      <c r="CK633" s="4"/>
      <c r="CL633" s="4" t="str">
        <f t="shared" si="536"/>
        <v/>
      </c>
      <c r="CM633" s="4" t="str">
        <f t="shared" si="537"/>
        <v/>
      </c>
      <c r="CN633" s="4" t="str">
        <f>IF(OR(CL633="",CM633=""),"",IF(AND(CL633=0,CM633=0),"N/A",IF(AND(CL633=1,CM633=0),"COND. A",IF(AND(CL633=0,CM633=1),"COND. B",IF(AND(CL633=1,CM633=1),"COND. A Y B","")))))</f>
        <v/>
      </c>
      <c r="CO633" s="4" t="str">
        <f>IF(COUNTIF(CN633:CN642,"N/A")=10,"NO CUMPLE",IF(COUNTIF(CN633:CN642,"COND. A Y B")&gt;1,"CUMPLE",IF(AND(COUNTIF(CN633:CN642,"COND. A")&gt;0,COUNTIF(CN633:CN642,"COND. B")&gt;0),"CUMPLE",IF(AND(COUNTIF(CN633:CN642,"COND. A Y B")&gt;0,COUNTIF(CN633:CN642,"COND. A")&gt;0),"CUMPLE",IF(AND(COUNTIF(CN633:CN642,"COND. A Y B")&gt;0,COUNTIF(CN633:CN642,"COND. B")&gt;0),"CUMPLE","NO CUMPLE")))))</f>
        <v>NO CUMPLE</v>
      </c>
      <c r="CP633" s="4"/>
      <c r="CQ633" s="29" t="str">
        <f t="shared" si="538"/>
        <v/>
      </c>
      <c r="CR633" s="29" t="str">
        <f t="shared" si="539"/>
        <v/>
      </c>
      <c r="CS633" s="4"/>
    </row>
    <row r="634" spans="1:97" ht="34.25" hidden="1" customHeight="1">
      <c r="B634" s="481"/>
      <c r="C634" s="118"/>
      <c r="D634" s="119" t="str">
        <f>+IFERROR(INDEX('DESEMPATE Y DISCAPACIDAD'!$D$3:$D$450,MATCH(C634,'DESEMPATE Y DISCAPACIDAD'!$C$3:$C$450,0)),"")</f>
        <v/>
      </c>
      <c r="E634" s="120" t="str">
        <f>IFERROR(IF(D634="","",IF(VLOOKUP(D634,'DESEMPATE Y DISCAPACIDAD'!D$3:$E$450,2,FALSE)=1,"N/A",IF(VLOOKUP(D634,'DESEMPATE Y DISCAPACIDAD'!D$3:$F$450,3,FALSE)="X","SI","NO"))),"")</f>
        <v/>
      </c>
      <c r="F634" s="125"/>
      <c r="G634" s="125"/>
      <c r="H634" s="121"/>
      <c r="I634" s="122"/>
      <c r="J634" s="121"/>
      <c r="K634" s="121"/>
      <c r="L634" s="179"/>
      <c r="M634" s="121"/>
      <c r="N634" s="121" t="str">
        <f t="shared" ref="N634:N642" si="576">IFERROR(IF(OR(J634="",K634=""),"",IF(J634="NO","NO",K634)),"")</f>
        <v/>
      </c>
      <c r="O634" s="121" t="str">
        <f>IFERROR(IF(OR(J634="",L634=""),"",IF(J634="NO","NO",L634)),"")</f>
        <v/>
      </c>
      <c r="P634" s="121" t="str">
        <f t="shared" ref="P634:P642" si="577">IFERROR(IF(OR(J634="",M634=""),"",IF(J634="NO","NO",M634)),"")</f>
        <v/>
      </c>
      <c r="Q634" s="121" t="str">
        <f t="shared" si="531"/>
        <v/>
      </c>
      <c r="R634" s="103"/>
      <c r="S634" s="123"/>
      <c r="T634" s="123"/>
      <c r="U634" s="121" t="str">
        <f t="shared" ref="U634:U642" si="578">IFERROR(IF(T634="","",YEAR(T634)),"")</f>
        <v/>
      </c>
      <c r="V634" s="124" t="str">
        <f>IF(U634=2023,1160000,IFERROR(INDEX(SMMLV!$B$2:$B$101,MATCH(U634,SMMLV!$A$2:$A$101,0)),""))</f>
        <v/>
      </c>
      <c r="W634" s="124"/>
      <c r="X634" s="125"/>
      <c r="Y634" s="125"/>
      <c r="Z634" s="474"/>
      <c r="AA634" s="475"/>
      <c r="AB634" s="476"/>
      <c r="AC634" s="125" t="str">
        <f t="shared" ref="AC634:AC642" si="579">IFERROR(IF(Y634="","",IF(ISNUMBER(Y634),IF(COUNTIF(Z634,"SI")&gt;0,"SI","NO"),Y634)),"")</f>
        <v/>
      </c>
      <c r="AD634" s="117" t="str">
        <f t="shared" si="532"/>
        <v/>
      </c>
      <c r="AE634" s="117" t="str">
        <f t="shared" si="547"/>
        <v/>
      </c>
      <c r="AF634" s="117" t="str">
        <f t="shared" si="533"/>
        <v/>
      </c>
      <c r="AG634" s="470"/>
      <c r="AH634" s="470"/>
      <c r="AI634" s="125" t="str">
        <f t="shared" si="534"/>
        <v/>
      </c>
      <c r="AJ634" s="470"/>
      <c r="AK634" s="470"/>
      <c r="AL634" s="472"/>
      <c r="AM634" s="496"/>
      <c r="AN634" s="125"/>
      <c r="AO634" s="490"/>
      <c r="AP634" s="125"/>
      <c r="AQ634" s="490"/>
      <c r="AR634" s="522"/>
      <c r="AS634" s="522"/>
      <c r="AT634" s="138"/>
      <c r="AU634" s="702"/>
      <c r="AV634" s="702"/>
      <c r="AW634" s="708"/>
      <c r="AX634" s="708"/>
      <c r="AY634" s="19"/>
      <c r="CB634" s="29" t="str">
        <f>IFERROR(IF(COUNTIF(AF633:AF642,"")=10,"",IF(COUNTIF(E633:E642,"N/A")&gt;0,IF(AF634&gt;=CMEMM1,AF634,0),"N/A")),"")</f>
        <v/>
      </c>
      <c r="CC634" s="4"/>
      <c r="CD634" s="4" t="str">
        <f>IFERROR(IF(COUNTIF(AF633:AF642,"")=10,"",IF(AF634="","",IF(AF634&gt;=CMEMM1,1,0))),"")</f>
        <v/>
      </c>
      <c r="CE634" s="4" t="str">
        <f>B633&amp;"-0"&amp;2</f>
        <v>P64-02</v>
      </c>
      <c r="CF634" s="4">
        <f>IFERROR(INDEX('DESEMPATE Y DISCAPACIDAD'!$D$3:$D$450,MATCH(CE634,'DESEMPATE Y DISCAPACIDAD'!$C$3:$C$450,0)),"")</f>
        <v>0</v>
      </c>
      <c r="CG634" s="4">
        <f>IF(OR(CE634="",CF634=""),"",SUMIF(D633:D642,CF634,CD633:CD642))</f>
        <v>0</v>
      </c>
      <c r="CH634" s="4" t="str">
        <f t="shared" si="535"/>
        <v>NO CUMPLE</v>
      </c>
      <c r="CI634" s="4">
        <f t="shared" ref="CI634:CI642" si="580">IF(CF634="","",IF(ISTEXT(CF634),1,0))</f>
        <v>0</v>
      </c>
      <c r="CJ634" s="4"/>
      <c r="CK634" s="4"/>
      <c r="CL634" s="4" t="str">
        <f t="shared" si="536"/>
        <v/>
      </c>
      <c r="CM634" s="4" t="str">
        <f t="shared" si="537"/>
        <v/>
      </c>
      <c r="CN634" s="4" t="str">
        <f t="shared" ref="CN634:CN642" si="581">IF(OR(CL634="",CM634=""),"",IF(AND(CL634=0,CM634=0),"N/A",IF(AND(CL634=1,CM634=0),"COND. A",IF(AND(CL634=0,CM634=1),"COND. B",IF(AND(CL634=1,CM634=1),"COND. A Y B","")))))</f>
        <v/>
      </c>
      <c r="CO634" s="4"/>
      <c r="CP634" s="4"/>
      <c r="CQ634" s="29" t="str">
        <f t="shared" si="538"/>
        <v/>
      </c>
      <c r="CR634" s="29" t="str">
        <f t="shared" si="539"/>
        <v/>
      </c>
      <c r="CS634" s="4"/>
    </row>
    <row r="635" spans="1:97" ht="34.25" hidden="1" customHeight="1">
      <c r="B635" s="481"/>
      <c r="C635" s="118"/>
      <c r="D635" s="126" t="str">
        <f>+IFERROR(INDEX('DESEMPATE Y DISCAPACIDAD'!$D$3:$D$450,MATCH(C635,'DESEMPATE Y DISCAPACIDAD'!$C$3:$C$450,0)),"")</f>
        <v/>
      </c>
      <c r="E635" s="127" t="str">
        <f>IFERROR(IF(D635="","",IF(VLOOKUP(D635,'DESEMPATE Y DISCAPACIDAD'!D$3:$E$450,2,FALSE)=1,"N/A",IF(VLOOKUP(D635,'DESEMPATE Y DISCAPACIDAD'!D$3:$F$450,3,FALSE)="X","SI","NO"))),"")</f>
        <v/>
      </c>
      <c r="F635" s="121"/>
      <c r="G635" s="121"/>
      <c r="H635" s="125"/>
      <c r="I635" s="128"/>
      <c r="J635" s="125"/>
      <c r="K635" s="125"/>
      <c r="L635" s="3"/>
      <c r="M635" s="3"/>
      <c r="N635" s="125" t="str">
        <f t="shared" si="576"/>
        <v/>
      </c>
      <c r="O635" s="125" t="str">
        <f>IFERROR(IF(OR(J635="",L635=""),"",IF(J635="NO","NO",L635)),"")</f>
        <v/>
      </c>
      <c r="P635" s="125" t="str">
        <f t="shared" si="577"/>
        <v/>
      </c>
      <c r="Q635" s="125" t="str">
        <f t="shared" si="531"/>
        <v/>
      </c>
      <c r="R635" s="68"/>
      <c r="S635" s="129"/>
      <c r="T635" s="129"/>
      <c r="U635" s="125" t="str">
        <f t="shared" si="578"/>
        <v/>
      </c>
      <c r="V635" s="117" t="str">
        <f>IF(U635=2023,1160000,IFERROR(INDEX(SMMLV!$B$2:$B$101,MATCH(U635,SMMLV!$A$2:$A$101,0)),""))</f>
        <v/>
      </c>
      <c r="W635" s="117"/>
      <c r="X635" s="125"/>
      <c r="Y635" s="125"/>
      <c r="Z635" s="474"/>
      <c r="AA635" s="475"/>
      <c r="AB635" s="476"/>
      <c r="AC635" s="125" t="str">
        <f t="shared" si="579"/>
        <v/>
      </c>
      <c r="AD635" s="117" t="str">
        <f t="shared" si="532"/>
        <v/>
      </c>
      <c r="AE635" s="117" t="str">
        <f t="shared" si="547"/>
        <v/>
      </c>
      <c r="AF635" s="117" t="str">
        <f t="shared" si="533"/>
        <v/>
      </c>
      <c r="AG635" s="470"/>
      <c r="AH635" s="470"/>
      <c r="AI635" s="125" t="str">
        <f t="shared" si="534"/>
        <v/>
      </c>
      <c r="AJ635" s="470"/>
      <c r="AK635" s="470"/>
      <c r="AL635" s="472"/>
      <c r="AM635" s="496"/>
      <c r="AN635" s="125"/>
      <c r="AO635" s="490"/>
      <c r="AP635" s="125"/>
      <c r="AQ635" s="490"/>
      <c r="AR635" s="522"/>
      <c r="AS635" s="522"/>
      <c r="AT635" s="138"/>
      <c r="AU635" s="702"/>
      <c r="AV635" s="702"/>
      <c r="AW635" s="708"/>
      <c r="AX635" s="708"/>
      <c r="AY635" s="19"/>
      <c r="CB635" s="29" t="str">
        <f>IFERROR(IF(COUNTIF(AF633:AF642,"")=10,"",IF(COUNTIF(E633:E642,"N/A")&gt;0,IF(AF635&gt;=CMEMM1,AF635,0),"N/A")),"")</f>
        <v/>
      </c>
      <c r="CC635" s="4"/>
      <c r="CD635" s="4" t="str">
        <f>IFERROR(IF(COUNTIF(AF633:AF642,"")=10,"",IF(AF635="","",IF(AF635&gt;=CMEMM1,1,0))),"")</f>
        <v/>
      </c>
      <c r="CE635" s="4" t="str">
        <f>B633&amp;"-0"&amp;3</f>
        <v>P64-03</v>
      </c>
      <c r="CF635" s="4">
        <f>IFERROR(INDEX('DESEMPATE Y DISCAPACIDAD'!$D$3:$D$450,MATCH(CE635,'DESEMPATE Y DISCAPACIDAD'!$C$3:$C$450,0)),"")</f>
        <v>0</v>
      </c>
      <c r="CG635" s="4">
        <f>IF(OR(CE635="",CF635=""),"",SUMIF(D633:D642,CF635,CD633:CD642))</f>
        <v>0</v>
      </c>
      <c r="CH635" s="4" t="str">
        <f t="shared" si="535"/>
        <v>NO CUMPLE</v>
      </c>
      <c r="CI635" s="4">
        <f t="shared" si="580"/>
        <v>0</v>
      </c>
      <c r="CJ635" s="4"/>
      <c r="CK635" s="4"/>
      <c r="CL635" s="4" t="str">
        <f t="shared" si="536"/>
        <v/>
      </c>
      <c r="CM635" s="4" t="str">
        <f t="shared" si="537"/>
        <v/>
      </c>
      <c r="CN635" s="4" t="str">
        <f t="shared" si="581"/>
        <v/>
      </c>
      <c r="CO635" s="4"/>
      <c r="CP635" s="4"/>
      <c r="CQ635" s="29" t="str">
        <f t="shared" si="538"/>
        <v/>
      </c>
      <c r="CR635" s="29" t="str">
        <f t="shared" si="539"/>
        <v/>
      </c>
      <c r="CS635" s="4"/>
    </row>
    <row r="636" spans="1:97" ht="34.25" hidden="1" customHeight="1">
      <c r="B636" s="481"/>
      <c r="C636" s="118"/>
      <c r="D636" s="126" t="str">
        <f>+IFERROR(INDEX('DESEMPATE Y DISCAPACIDAD'!$D$3:$D$450,MATCH(C636,'DESEMPATE Y DISCAPACIDAD'!$C$3:$C$450,0)),"")</f>
        <v/>
      </c>
      <c r="E636" s="127" t="str">
        <f>IFERROR(IF(D636="","",IF(VLOOKUP(D636,'DESEMPATE Y DISCAPACIDAD'!D$3:$E$450,2,FALSE)=1,"N/A",IF(VLOOKUP(D636,'DESEMPATE Y DISCAPACIDAD'!D$3:$F$450,3,FALSE)="X","SI","NO"))),"")</f>
        <v/>
      </c>
      <c r="F636" s="141"/>
      <c r="G636" s="125"/>
      <c r="H636" s="125"/>
      <c r="I636" s="128"/>
      <c r="J636" s="125"/>
      <c r="K636" s="125"/>
      <c r="L636" s="3"/>
      <c r="M636" s="125"/>
      <c r="N636" s="125" t="str">
        <f t="shared" si="576"/>
        <v/>
      </c>
      <c r="O636" s="125" t="str">
        <f>IFERROR(IF(OR(J636="",L636=""),"",IF(J636="NO","NO",L636)),"")</f>
        <v/>
      </c>
      <c r="P636" s="125" t="str">
        <f t="shared" si="577"/>
        <v/>
      </c>
      <c r="Q636" s="125" t="str">
        <f t="shared" si="531"/>
        <v/>
      </c>
      <c r="R636" s="68"/>
      <c r="S636" s="129"/>
      <c r="T636" s="129"/>
      <c r="U636" s="125" t="str">
        <f t="shared" si="578"/>
        <v/>
      </c>
      <c r="V636" s="117" t="str">
        <f>IF(U636=2023,1160000,IFERROR(INDEX(SMMLV!$B$2:$B$101,MATCH(U636,SMMLV!$A$2:$A$101,0)),""))</f>
        <v/>
      </c>
      <c r="W636" s="117"/>
      <c r="X636" s="125"/>
      <c r="Y636" s="125"/>
      <c r="Z636" s="474"/>
      <c r="AA636" s="475"/>
      <c r="AB636" s="476"/>
      <c r="AC636" s="125" t="str">
        <f t="shared" si="579"/>
        <v/>
      </c>
      <c r="AD636" s="117" t="str">
        <f t="shared" si="532"/>
        <v/>
      </c>
      <c r="AE636" s="117" t="str">
        <f t="shared" si="547"/>
        <v/>
      </c>
      <c r="AF636" s="117" t="str">
        <f t="shared" si="533"/>
        <v/>
      </c>
      <c r="AG636" s="470"/>
      <c r="AH636" s="470"/>
      <c r="AI636" s="125" t="str">
        <f t="shared" si="534"/>
        <v/>
      </c>
      <c r="AJ636" s="470"/>
      <c r="AK636" s="470"/>
      <c r="AL636" s="472"/>
      <c r="AM636" s="496"/>
      <c r="AN636" s="125"/>
      <c r="AO636" s="490"/>
      <c r="AP636" s="125"/>
      <c r="AQ636" s="490"/>
      <c r="AR636" s="522"/>
      <c r="AS636" s="522"/>
      <c r="AT636" s="138"/>
      <c r="AU636" s="702"/>
      <c r="AV636" s="702"/>
      <c r="AW636" s="708"/>
      <c r="AX636" s="708"/>
      <c r="AY636" s="19"/>
      <c r="CB636" s="29" t="str">
        <f>IFERROR(IF(COUNTIF(AF633:AF642,"")=10,"",IF(COUNTIF(E633:E642,"N/A")&gt;0,IF(AF636&gt;=CMEMM1,AF636,0),"N/A")),"")</f>
        <v/>
      </c>
      <c r="CC636" s="4"/>
      <c r="CD636" s="4" t="str">
        <f>IFERROR(IF(COUNTIF(AF633:AF642,"")=10,"",IF(AF636="","",IF(AF636&gt;=CMEMM1,1,0))),"")</f>
        <v/>
      </c>
      <c r="CE636" s="4" t="str">
        <f>B633&amp;"-0"&amp;4</f>
        <v>P64-04</v>
      </c>
      <c r="CF636" s="4">
        <f>IFERROR(INDEX('DESEMPATE Y DISCAPACIDAD'!$D$3:$D$450,MATCH(CE636,'DESEMPATE Y DISCAPACIDAD'!$C$3:$C$450,0)),"")</f>
        <v>0</v>
      </c>
      <c r="CG636" s="4">
        <f>IF(OR(CE636="",CF636=""),"",SUMIF(D633:D642,CF636,CD633:CD642))</f>
        <v>0</v>
      </c>
      <c r="CH636" s="4" t="str">
        <f t="shared" si="535"/>
        <v>NO CUMPLE</v>
      </c>
      <c r="CI636" s="4">
        <f t="shared" si="580"/>
        <v>0</v>
      </c>
      <c r="CJ636" s="4"/>
      <c r="CK636" s="4"/>
      <c r="CL636" s="4" t="str">
        <f t="shared" si="536"/>
        <v/>
      </c>
      <c r="CM636" s="4" t="str">
        <f t="shared" si="537"/>
        <v/>
      </c>
      <c r="CN636" s="4" t="str">
        <f t="shared" si="581"/>
        <v/>
      </c>
      <c r="CO636" s="4"/>
      <c r="CP636" s="4"/>
      <c r="CQ636" s="29" t="str">
        <f t="shared" si="538"/>
        <v/>
      </c>
      <c r="CR636" s="29" t="str">
        <f t="shared" si="539"/>
        <v/>
      </c>
      <c r="CS636" s="4"/>
    </row>
    <row r="637" spans="1:97" ht="34.25" hidden="1" customHeight="1">
      <c r="B637" s="481"/>
      <c r="C637" s="118"/>
      <c r="D637" s="126" t="str">
        <f>+IFERROR(INDEX('DESEMPATE Y DISCAPACIDAD'!$D$3:$D$450,MATCH(C637,'DESEMPATE Y DISCAPACIDAD'!$C$3:$C$450,0)),"")</f>
        <v/>
      </c>
      <c r="E637" s="127" t="str">
        <f>IFERROR(IF(D637="","",IF(VLOOKUP(D637,'DESEMPATE Y DISCAPACIDAD'!D$3:$E$450,2,FALSE)=1,"N/A",IF(VLOOKUP(D637,'DESEMPATE Y DISCAPACIDAD'!D$3:$F$450,3,FALSE)="X","SI","NO"))),"")</f>
        <v/>
      </c>
      <c r="F637" s="125"/>
      <c r="G637" s="125"/>
      <c r="H637" s="125"/>
      <c r="I637" s="128"/>
      <c r="J637" s="125"/>
      <c r="K637" s="125"/>
      <c r="L637" s="125"/>
      <c r="M637" s="125"/>
      <c r="N637" s="125" t="str">
        <f t="shared" si="576"/>
        <v/>
      </c>
      <c r="O637" s="125" t="str">
        <f t="shared" ref="O637:O642" si="582">IFERROR(IF(OR(J637="",L637=""),"",IF(J637="NO","NO",L637)),"")</f>
        <v/>
      </c>
      <c r="P637" s="125" t="str">
        <f t="shared" si="577"/>
        <v/>
      </c>
      <c r="Q637" s="125" t="str">
        <f t="shared" si="531"/>
        <v/>
      </c>
      <c r="R637" s="68"/>
      <c r="S637" s="129"/>
      <c r="T637" s="129"/>
      <c r="U637" s="125" t="str">
        <f t="shared" si="578"/>
        <v/>
      </c>
      <c r="V637" s="117" t="str">
        <f>IF(U637=2023,1160000,IFERROR(INDEX(SMMLV!$B$2:$B$101,MATCH(U637,SMMLV!$A$2:$A$101,0)),""))</f>
        <v/>
      </c>
      <c r="W637" s="117"/>
      <c r="X637" s="125"/>
      <c r="Y637" s="125"/>
      <c r="Z637" s="474"/>
      <c r="AA637" s="475"/>
      <c r="AB637" s="476"/>
      <c r="AC637" s="125" t="str">
        <f t="shared" si="579"/>
        <v/>
      </c>
      <c r="AD637" s="117" t="str">
        <f t="shared" si="532"/>
        <v/>
      </c>
      <c r="AE637" s="117" t="str">
        <f t="shared" si="547"/>
        <v/>
      </c>
      <c r="AF637" s="117" t="str">
        <f t="shared" si="533"/>
        <v/>
      </c>
      <c r="AG637" s="470"/>
      <c r="AH637" s="470"/>
      <c r="AI637" s="125" t="str">
        <f t="shared" si="534"/>
        <v/>
      </c>
      <c r="AJ637" s="470"/>
      <c r="AK637" s="470"/>
      <c r="AL637" s="472"/>
      <c r="AM637" s="496"/>
      <c r="AN637" s="125"/>
      <c r="AO637" s="490"/>
      <c r="AP637" s="125"/>
      <c r="AQ637" s="490"/>
      <c r="AR637" s="522"/>
      <c r="AS637" s="522"/>
      <c r="AT637" s="138"/>
      <c r="AU637" s="702"/>
      <c r="AV637" s="702"/>
      <c r="AW637" s="708"/>
      <c r="AX637" s="708"/>
      <c r="AY637" s="19"/>
      <c r="CB637" s="29" t="str">
        <f>IFERROR(IF(COUNTIF(AF633:AF642,"")=10,"",IF(COUNTIF(E633:E642,"N/A")&gt;0,IF(AF637&gt;=CMEMM1,AF637,0),"N/A")),"")</f>
        <v/>
      </c>
      <c r="CC637" s="4"/>
      <c r="CD637" s="4" t="str">
        <f>IFERROR(IF(COUNTIF(AF633:AF642,"")=10,"",IF(AF637="","",IF(AF637&gt;=CMEMM1,1,0))),"")</f>
        <v/>
      </c>
      <c r="CE637" s="4" t="str">
        <f>B633&amp;"-0"&amp;5</f>
        <v>P64-05</v>
      </c>
      <c r="CF637" s="4">
        <f>IFERROR(INDEX('DESEMPATE Y DISCAPACIDAD'!$D$3:$D$450,MATCH(CE637,'DESEMPATE Y DISCAPACIDAD'!$C$3:$C$450,0)),"")</f>
        <v>0</v>
      </c>
      <c r="CG637" s="4">
        <f>IF(OR(CE637="",CF637=""),"",SUMIF(D633:D642,CF637,CD633:CD642))</f>
        <v>0</v>
      </c>
      <c r="CH637" s="4" t="str">
        <f t="shared" si="535"/>
        <v>NO CUMPLE</v>
      </c>
      <c r="CI637" s="4">
        <f t="shared" si="580"/>
        <v>0</v>
      </c>
      <c r="CJ637" s="4"/>
      <c r="CK637" s="4"/>
      <c r="CL637" s="4" t="str">
        <f t="shared" si="536"/>
        <v/>
      </c>
      <c r="CM637" s="4" t="str">
        <f t="shared" si="537"/>
        <v/>
      </c>
      <c r="CN637" s="4" t="str">
        <f t="shared" si="581"/>
        <v/>
      </c>
      <c r="CO637" s="4"/>
      <c r="CP637" s="4"/>
      <c r="CQ637" s="29" t="str">
        <f t="shared" si="538"/>
        <v/>
      </c>
      <c r="CR637" s="29" t="str">
        <f t="shared" si="539"/>
        <v/>
      </c>
      <c r="CS637" s="4"/>
    </row>
    <row r="638" spans="1:97" ht="34.25" hidden="1" customHeight="1">
      <c r="B638" s="481"/>
      <c r="C638" s="118"/>
      <c r="D638" s="126" t="str">
        <f>+IFERROR(INDEX('DESEMPATE Y DISCAPACIDAD'!$D$3:$D$450,MATCH(C638,'DESEMPATE Y DISCAPACIDAD'!$C$3:$C$450,0)),"")</f>
        <v/>
      </c>
      <c r="E638" s="127" t="str">
        <f>IFERROR(IF(D638="","",IF(VLOOKUP(D638,'DESEMPATE Y DISCAPACIDAD'!D$3:$E$450,2,FALSE)=1,"N/A",IF(VLOOKUP(D638,'DESEMPATE Y DISCAPACIDAD'!D$3:$F$450,3,FALSE)="X","SI","NO"))),"")</f>
        <v/>
      </c>
      <c r="F638" s="125"/>
      <c r="G638" s="125"/>
      <c r="H638" s="125"/>
      <c r="I638" s="128"/>
      <c r="J638" s="125"/>
      <c r="K638" s="125"/>
      <c r="L638" s="125"/>
      <c r="M638" s="125"/>
      <c r="N638" s="125" t="str">
        <f t="shared" si="576"/>
        <v/>
      </c>
      <c r="O638" s="125" t="str">
        <f t="shared" si="582"/>
        <v/>
      </c>
      <c r="P638" s="125" t="str">
        <f t="shared" si="577"/>
        <v/>
      </c>
      <c r="Q638" s="125" t="str">
        <f t="shared" si="531"/>
        <v/>
      </c>
      <c r="R638" s="68"/>
      <c r="S638" s="129"/>
      <c r="T638" s="129"/>
      <c r="U638" s="125" t="str">
        <f t="shared" si="578"/>
        <v/>
      </c>
      <c r="V638" s="117" t="str">
        <f>IF(U638=2023,1160000,IFERROR(INDEX(SMMLV!$B$2:$B$101,MATCH(U638,SMMLV!$A$2:$A$101,0)),""))</f>
        <v/>
      </c>
      <c r="W638" s="117"/>
      <c r="X638" s="125"/>
      <c r="Y638" s="125"/>
      <c r="Z638" s="474"/>
      <c r="AA638" s="475"/>
      <c r="AB638" s="476"/>
      <c r="AC638" s="125" t="str">
        <f t="shared" si="579"/>
        <v/>
      </c>
      <c r="AD638" s="117" t="str">
        <f t="shared" si="532"/>
        <v/>
      </c>
      <c r="AE638" s="117" t="str">
        <f t="shared" si="547"/>
        <v/>
      </c>
      <c r="AF638" s="117" t="str">
        <f t="shared" si="533"/>
        <v/>
      </c>
      <c r="AG638" s="470"/>
      <c r="AH638" s="470"/>
      <c r="AI638" s="125" t="str">
        <f t="shared" si="534"/>
        <v/>
      </c>
      <c r="AJ638" s="470"/>
      <c r="AK638" s="470"/>
      <c r="AL638" s="472"/>
      <c r="AM638" s="496"/>
      <c r="AN638" s="125"/>
      <c r="AO638" s="490"/>
      <c r="AP638" s="125"/>
      <c r="AQ638" s="490"/>
      <c r="AR638" s="522"/>
      <c r="AS638" s="522"/>
      <c r="AT638" s="138"/>
      <c r="AU638" s="702"/>
      <c r="AV638" s="702"/>
      <c r="AW638" s="708"/>
      <c r="AX638" s="708"/>
      <c r="AY638" s="19"/>
      <c r="CB638" s="29" t="str">
        <f>IFERROR(IF(COUNTIF(AF633:AF642,"")=10,"",IF(COUNTIF(E633:E642,"N/A")&gt;0,IF(AF638&gt;=CMEMM1,AF638,0),"N/A")),"")</f>
        <v/>
      </c>
      <c r="CC638" s="4"/>
      <c r="CD638" s="4" t="str">
        <f>IFERROR(IF(COUNTIF(AF633:AF642,"")=10,"",IF(AF638="","",IF(AF638&gt;=CMEMM1,1,0))),"")</f>
        <v/>
      </c>
      <c r="CE638" s="4" t="str">
        <f>B633&amp;"-0"&amp;6</f>
        <v>P64-06</v>
      </c>
      <c r="CF638" s="4">
        <f>IFERROR(INDEX('DESEMPATE Y DISCAPACIDAD'!$D$3:$D$450,MATCH(CE638,'DESEMPATE Y DISCAPACIDAD'!$C$3:$C$450,0)),"")</f>
        <v>0</v>
      </c>
      <c r="CG638" s="4">
        <f>IF(OR(CE638="",CF638=""),"",SUMIF(D633:D642,CF638,CD633:CD642))</f>
        <v>0</v>
      </c>
      <c r="CH638" s="4" t="str">
        <f t="shared" si="535"/>
        <v>NO CUMPLE</v>
      </c>
      <c r="CI638" s="4">
        <f t="shared" si="580"/>
        <v>0</v>
      </c>
      <c r="CJ638" s="4"/>
      <c r="CK638" s="4"/>
      <c r="CL638" s="4" t="str">
        <f t="shared" si="536"/>
        <v/>
      </c>
      <c r="CM638" s="4" t="str">
        <f t="shared" si="537"/>
        <v/>
      </c>
      <c r="CN638" s="4" t="str">
        <f t="shared" si="581"/>
        <v/>
      </c>
      <c r="CO638" s="4"/>
      <c r="CP638" s="4"/>
      <c r="CQ638" s="29" t="str">
        <f t="shared" si="538"/>
        <v/>
      </c>
      <c r="CR638" s="29" t="str">
        <f t="shared" si="539"/>
        <v/>
      </c>
      <c r="CS638" s="4"/>
    </row>
    <row r="639" spans="1:97" ht="34.25" hidden="1" customHeight="1">
      <c r="B639" s="481"/>
      <c r="C639" s="118"/>
      <c r="D639" s="126" t="str">
        <f>+IFERROR(INDEX('DESEMPATE Y DISCAPACIDAD'!$D$3:$D$450,MATCH(C639,'DESEMPATE Y DISCAPACIDAD'!$C$3:$C$450,0)),"")</f>
        <v/>
      </c>
      <c r="E639" s="127" t="str">
        <f>IFERROR(IF(D639="","",IF(VLOOKUP(D639,'DESEMPATE Y DISCAPACIDAD'!D$3:$E$450,2,FALSE)=1,"N/A",IF(VLOOKUP(D639,'DESEMPATE Y DISCAPACIDAD'!D$3:$F$450,3,FALSE)="X","SI","NO"))),"")</f>
        <v/>
      </c>
      <c r="F639" s="125"/>
      <c r="G639" s="125"/>
      <c r="H639" s="125"/>
      <c r="I639" s="128"/>
      <c r="J639" s="125"/>
      <c r="K639" s="125"/>
      <c r="L639" s="125"/>
      <c r="M639" s="125"/>
      <c r="N639" s="125" t="str">
        <f t="shared" si="576"/>
        <v/>
      </c>
      <c r="O639" s="125" t="str">
        <f t="shared" si="582"/>
        <v/>
      </c>
      <c r="P639" s="125" t="str">
        <f t="shared" si="577"/>
        <v/>
      </c>
      <c r="Q639" s="125" t="str">
        <f t="shared" si="531"/>
        <v/>
      </c>
      <c r="R639" s="68"/>
      <c r="S639" s="129"/>
      <c r="T639" s="129"/>
      <c r="U639" s="125" t="str">
        <f t="shared" si="578"/>
        <v/>
      </c>
      <c r="V639" s="117" t="str">
        <f>IF(U639=2023,1160000,IFERROR(INDEX(SMMLV!$B$2:$B$101,MATCH(U639,SMMLV!$A$2:$A$101,0)),""))</f>
        <v/>
      </c>
      <c r="W639" s="117"/>
      <c r="X639" s="125"/>
      <c r="Y639" s="125"/>
      <c r="Z639" s="474"/>
      <c r="AA639" s="475"/>
      <c r="AB639" s="476"/>
      <c r="AC639" s="125" t="str">
        <f t="shared" si="579"/>
        <v/>
      </c>
      <c r="AD639" s="117" t="str">
        <f t="shared" si="532"/>
        <v/>
      </c>
      <c r="AE639" s="117" t="str">
        <f t="shared" si="547"/>
        <v/>
      </c>
      <c r="AF639" s="117" t="str">
        <f t="shared" si="533"/>
        <v/>
      </c>
      <c r="AG639" s="470"/>
      <c r="AH639" s="470"/>
      <c r="AI639" s="125" t="str">
        <f t="shared" si="534"/>
        <v/>
      </c>
      <c r="AJ639" s="470"/>
      <c r="AK639" s="470"/>
      <c r="AL639" s="472"/>
      <c r="AM639" s="496"/>
      <c r="AN639" s="125"/>
      <c r="AO639" s="490"/>
      <c r="AP639" s="125"/>
      <c r="AQ639" s="490"/>
      <c r="AR639" s="522"/>
      <c r="AS639" s="522"/>
      <c r="AT639" s="138"/>
      <c r="AU639" s="702"/>
      <c r="AV639" s="702"/>
      <c r="AW639" s="708"/>
      <c r="AX639" s="708"/>
      <c r="AY639" s="19"/>
      <c r="CB639" s="29" t="str">
        <f>IFERROR(IF(COUNTIF(AF633:AF642,"")=10,"",IF(COUNTIF(E633:E642,"N/A")&gt;0,IF(AF639&gt;=CMEMM1,AF639,0),"N/A")),"")</f>
        <v/>
      </c>
      <c r="CC639" s="4"/>
      <c r="CD639" s="4" t="str">
        <f>IFERROR(IF(COUNTIF(AF633:AF642,"")=10,"",IF(AF639="","",IF(AF639&gt;=CMEMM1,1,0))),"")</f>
        <v/>
      </c>
      <c r="CE639" s="4" t="str">
        <f>B633&amp;"-0"&amp;7</f>
        <v>P64-07</v>
      </c>
      <c r="CF639" s="4" t="str">
        <f>IFERROR(INDEX('DESEMPATE Y DISCAPACIDAD'!$D$3:$D$450,MATCH(CE639,'DESEMPATE Y DISCAPACIDAD'!$C$3:$C$450,0)),"")</f>
        <v/>
      </c>
      <c r="CG639" s="4" t="str">
        <f>IF(OR(CE639="",CF639=""),"",SUMIF(D633:D642,CF639,CD633:CD642))</f>
        <v/>
      </c>
      <c r="CH639" s="4" t="str">
        <f t="shared" si="535"/>
        <v/>
      </c>
      <c r="CI639" s="4" t="str">
        <f t="shared" si="580"/>
        <v/>
      </c>
      <c r="CJ639" s="4"/>
      <c r="CK639" s="4"/>
      <c r="CL639" s="4" t="str">
        <f t="shared" si="536"/>
        <v/>
      </c>
      <c r="CM639" s="4" t="str">
        <f t="shared" si="537"/>
        <v/>
      </c>
      <c r="CN639" s="4" t="str">
        <f t="shared" si="581"/>
        <v/>
      </c>
      <c r="CO639" s="4"/>
      <c r="CP639" s="4"/>
      <c r="CQ639" s="29" t="str">
        <f t="shared" si="538"/>
        <v/>
      </c>
      <c r="CR639" s="29" t="str">
        <f t="shared" si="539"/>
        <v/>
      </c>
      <c r="CS639" s="4"/>
    </row>
    <row r="640" spans="1:97" ht="34.25" hidden="1" customHeight="1">
      <c r="B640" s="481"/>
      <c r="C640" s="118"/>
      <c r="D640" s="126" t="str">
        <f>+IFERROR(INDEX('DESEMPATE Y DISCAPACIDAD'!$D$3:$D$450,MATCH(C640,'DESEMPATE Y DISCAPACIDAD'!$C$3:$C$450,0)),"")</f>
        <v/>
      </c>
      <c r="E640" s="127" t="str">
        <f>IFERROR(IF(D640="","",IF(VLOOKUP(D640,'DESEMPATE Y DISCAPACIDAD'!D$3:$E$450,2,FALSE)=1,"N/A",IF(VLOOKUP(D640,'DESEMPATE Y DISCAPACIDAD'!D$3:$F$450,3,FALSE)="X","SI","NO"))),"")</f>
        <v/>
      </c>
      <c r="F640" s="125"/>
      <c r="G640" s="125"/>
      <c r="H640" s="125"/>
      <c r="I640" s="128"/>
      <c r="J640" s="125"/>
      <c r="K640" s="125"/>
      <c r="L640" s="125"/>
      <c r="M640" s="125"/>
      <c r="N640" s="125" t="str">
        <f t="shared" si="576"/>
        <v/>
      </c>
      <c r="O640" s="125" t="str">
        <f t="shared" si="582"/>
        <v/>
      </c>
      <c r="P640" s="125" t="str">
        <f t="shared" si="577"/>
        <v/>
      </c>
      <c r="Q640" s="125" t="str">
        <f t="shared" si="531"/>
        <v/>
      </c>
      <c r="R640" s="68"/>
      <c r="S640" s="129"/>
      <c r="T640" s="129"/>
      <c r="U640" s="125" t="str">
        <f t="shared" si="578"/>
        <v/>
      </c>
      <c r="V640" s="117" t="str">
        <f>IF(U640=2023,1160000,IFERROR(INDEX(SMMLV!$B$2:$B$101,MATCH(U640,SMMLV!$A$2:$A$101,0)),""))</f>
        <v/>
      </c>
      <c r="W640" s="117"/>
      <c r="X640" s="125"/>
      <c r="Y640" s="125"/>
      <c r="Z640" s="474"/>
      <c r="AA640" s="475"/>
      <c r="AB640" s="476"/>
      <c r="AC640" s="125" t="str">
        <f t="shared" si="579"/>
        <v/>
      </c>
      <c r="AD640" s="117" t="str">
        <f t="shared" si="532"/>
        <v/>
      </c>
      <c r="AE640" s="117" t="str">
        <f t="shared" si="547"/>
        <v/>
      </c>
      <c r="AF640" s="117" t="str">
        <f t="shared" si="533"/>
        <v/>
      </c>
      <c r="AG640" s="470"/>
      <c r="AH640" s="470"/>
      <c r="AI640" s="125" t="str">
        <f t="shared" si="534"/>
        <v/>
      </c>
      <c r="AJ640" s="470"/>
      <c r="AK640" s="470"/>
      <c r="AL640" s="472"/>
      <c r="AM640" s="496"/>
      <c r="AN640" s="125"/>
      <c r="AO640" s="490"/>
      <c r="AP640" s="125"/>
      <c r="AQ640" s="490"/>
      <c r="AR640" s="522"/>
      <c r="AS640" s="522"/>
      <c r="AT640" s="138"/>
      <c r="AU640" s="702"/>
      <c r="AV640" s="702"/>
      <c r="AW640" s="708"/>
      <c r="AX640" s="708"/>
      <c r="AY640" s="19"/>
      <c r="CB640" s="29" t="str">
        <f>IFERROR(IF(COUNTIF(AF633:AF642,"")=10,"",IF(COUNTIF(E633:E642,"N/A")&gt;0,IF(AF640&gt;=CMEMM1,AF640,0),"N/A")),"")</f>
        <v/>
      </c>
      <c r="CC640" s="4"/>
      <c r="CD640" s="4" t="str">
        <f>IFERROR(IF(COUNTIF(AF633:AF642,"")=10,"",IF(AF640="","",IF(AF640&gt;=CMEMM1,1,0))),"")</f>
        <v/>
      </c>
      <c r="CE640" s="4" t="str">
        <f>B633&amp;"-0"&amp;8</f>
        <v>P64-08</v>
      </c>
      <c r="CF640" s="4" t="str">
        <f>IFERROR(INDEX('DESEMPATE Y DISCAPACIDAD'!$D$3:$D$450,MATCH(CE640,'DESEMPATE Y DISCAPACIDAD'!$C$3:$C$450,0)),"")</f>
        <v/>
      </c>
      <c r="CG640" s="4" t="str">
        <f>IF(OR(CE640="",CF640=""),"",SUMIF(D633:D642,CF640,CD633:CD642))</f>
        <v/>
      </c>
      <c r="CH640" s="4" t="str">
        <f t="shared" si="535"/>
        <v/>
      </c>
      <c r="CI640" s="4" t="str">
        <f t="shared" si="580"/>
        <v/>
      </c>
      <c r="CJ640" s="4"/>
      <c r="CK640" s="4"/>
      <c r="CL640" s="4" t="str">
        <f t="shared" si="536"/>
        <v/>
      </c>
      <c r="CM640" s="4" t="str">
        <f t="shared" si="537"/>
        <v/>
      </c>
      <c r="CN640" s="4" t="str">
        <f t="shared" si="581"/>
        <v/>
      </c>
      <c r="CO640" s="4"/>
      <c r="CP640" s="4"/>
      <c r="CQ640" s="29" t="str">
        <f t="shared" si="538"/>
        <v/>
      </c>
      <c r="CR640" s="29" t="str">
        <f t="shared" si="539"/>
        <v/>
      </c>
      <c r="CS640" s="4"/>
    </row>
    <row r="641" spans="1:97" ht="34.25" hidden="1" customHeight="1">
      <c r="B641" s="481"/>
      <c r="C641" s="118"/>
      <c r="D641" s="126" t="str">
        <f>+IFERROR(INDEX('DESEMPATE Y DISCAPACIDAD'!$D$3:$D$450,MATCH(C641,'DESEMPATE Y DISCAPACIDAD'!$C$3:$C$450,0)),"")</f>
        <v/>
      </c>
      <c r="E641" s="127" t="str">
        <f>IFERROR(IF(D641="","",IF(VLOOKUP(D641,'DESEMPATE Y DISCAPACIDAD'!D$3:$E$450,2,FALSE)=1,"N/A",IF(VLOOKUP(D641,'DESEMPATE Y DISCAPACIDAD'!D$3:$F$450,3,FALSE)="X","SI","NO"))),"")</f>
        <v/>
      </c>
      <c r="F641" s="125"/>
      <c r="G641" s="125"/>
      <c r="H641" s="125"/>
      <c r="I641" s="128"/>
      <c r="J641" s="125"/>
      <c r="K641" s="125"/>
      <c r="L641" s="125"/>
      <c r="M641" s="125"/>
      <c r="N641" s="125" t="str">
        <f t="shared" si="576"/>
        <v/>
      </c>
      <c r="O641" s="125" t="str">
        <f t="shared" si="582"/>
        <v/>
      </c>
      <c r="P641" s="125" t="str">
        <f t="shared" si="577"/>
        <v/>
      </c>
      <c r="Q641" s="125" t="str">
        <f t="shared" si="531"/>
        <v/>
      </c>
      <c r="R641" s="68"/>
      <c r="S641" s="129"/>
      <c r="T641" s="129"/>
      <c r="U641" s="125" t="str">
        <f t="shared" si="578"/>
        <v/>
      </c>
      <c r="V641" s="117" t="str">
        <f>IF(U641=2023,1160000,IFERROR(INDEX(SMMLV!$B$2:$B$101,MATCH(U641,SMMLV!$A$2:$A$101,0)),""))</f>
        <v/>
      </c>
      <c r="W641" s="117"/>
      <c r="X641" s="125"/>
      <c r="Y641" s="125"/>
      <c r="Z641" s="474"/>
      <c r="AA641" s="475"/>
      <c r="AB641" s="476"/>
      <c r="AC641" s="125" t="str">
        <f t="shared" si="579"/>
        <v/>
      </c>
      <c r="AD641" s="117" t="str">
        <f t="shared" si="532"/>
        <v/>
      </c>
      <c r="AE641" s="117" t="str">
        <f t="shared" si="547"/>
        <v/>
      </c>
      <c r="AF641" s="117" t="str">
        <f t="shared" si="533"/>
        <v/>
      </c>
      <c r="AG641" s="470"/>
      <c r="AH641" s="470"/>
      <c r="AI641" s="125" t="str">
        <f t="shared" si="534"/>
        <v/>
      </c>
      <c r="AJ641" s="470"/>
      <c r="AK641" s="470"/>
      <c r="AL641" s="472"/>
      <c r="AM641" s="496"/>
      <c r="AN641" s="125"/>
      <c r="AO641" s="490"/>
      <c r="AP641" s="125"/>
      <c r="AQ641" s="490"/>
      <c r="AR641" s="522"/>
      <c r="AS641" s="522"/>
      <c r="AT641" s="138"/>
      <c r="AU641" s="702"/>
      <c r="AV641" s="702"/>
      <c r="AW641" s="708"/>
      <c r="AX641" s="708"/>
      <c r="AY641" s="19"/>
      <c r="CB641" s="29" t="str">
        <f>IFERROR(IF(COUNTIF(AF633:AF642,"")=10,"",IF(COUNTIF(E633:E642,"N/A")&gt;0,IF(AF641&gt;=CMEMM1,AF641,0),"N/A")),"")</f>
        <v/>
      </c>
      <c r="CC641" s="4"/>
      <c r="CD641" s="4" t="str">
        <f>IFERROR(IF(COUNTIF(AF633:AF642,"")=10,"",IF(AF641="","",IF(AF641&gt;=CMEMM1,1,0))),"")</f>
        <v/>
      </c>
      <c r="CE641" s="4" t="str">
        <f>B633&amp;"-0"&amp;9</f>
        <v>P64-09</v>
      </c>
      <c r="CF641" s="4" t="str">
        <f>IFERROR(INDEX('DESEMPATE Y DISCAPACIDAD'!$D$3:$D$450,MATCH(CE641,'DESEMPATE Y DISCAPACIDAD'!$C$3:$C$450,0)),"")</f>
        <v/>
      </c>
      <c r="CG641" s="4" t="str">
        <f>IF(OR(CE641="",CF641=""),"",SUMIF(D633:D642,CF641,CD633:CD642))</f>
        <v/>
      </c>
      <c r="CH641" s="4" t="str">
        <f t="shared" si="535"/>
        <v/>
      </c>
      <c r="CI641" s="4" t="str">
        <f t="shared" si="580"/>
        <v/>
      </c>
      <c r="CJ641" s="4"/>
      <c r="CK641" s="4"/>
      <c r="CL641" s="4" t="str">
        <f t="shared" si="536"/>
        <v/>
      </c>
      <c r="CM641" s="4" t="str">
        <f t="shared" si="537"/>
        <v/>
      </c>
      <c r="CN641" s="4" t="str">
        <f t="shared" si="581"/>
        <v/>
      </c>
      <c r="CO641" s="4"/>
      <c r="CP641" s="4"/>
      <c r="CQ641" s="29" t="str">
        <f t="shared" si="538"/>
        <v/>
      </c>
      <c r="CR641" s="29" t="str">
        <f t="shared" si="539"/>
        <v/>
      </c>
      <c r="CS641" s="4"/>
    </row>
    <row r="642" spans="1:97" ht="34.25" hidden="1" customHeight="1" thickBot="1">
      <c r="B642" s="482"/>
      <c r="C642" s="130"/>
      <c r="D642" s="131" t="str">
        <f>+IFERROR(INDEX('DESEMPATE Y DISCAPACIDAD'!$D$3:$D$450,MATCH(C642,'DESEMPATE Y DISCAPACIDAD'!$C$3:$C$450,0)),"")</f>
        <v/>
      </c>
      <c r="E642" s="132" t="str">
        <f>IFERROR(IF(D642="","",IF(VLOOKUP(D642,'DESEMPATE Y DISCAPACIDAD'!D$3:$E$450,2,FALSE)=1,"N/A",IF(VLOOKUP(D642,'DESEMPATE Y DISCAPACIDAD'!D$3:$F$450,3,FALSE)="X","SI","NO"))),"")</f>
        <v/>
      </c>
      <c r="F642" s="133"/>
      <c r="G642" s="133"/>
      <c r="H642" s="133"/>
      <c r="I642" s="134"/>
      <c r="J642" s="133"/>
      <c r="K642" s="133"/>
      <c r="L642" s="133"/>
      <c r="M642" s="133"/>
      <c r="N642" s="133" t="str">
        <f t="shared" si="576"/>
        <v/>
      </c>
      <c r="O642" s="133" t="str">
        <f t="shared" si="582"/>
        <v/>
      </c>
      <c r="P642" s="133" t="str">
        <f t="shared" si="577"/>
        <v/>
      </c>
      <c r="Q642" s="133" t="str">
        <f t="shared" si="531"/>
        <v/>
      </c>
      <c r="R642" s="104"/>
      <c r="S642" s="135"/>
      <c r="T642" s="135"/>
      <c r="U642" s="133" t="str">
        <f t="shared" si="578"/>
        <v/>
      </c>
      <c r="V642" s="136" t="str">
        <f>IF(U642=2023,1160000,IFERROR(INDEX(SMMLV!$B$2:$B$101,MATCH(U642,SMMLV!$A$2:$A$101,0)),""))</f>
        <v/>
      </c>
      <c r="W642" s="136"/>
      <c r="X642" s="133"/>
      <c r="Y642" s="133"/>
      <c r="Z642" s="487"/>
      <c r="AA642" s="488"/>
      <c r="AB642" s="489"/>
      <c r="AC642" s="133" t="str">
        <f t="shared" si="579"/>
        <v/>
      </c>
      <c r="AD642" s="136" t="str">
        <f t="shared" si="532"/>
        <v/>
      </c>
      <c r="AE642" s="117" t="str">
        <f t="shared" si="547"/>
        <v/>
      </c>
      <c r="AF642" s="136" t="str">
        <f t="shared" si="533"/>
        <v/>
      </c>
      <c r="AG642" s="471"/>
      <c r="AH642" s="471"/>
      <c r="AI642" s="133" t="str">
        <f t="shared" si="534"/>
        <v/>
      </c>
      <c r="AJ642" s="471"/>
      <c r="AK642" s="471"/>
      <c r="AL642" s="473"/>
      <c r="AM642" s="497"/>
      <c r="AN642" s="133"/>
      <c r="AO642" s="491"/>
      <c r="AP642" s="133"/>
      <c r="AQ642" s="491"/>
      <c r="AR642" s="523"/>
      <c r="AS642" s="523"/>
      <c r="AT642" s="139"/>
      <c r="AU642" s="703"/>
      <c r="AV642" s="703"/>
      <c r="AW642" s="709"/>
      <c r="AX642" s="709"/>
      <c r="AY642" s="19"/>
      <c r="CB642" s="29" t="str">
        <f>IFERROR(IF(COUNTIF(AF633:AF642,"")=10,"",IF(COUNTIF(E633:E642,"N/A")&gt;0,IF(AF642&gt;=CMEMM1,AF642,0),"N/A")),"")</f>
        <v/>
      </c>
      <c r="CC642" s="4"/>
      <c r="CD642" s="4" t="str">
        <f>IFERROR(IF(COUNTIF(AF633:AF642,"")=10,"",IF(AF642="","",IF(AF642&gt;=CMEMM1,1,0))),"")</f>
        <v/>
      </c>
      <c r="CE642" s="4" t="str">
        <f>B633&amp;"-"&amp;10</f>
        <v>P64-10</v>
      </c>
      <c r="CF642" s="4" t="str">
        <f>IFERROR(INDEX('DESEMPATE Y DISCAPACIDAD'!$D$3:$D$450,MATCH(CE642,'DESEMPATE Y DISCAPACIDAD'!$C$3:$C$450,0)),"")</f>
        <v/>
      </c>
      <c r="CG642" s="4" t="str">
        <f>IF(OR(CE642="",CF642=""),"",SUMIF(D633:D642,CF642,CD633:CD642))</f>
        <v/>
      </c>
      <c r="CH642" s="4" t="str">
        <f t="shared" si="535"/>
        <v/>
      </c>
      <c r="CI642" s="4" t="str">
        <f t="shared" si="580"/>
        <v/>
      </c>
      <c r="CJ642" s="4"/>
      <c r="CK642" s="4"/>
      <c r="CL642" s="4" t="str">
        <f t="shared" si="536"/>
        <v/>
      </c>
      <c r="CM642" s="4" t="str">
        <f t="shared" si="537"/>
        <v/>
      </c>
      <c r="CN642" s="4" t="str">
        <f t="shared" si="581"/>
        <v/>
      </c>
      <c r="CO642" s="4"/>
      <c r="CP642" s="4"/>
      <c r="CQ642" s="29" t="str">
        <f t="shared" si="538"/>
        <v/>
      </c>
      <c r="CR642" s="29" t="str">
        <f t="shared" si="539"/>
        <v/>
      </c>
      <c r="CS642" s="4"/>
    </row>
    <row r="643" spans="1:97" ht="34.25" hidden="1" customHeight="1">
      <c r="A643" s="4" t="str">
        <f>"A"&amp;B643</f>
        <v>AP65</v>
      </c>
      <c r="B643" s="480" t="s">
        <v>595</v>
      </c>
      <c r="C643" s="108"/>
      <c r="D643" s="119" t="str">
        <f>+IFERROR(INDEX('DESEMPATE Y DISCAPACIDAD'!$D$3:$D$450,MATCH(C643,'DESEMPATE Y DISCAPACIDAD'!$C$3:$C$450,0)),"")</f>
        <v/>
      </c>
      <c r="E643" s="120" t="str">
        <f>IFERROR(IF(D643="","",IF(VLOOKUP(D643,'DESEMPATE Y DISCAPACIDAD'!D$3:$E$450,2,FALSE)=1,"N/A",IF(VLOOKUP(D643,'DESEMPATE Y DISCAPACIDAD'!D$3:$F$450,3,FALSE)="X","SI","NO"))),"")</f>
        <v/>
      </c>
      <c r="F643" s="125"/>
      <c r="G643" s="125"/>
      <c r="H643" s="121"/>
      <c r="I643" s="122"/>
      <c r="J643" s="121"/>
      <c r="K643" s="121"/>
      <c r="L643" s="179"/>
      <c r="M643" s="121"/>
      <c r="N643" s="121" t="str">
        <f>IFERROR(IF(OR(J643="",K643=""),"",IF(J643="NO","NO",K643)),"")</f>
        <v/>
      </c>
      <c r="O643" s="121" t="str">
        <f>IFERROR(IF(OR(J643="",L643=""),"",IF(J643="NO","NO",L643)),"")</f>
        <v/>
      </c>
      <c r="P643" s="121" t="str">
        <f>IFERROR(IF(OR(J643="",M643=""),"",IF(J643="NO","NO",M643)),"")</f>
        <v/>
      </c>
      <c r="Q643" s="121" t="str">
        <f t="shared" si="531"/>
        <v/>
      </c>
      <c r="R643" s="103"/>
      <c r="S643" s="123"/>
      <c r="T643" s="123"/>
      <c r="U643" s="121" t="str">
        <f>IFERROR(IF(T643="","",YEAR(T643)),"")</f>
        <v/>
      </c>
      <c r="V643" s="124" t="str">
        <f>IF(U643=2023,1160000,IFERROR(INDEX(SMMLV!$B$2:$B$101,MATCH(U643,SMMLV!$A$2:$A$101,0)),""))</f>
        <v/>
      </c>
      <c r="W643" s="124"/>
      <c r="X643" s="121"/>
      <c r="Y643" s="121"/>
      <c r="Z643" s="483"/>
      <c r="AA643" s="484"/>
      <c r="AB643" s="485"/>
      <c r="AC643" s="121" t="str">
        <f>IFERROR(IF(Y643="","",IF(ISNUMBER(Y643),IF(COUNTIF(Z643,"SI")&gt;0,"SI","NO"),Y643)),"")</f>
        <v/>
      </c>
      <c r="AD643" s="124" t="str">
        <f t="shared" si="532"/>
        <v/>
      </c>
      <c r="AE643" s="117" t="str">
        <f t="shared" si="547"/>
        <v/>
      </c>
      <c r="AF643" s="124" t="str">
        <f t="shared" si="533"/>
        <v/>
      </c>
      <c r="AG643" s="486" t="str">
        <f>IFERROR(IF(COUNTIF(AF643:AF652,"")=10,"",IF(COUNTIF(E643:E652,"N/A")&gt;0,IF(SUM(CB643:CB652)&gt;=CMEM1,"CUMPLE","NO CUMPLE"),IF(SUM(AF643:AF652)&gt;=CMEM1,"CUMPLE","NO CUMPLE"))),"")</f>
        <v/>
      </c>
      <c r="AH643" s="486" t="str">
        <f>IF(COUNTIF(AF643:AF652,"")=10,"",IF(SUMIF(C643:C652,C643,AF643:AF652)&gt;=CMLM1,"CUMPLE",IF(SUMIF(C643:C652,C644,AF643:AF652)&gt;=CMLM1,"CUMPLE",IF(SUMIF(C643:C652,C645,AF643:AF652)&gt;=CMLM1,"CUMPLE",IF(SUMIF(C643:C652,C646,AF643:AF652)&gt;=CMLM1,"CUMPLE",IF(SUMIF(C643:C652,C647,AF643:AF652)&gt;=CMLM1,"CUMPLE",IF(SUMIF(C643:C652,C648,AF643:AF652)&gt;=CMLM1,"CUMPLE",IF(SUMIF(C643:C652,C649,AF643:AF652)&gt;=CMLM1,"CUMPLE",IF(SUMIF(C643:C652,C650,AF643:AF652)&gt;=CMLM1,"CUMPLE",IF(SUMIF(C643:C652,C651,AF643:AF652)&gt;=CMLM1,"CUMPLE",IF(SUMIF(C643:C652,C652,AF643:AF652)&gt;=CMLM1,"CUMPLE","NO CUMPLE")))))))))))</f>
        <v/>
      </c>
      <c r="AI643" s="121" t="str">
        <f t="shared" si="534"/>
        <v/>
      </c>
      <c r="AJ643" s="469" t="str">
        <f>IFERROR(IF(COUNTIF(AF643:AF652,"")=10,"",IF(COUNTIF(E643:E652,"N/A")&gt;0,"N/A",CJ643)),"")</f>
        <v/>
      </c>
      <c r="AK643" s="469" t="str">
        <f>IFERROR(IF(AND(COUNTIF(N643:N652,"SI")&gt;=1,COUNTIF(O643:O652,"SI")&gt;=1,COUNTIF(P643:P652,"SI")&gt;=1,COUNTIF(J643:J652,"SI")&lt;=10,CO643="CUMPLE"),"CUMPLE","NO CUMPLE"),"")</f>
        <v>NO CUMPLE</v>
      </c>
      <c r="AL643" s="472"/>
      <c r="AM643" s="495">
        <f>IFERROR(IF(B643&lt;&gt;"",IF(VLOOKUP(B643,'DESEMPATE Y DISCAPACIDAD'!$A$3:$Q$450,10,FALSE)="","",VLOOKUP(B643,'DESEMPATE Y DISCAPACIDAD'!$A$3:$Q$450,10,FALSE)+6),""),"")</f>
        <v>6</v>
      </c>
      <c r="AN643" s="121"/>
      <c r="AO643" s="490"/>
      <c r="AP643" s="121"/>
      <c r="AQ643" s="490" t="str">
        <f>IFERROR(IF(COUNTIF(AP643:AP652,"")=10,"",IF(AO643="NO",0,COUNTIF(AP643:AP652,"SI"))),"")</f>
        <v/>
      </c>
      <c r="AR643" s="521" t="str">
        <f>IFERROR(IF(COUNTIF(AF643:AF652,"")=10,"",IF(AO643="NO",0,IF(COUNTIF(E643:E652,"N/A")&gt;0,SUM(CQ643:CQ652),SUM(CR643:CR652)))),"")</f>
        <v/>
      </c>
      <c r="AS643" s="521" t="str">
        <f>IFERROR(IF(OR(COUNTIF(AF643:AF652,"")=10,AQ643="",AR643=""),"",IF(AO643="NO",0,AR643/AQ643)),"")</f>
        <v/>
      </c>
      <c r="AT643" s="137"/>
      <c r="AU643" s="701"/>
      <c r="AV643" s="701"/>
      <c r="AW643" s="707"/>
      <c r="AX643" s="707"/>
      <c r="AY643" s="19"/>
      <c r="CB643" s="29" t="str">
        <f>IFERROR(IF(COUNTIF(AF643:AF652,"")=10,"",IF(COUNTIF(E643:E652,"N/A")&gt;0,IF(AF643&gt;=CMEMM1,AF643,0),"N/A")),"")</f>
        <v/>
      </c>
      <c r="CC643" s="4"/>
      <c r="CD643" s="4" t="str">
        <f>IFERROR(IF(COUNTIF(AF643:AF652,"")=10,"",IF(AF643="","",IF(AF643&gt;=CMEMM1,1,0))),"")</f>
        <v/>
      </c>
      <c r="CE643" s="4" t="str">
        <f>B643&amp;"-0"&amp;1</f>
        <v>P65-01</v>
      </c>
      <c r="CF643" s="4">
        <f>IFERROR(INDEX('DESEMPATE Y DISCAPACIDAD'!$D$3:$D$450,MATCH(CE643,'DESEMPATE Y DISCAPACIDAD'!$C$3:$C$450,0)),"")</f>
        <v>0</v>
      </c>
      <c r="CG643" s="4">
        <f>IF(OR(CE643="",CF643=""),"",SUMIF(D643:D652,CF643,CD643:CD652))</f>
        <v>0</v>
      </c>
      <c r="CH643" s="4" t="str">
        <f t="shared" si="535"/>
        <v>NO CUMPLE</v>
      </c>
      <c r="CI643" s="4">
        <f>IF(CF643="","",IF(ISTEXT(CF643),1,0))</f>
        <v>0</v>
      </c>
      <c r="CJ643" s="4" t="str">
        <f>IF(OR(CE643="",CF643="",CG643="",CH643="",CI643=""),"",IF(COUNTIF(CH643:CH652,"CUMPLE")=COUNTIF(CI643:CI652,1),"CUMPLE","NO CUMPLE"))</f>
        <v>CUMPLE</v>
      </c>
      <c r="CK643" s="4"/>
      <c r="CL643" s="4" t="str">
        <f t="shared" si="536"/>
        <v/>
      </c>
      <c r="CM643" s="4" t="str">
        <f t="shared" si="537"/>
        <v/>
      </c>
      <c r="CN643" s="4" t="str">
        <f>IF(OR(CL643="",CM643=""),"",IF(AND(CL643=0,CM643=0),"N/A",IF(AND(CL643=1,CM643=0),"COND. A",IF(AND(CL643=0,CM643=1),"COND. B",IF(AND(CL643=1,CM643=1),"COND. A Y B","")))))</f>
        <v/>
      </c>
      <c r="CO643" s="4" t="str">
        <f>IF(COUNTIF(CN643:CN652,"N/A")=10,"NO CUMPLE",IF(COUNTIF(CN643:CN652,"COND. A Y B")&gt;1,"CUMPLE",IF(AND(COUNTIF(CN643:CN652,"COND. A")&gt;0,COUNTIF(CN643:CN652,"COND. B")&gt;0),"CUMPLE",IF(AND(COUNTIF(CN643:CN652,"COND. A Y B")&gt;0,COUNTIF(CN643:CN652,"COND. A")&gt;0),"CUMPLE",IF(AND(COUNTIF(CN643:CN652,"COND. A Y B")&gt;0,COUNTIF(CN643:CN652,"COND. B")&gt;0),"CUMPLE","NO CUMPLE")))))</f>
        <v>NO CUMPLE</v>
      </c>
      <c r="CP643" s="4"/>
      <c r="CQ643" s="29" t="str">
        <f t="shared" si="538"/>
        <v/>
      </c>
      <c r="CR643" s="29" t="str">
        <f t="shared" si="539"/>
        <v/>
      </c>
      <c r="CS643" s="4"/>
    </row>
    <row r="644" spans="1:97" ht="34.25" hidden="1" customHeight="1">
      <c r="B644" s="481"/>
      <c r="C644" s="118"/>
      <c r="D644" s="119" t="str">
        <f>+IFERROR(INDEX('DESEMPATE Y DISCAPACIDAD'!$D$3:$D$450,MATCH(C644,'DESEMPATE Y DISCAPACIDAD'!$C$3:$C$450,0)),"")</f>
        <v/>
      </c>
      <c r="E644" s="120" t="str">
        <f>IFERROR(IF(D644="","",IF(VLOOKUP(D644,'DESEMPATE Y DISCAPACIDAD'!D$3:$E$450,2,FALSE)=1,"N/A",IF(VLOOKUP(D644,'DESEMPATE Y DISCAPACIDAD'!D$3:$F$450,3,FALSE)="X","SI","NO"))),"")</f>
        <v/>
      </c>
      <c r="F644" s="125"/>
      <c r="G644" s="125"/>
      <c r="H644" s="121"/>
      <c r="I644" s="122"/>
      <c r="J644" s="121"/>
      <c r="K644" s="121"/>
      <c r="L644" s="179"/>
      <c r="M644" s="121"/>
      <c r="N644" s="121" t="str">
        <f t="shared" ref="N644:N652" si="583">IFERROR(IF(OR(J644="",K644=""),"",IF(J644="NO","NO",K644)),"")</f>
        <v/>
      </c>
      <c r="O644" s="121" t="str">
        <f>IFERROR(IF(OR(J644="",L644=""),"",IF(J644="NO","NO",L644)),"")</f>
        <v/>
      </c>
      <c r="P644" s="121" t="str">
        <f t="shared" ref="P644:P652" si="584">IFERROR(IF(OR(J644="",M644=""),"",IF(J644="NO","NO",M644)),"")</f>
        <v/>
      </c>
      <c r="Q644" s="121" t="str">
        <f t="shared" si="531"/>
        <v/>
      </c>
      <c r="R644" s="103"/>
      <c r="S644" s="123"/>
      <c r="T644" s="123"/>
      <c r="U644" s="121" t="str">
        <f t="shared" ref="U644:U652" si="585">IFERROR(IF(T644="","",YEAR(T644)),"")</f>
        <v/>
      </c>
      <c r="V644" s="124" t="str">
        <f>IF(U644=2023,1160000,IFERROR(INDEX(SMMLV!$B$2:$B$101,MATCH(U644,SMMLV!$A$2:$A$101,0)),""))</f>
        <v/>
      </c>
      <c r="W644" s="124"/>
      <c r="X644" s="125"/>
      <c r="Y644" s="125"/>
      <c r="Z644" s="474"/>
      <c r="AA644" s="475"/>
      <c r="AB644" s="476"/>
      <c r="AC644" s="125" t="str">
        <f t="shared" ref="AC644:AC652" si="586">IFERROR(IF(Y644="","",IF(ISNUMBER(Y644),IF(COUNTIF(Z644,"SI")&gt;0,"SI","NO"),Y644)),"")</f>
        <v/>
      </c>
      <c r="AD644" s="117" t="str">
        <f t="shared" si="532"/>
        <v/>
      </c>
      <c r="AE644" s="117" t="str">
        <f t="shared" si="547"/>
        <v/>
      </c>
      <c r="AF644" s="117" t="str">
        <f t="shared" si="533"/>
        <v/>
      </c>
      <c r="AG644" s="470"/>
      <c r="AH644" s="470"/>
      <c r="AI644" s="125" t="str">
        <f t="shared" si="534"/>
        <v/>
      </c>
      <c r="AJ644" s="470"/>
      <c r="AK644" s="470"/>
      <c r="AL644" s="472"/>
      <c r="AM644" s="496"/>
      <c r="AN644" s="125"/>
      <c r="AO644" s="490"/>
      <c r="AP644" s="125"/>
      <c r="AQ644" s="490"/>
      <c r="AR644" s="522"/>
      <c r="AS644" s="522"/>
      <c r="AT644" s="138"/>
      <c r="AU644" s="702"/>
      <c r="AV644" s="702"/>
      <c r="AW644" s="708"/>
      <c r="AX644" s="708"/>
      <c r="AY644" s="19"/>
      <c r="CB644" s="29" t="str">
        <f>IFERROR(IF(COUNTIF(AF643:AF652,"")=10,"",IF(COUNTIF(E643:E652,"N/A")&gt;0,IF(AF644&gt;=CMEMM1,AF644,0),"N/A")),"")</f>
        <v/>
      </c>
      <c r="CC644" s="4"/>
      <c r="CD644" s="4" t="str">
        <f>IFERROR(IF(COUNTIF(AF643:AF652,"")=10,"",IF(AF644="","",IF(AF644&gt;=CMEMM1,1,0))),"")</f>
        <v/>
      </c>
      <c r="CE644" s="4" t="str">
        <f>B643&amp;"-0"&amp;2</f>
        <v>P65-02</v>
      </c>
      <c r="CF644" s="4">
        <f>IFERROR(INDEX('DESEMPATE Y DISCAPACIDAD'!$D$3:$D$450,MATCH(CE644,'DESEMPATE Y DISCAPACIDAD'!$C$3:$C$450,0)),"")</f>
        <v>0</v>
      </c>
      <c r="CG644" s="4">
        <f>IF(OR(CE644="",CF644=""),"",SUMIF(D643:D652,CF644,CD643:CD652))</f>
        <v>0</v>
      </c>
      <c r="CH644" s="4" t="str">
        <f t="shared" si="535"/>
        <v>NO CUMPLE</v>
      </c>
      <c r="CI644" s="4">
        <f t="shared" ref="CI644:CI652" si="587">IF(CF644="","",IF(ISTEXT(CF644),1,0))</f>
        <v>0</v>
      </c>
      <c r="CJ644" s="4"/>
      <c r="CK644" s="4"/>
      <c r="CL644" s="4" t="str">
        <f t="shared" si="536"/>
        <v/>
      </c>
      <c r="CM644" s="4" t="str">
        <f t="shared" si="537"/>
        <v/>
      </c>
      <c r="CN644" s="4" t="str">
        <f t="shared" ref="CN644:CN652" si="588">IF(OR(CL644="",CM644=""),"",IF(AND(CL644=0,CM644=0),"N/A",IF(AND(CL644=1,CM644=0),"COND. A",IF(AND(CL644=0,CM644=1),"COND. B",IF(AND(CL644=1,CM644=1),"COND. A Y B","")))))</f>
        <v/>
      </c>
      <c r="CO644" s="4"/>
      <c r="CP644" s="4"/>
      <c r="CQ644" s="29" t="str">
        <f t="shared" si="538"/>
        <v/>
      </c>
      <c r="CR644" s="29" t="str">
        <f t="shared" si="539"/>
        <v/>
      </c>
      <c r="CS644" s="4"/>
    </row>
    <row r="645" spans="1:97" ht="34.25" hidden="1" customHeight="1">
      <c r="B645" s="481"/>
      <c r="C645" s="118"/>
      <c r="D645" s="126" t="str">
        <f>+IFERROR(INDEX('DESEMPATE Y DISCAPACIDAD'!$D$3:$D$450,MATCH(C645,'DESEMPATE Y DISCAPACIDAD'!$C$3:$C$450,0)),"")</f>
        <v/>
      </c>
      <c r="E645" s="127" t="str">
        <f>IFERROR(IF(D645="","",IF(VLOOKUP(D645,'DESEMPATE Y DISCAPACIDAD'!D$3:$E$450,2,FALSE)=1,"N/A",IF(VLOOKUP(D645,'DESEMPATE Y DISCAPACIDAD'!D$3:$F$450,3,FALSE)="X","SI","NO"))),"")</f>
        <v/>
      </c>
      <c r="F645" s="121"/>
      <c r="G645" s="121"/>
      <c r="H645" s="125"/>
      <c r="I645" s="128"/>
      <c r="J645" s="125"/>
      <c r="K645" s="125"/>
      <c r="L645" s="3"/>
      <c r="M645" s="3"/>
      <c r="N645" s="125" t="str">
        <f t="shared" si="583"/>
        <v/>
      </c>
      <c r="O645" s="125" t="str">
        <f>IFERROR(IF(OR(J645="",L645=""),"",IF(J645="NO","NO",L645)),"")</f>
        <v/>
      </c>
      <c r="P645" s="125" t="str">
        <f t="shared" si="584"/>
        <v/>
      </c>
      <c r="Q645" s="125" t="str">
        <f t="shared" si="531"/>
        <v/>
      </c>
      <c r="R645" s="68"/>
      <c r="S645" s="129"/>
      <c r="T645" s="129"/>
      <c r="U645" s="125" t="str">
        <f t="shared" si="585"/>
        <v/>
      </c>
      <c r="V645" s="117" t="str">
        <f>IF(U645=2023,1160000,IFERROR(INDEX(SMMLV!$B$2:$B$101,MATCH(U645,SMMLV!$A$2:$A$101,0)),""))</f>
        <v/>
      </c>
      <c r="W645" s="117"/>
      <c r="X645" s="125"/>
      <c r="Y645" s="125"/>
      <c r="Z645" s="474"/>
      <c r="AA645" s="475"/>
      <c r="AB645" s="476"/>
      <c r="AC645" s="125" t="str">
        <f t="shared" si="586"/>
        <v/>
      </c>
      <c r="AD645" s="117" t="str">
        <f t="shared" si="532"/>
        <v/>
      </c>
      <c r="AE645" s="117" t="str">
        <f t="shared" si="547"/>
        <v/>
      </c>
      <c r="AF645" s="117" t="str">
        <f t="shared" si="533"/>
        <v/>
      </c>
      <c r="AG645" s="470"/>
      <c r="AH645" s="470"/>
      <c r="AI645" s="125" t="str">
        <f t="shared" si="534"/>
        <v/>
      </c>
      <c r="AJ645" s="470"/>
      <c r="AK645" s="470"/>
      <c r="AL645" s="472"/>
      <c r="AM645" s="496"/>
      <c r="AN645" s="125"/>
      <c r="AO645" s="490"/>
      <c r="AP645" s="125"/>
      <c r="AQ645" s="490"/>
      <c r="AR645" s="522"/>
      <c r="AS645" s="522"/>
      <c r="AT645" s="138"/>
      <c r="AU645" s="702"/>
      <c r="AV645" s="702"/>
      <c r="AW645" s="708"/>
      <c r="AX645" s="708"/>
      <c r="AY645" s="19"/>
      <c r="CB645" s="29" t="str">
        <f>IFERROR(IF(COUNTIF(AF643:AF652,"")=10,"",IF(COUNTIF(E643:E652,"N/A")&gt;0,IF(AF645&gt;=CMEMM1,AF645,0),"N/A")),"")</f>
        <v/>
      </c>
      <c r="CC645" s="4"/>
      <c r="CD645" s="4" t="str">
        <f>IFERROR(IF(COUNTIF(AF643:AF652,"")=10,"",IF(AF645="","",IF(AF645&gt;=CMEMM1,1,0))),"")</f>
        <v/>
      </c>
      <c r="CE645" s="4" t="str">
        <f>B643&amp;"-0"&amp;3</f>
        <v>P65-03</v>
      </c>
      <c r="CF645" s="4">
        <f>IFERROR(INDEX('DESEMPATE Y DISCAPACIDAD'!$D$3:$D$450,MATCH(CE645,'DESEMPATE Y DISCAPACIDAD'!$C$3:$C$450,0)),"")</f>
        <v>0</v>
      </c>
      <c r="CG645" s="4">
        <f>IF(OR(CE645="",CF645=""),"",SUMIF(D643:D652,CF645,CD643:CD652))</f>
        <v>0</v>
      </c>
      <c r="CH645" s="4" t="str">
        <f t="shared" si="535"/>
        <v>NO CUMPLE</v>
      </c>
      <c r="CI645" s="4">
        <f t="shared" si="587"/>
        <v>0</v>
      </c>
      <c r="CJ645" s="4"/>
      <c r="CK645" s="4"/>
      <c r="CL645" s="4" t="str">
        <f t="shared" si="536"/>
        <v/>
      </c>
      <c r="CM645" s="4" t="str">
        <f t="shared" si="537"/>
        <v/>
      </c>
      <c r="CN645" s="4" t="str">
        <f t="shared" si="588"/>
        <v/>
      </c>
      <c r="CO645" s="4"/>
      <c r="CP645" s="4"/>
      <c r="CQ645" s="29" t="str">
        <f t="shared" si="538"/>
        <v/>
      </c>
      <c r="CR645" s="29" t="str">
        <f t="shared" si="539"/>
        <v/>
      </c>
      <c r="CS645" s="4"/>
    </row>
    <row r="646" spans="1:97" ht="34.25" hidden="1" customHeight="1">
      <c r="B646" s="481"/>
      <c r="C646" s="118"/>
      <c r="D646" s="126" t="str">
        <f>+IFERROR(INDEX('DESEMPATE Y DISCAPACIDAD'!$D$3:$D$450,MATCH(C646,'DESEMPATE Y DISCAPACIDAD'!$C$3:$C$450,0)),"")</f>
        <v/>
      </c>
      <c r="E646" s="127" t="str">
        <f>IFERROR(IF(D646="","",IF(VLOOKUP(D646,'DESEMPATE Y DISCAPACIDAD'!D$3:$E$450,2,FALSE)=1,"N/A",IF(VLOOKUP(D646,'DESEMPATE Y DISCAPACIDAD'!D$3:$F$450,3,FALSE)="X","SI","NO"))),"")</f>
        <v/>
      </c>
      <c r="F646" s="141"/>
      <c r="G646" s="125"/>
      <c r="H646" s="125"/>
      <c r="I646" s="128"/>
      <c r="J646" s="125"/>
      <c r="K646" s="125"/>
      <c r="L646" s="3"/>
      <c r="M646" s="125"/>
      <c r="N646" s="125" t="str">
        <f t="shared" si="583"/>
        <v/>
      </c>
      <c r="O646" s="125" t="str">
        <f>IFERROR(IF(OR(J646="",L646=""),"",IF(J646="NO","NO",L646)),"")</f>
        <v/>
      </c>
      <c r="P646" s="125" t="str">
        <f t="shared" si="584"/>
        <v/>
      </c>
      <c r="Q646" s="125" t="str">
        <f t="shared" si="531"/>
        <v/>
      </c>
      <c r="R646" s="68"/>
      <c r="S646" s="129"/>
      <c r="T646" s="129"/>
      <c r="U646" s="125" t="str">
        <f t="shared" si="585"/>
        <v/>
      </c>
      <c r="V646" s="117" t="str">
        <f>IF(U646=2023,1160000,IFERROR(INDEX(SMMLV!$B$2:$B$101,MATCH(U646,SMMLV!$A$2:$A$101,0)),""))</f>
        <v/>
      </c>
      <c r="W646" s="117"/>
      <c r="X646" s="125"/>
      <c r="Y646" s="125"/>
      <c r="Z646" s="474"/>
      <c r="AA646" s="475"/>
      <c r="AB646" s="476"/>
      <c r="AC646" s="125" t="str">
        <f t="shared" si="586"/>
        <v/>
      </c>
      <c r="AD646" s="117" t="str">
        <f t="shared" si="532"/>
        <v/>
      </c>
      <c r="AE646" s="117" t="str">
        <f t="shared" si="547"/>
        <v/>
      </c>
      <c r="AF646" s="117" t="str">
        <f t="shared" si="533"/>
        <v/>
      </c>
      <c r="AG646" s="470"/>
      <c r="AH646" s="470"/>
      <c r="AI646" s="125" t="str">
        <f t="shared" si="534"/>
        <v/>
      </c>
      <c r="AJ646" s="470"/>
      <c r="AK646" s="470"/>
      <c r="AL646" s="472"/>
      <c r="AM646" s="496"/>
      <c r="AN646" s="125"/>
      <c r="AO646" s="490"/>
      <c r="AP646" s="125"/>
      <c r="AQ646" s="490"/>
      <c r="AR646" s="522"/>
      <c r="AS646" s="522"/>
      <c r="AT646" s="138"/>
      <c r="AU646" s="702"/>
      <c r="AV646" s="702"/>
      <c r="AW646" s="708"/>
      <c r="AX646" s="708"/>
      <c r="AY646" s="19"/>
      <c r="CB646" s="29" t="str">
        <f>IFERROR(IF(COUNTIF(AF643:AF652,"")=10,"",IF(COUNTIF(E643:E652,"N/A")&gt;0,IF(AF646&gt;=CMEMM1,AF646,0),"N/A")),"")</f>
        <v/>
      </c>
      <c r="CC646" s="4"/>
      <c r="CD646" s="4" t="str">
        <f>IFERROR(IF(COUNTIF(AF643:AF652,"")=10,"",IF(AF646="","",IF(AF646&gt;=CMEMM1,1,0))),"")</f>
        <v/>
      </c>
      <c r="CE646" s="4" t="str">
        <f>B643&amp;"-0"&amp;4</f>
        <v>P65-04</v>
      </c>
      <c r="CF646" s="4">
        <f>IFERROR(INDEX('DESEMPATE Y DISCAPACIDAD'!$D$3:$D$450,MATCH(CE646,'DESEMPATE Y DISCAPACIDAD'!$C$3:$C$450,0)),"")</f>
        <v>0</v>
      </c>
      <c r="CG646" s="4">
        <f>IF(OR(CE646="",CF646=""),"",SUMIF(D643:D652,CF646,CD643:CD652))</f>
        <v>0</v>
      </c>
      <c r="CH646" s="4" t="str">
        <f t="shared" si="535"/>
        <v>NO CUMPLE</v>
      </c>
      <c r="CI646" s="4">
        <f t="shared" si="587"/>
        <v>0</v>
      </c>
      <c r="CJ646" s="4"/>
      <c r="CK646" s="4"/>
      <c r="CL646" s="4" t="str">
        <f t="shared" si="536"/>
        <v/>
      </c>
      <c r="CM646" s="4" t="str">
        <f t="shared" si="537"/>
        <v/>
      </c>
      <c r="CN646" s="4" t="str">
        <f t="shared" si="588"/>
        <v/>
      </c>
      <c r="CO646" s="4"/>
      <c r="CP646" s="4"/>
      <c r="CQ646" s="29" t="str">
        <f t="shared" si="538"/>
        <v/>
      </c>
      <c r="CR646" s="29" t="str">
        <f t="shared" si="539"/>
        <v/>
      </c>
      <c r="CS646" s="4"/>
    </row>
    <row r="647" spans="1:97" ht="34.25" hidden="1" customHeight="1">
      <c r="B647" s="481"/>
      <c r="C647" s="118"/>
      <c r="D647" s="126" t="str">
        <f>+IFERROR(INDEX('DESEMPATE Y DISCAPACIDAD'!$D$3:$D$450,MATCH(C647,'DESEMPATE Y DISCAPACIDAD'!$C$3:$C$450,0)),"")</f>
        <v/>
      </c>
      <c r="E647" s="127" t="str">
        <f>IFERROR(IF(D647="","",IF(VLOOKUP(D647,'DESEMPATE Y DISCAPACIDAD'!D$3:$E$450,2,FALSE)=1,"N/A",IF(VLOOKUP(D647,'DESEMPATE Y DISCAPACIDAD'!D$3:$F$450,3,FALSE)="X","SI","NO"))),"")</f>
        <v/>
      </c>
      <c r="F647" s="125"/>
      <c r="G647" s="125"/>
      <c r="H647" s="125"/>
      <c r="I647" s="128"/>
      <c r="J647" s="125"/>
      <c r="K647" s="125"/>
      <c r="L647" s="125"/>
      <c r="M647" s="125"/>
      <c r="N647" s="125" t="str">
        <f t="shared" si="583"/>
        <v/>
      </c>
      <c r="O647" s="125" t="str">
        <f t="shared" ref="O647:O652" si="589">IFERROR(IF(OR(J647="",L647=""),"",IF(J647="NO","NO",L647)),"")</f>
        <v/>
      </c>
      <c r="P647" s="125" t="str">
        <f t="shared" si="584"/>
        <v/>
      </c>
      <c r="Q647" s="125" t="str">
        <f t="shared" ref="Q647:Q672" si="590">IFERROR(IF(S647="","",IF(S647&gt;=DATE(1900,1,1),"SI","NO")),"")</f>
        <v/>
      </c>
      <c r="R647" s="68"/>
      <c r="S647" s="129"/>
      <c r="T647" s="129"/>
      <c r="U647" s="125" t="str">
        <f t="shared" si="585"/>
        <v/>
      </c>
      <c r="V647" s="117" t="str">
        <f>IF(U647=2023,1160000,IFERROR(INDEX(SMMLV!$B$2:$B$101,MATCH(U647,SMMLV!$A$2:$A$101,0)),""))</f>
        <v/>
      </c>
      <c r="W647" s="117"/>
      <c r="X647" s="125"/>
      <c r="Y647" s="125"/>
      <c r="Z647" s="474"/>
      <c r="AA647" s="475"/>
      <c r="AB647" s="476"/>
      <c r="AC647" s="125" t="str">
        <f t="shared" si="586"/>
        <v/>
      </c>
      <c r="AD647" s="117" t="str">
        <f t="shared" ref="AD647:AD672" si="591">IF(W647="","",IF(W647="N/A","N/A",W647))</f>
        <v/>
      </c>
      <c r="AE647" s="117" t="str">
        <f t="shared" si="547"/>
        <v/>
      </c>
      <c r="AF647" s="117" t="str">
        <f t="shared" ref="AF647:AF672" si="592">IFERROR(IF(OR(J647="",J647="NO"),"",IF(AND(J647="SI",Q647="SI"),IFERROR(AE647*R647,""),"")),"")</f>
        <v/>
      </c>
      <c r="AG647" s="470"/>
      <c r="AH647" s="470"/>
      <c r="AI647" s="125" t="str">
        <f t="shared" ref="AI647:AI672" si="593">IFERROR(IF(AF647="","",IF(AF647&gt;=CMEMM1,"CUMPLE","NO CUMPLE")),"")</f>
        <v/>
      </c>
      <c r="AJ647" s="470"/>
      <c r="AK647" s="470"/>
      <c r="AL647" s="472"/>
      <c r="AM647" s="496"/>
      <c r="AN647" s="125"/>
      <c r="AO647" s="490"/>
      <c r="AP647" s="125"/>
      <c r="AQ647" s="490"/>
      <c r="AR647" s="522"/>
      <c r="AS647" s="522"/>
      <c r="AT647" s="138"/>
      <c r="AU647" s="702"/>
      <c r="AV647" s="702"/>
      <c r="AW647" s="708"/>
      <c r="AX647" s="708"/>
      <c r="AY647" s="19"/>
      <c r="CB647" s="29" t="str">
        <f>IFERROR(IF(COUNTIF(AF643:AF652,"")=10,"",IF(COUNTIF(E643:E652,"N/A")&gt;0,IF(AF647&gt;=CMEMM1,AF647,0),"N/A")),"")</f>
        <v/>
      </c>
      <c r="CC647" s="4"/>
      <c r="CD647" s="4" t="str">
        <f>IFERROR(IF(COUNTIF(AF643:AF652,"")=10,"",IF(AF647="","",IF(AF647&gt;=CMEMM1,1,0))),"")</f>
        <v/>
      </c>
      <c r="CE647" s="4" t="str">
        <f>B643&amp;"-0"&amp;5</f>
        <v>P65-05</v>
      </c>
      <c r="CF647" s="4">
        <f>IFERROR(INDEX('DESEMPATE Y DISCAPACIDAD'!$D$3:$D$450,MATCH(CE647,'DESEMPATE Y DISCAPACIDAD'!$C$3:$C$450,0)),"")</f>
        <v>0</v>
      </c>
      <c r="CG647" s="4">
        <f>IF(OR(CE647="",CF647=""),"",SUMIF(D643:D652,CF647,CD643:CD652))</f>
        <v>0</v>
      </c>
      <c r="CH647" s="4" t="str">
        <f t="shared" ref="CH647:CH672" si="594">IF(OR(CE647="",CF647="",CG647=""),"",IF(CG647&gt;0,"CUMPLE","NO CUMPLE"))</f>
        <v>NO CUMPLE</v>
      </c>
      <c r="CI647" s="4">
        <f t="shared" si="587"/>
        <v>0</v>
      </c>
      <c r="CJ647" s="4"/>
      <c r="CK647" s="4"/>
      <c r="CL647" s="4" t="str">
        <f t="shared" ref="CL647:CL672" si="595">IF(N647="","",IF(N647="SI",1,0))</f>
        <v/>
      </c>
      <c r="CM647" s="4" t="str">
        <f t="shared" ref="CM647:CM672" si="596">IF(O647="","",IF(O647="SI",1,0))</f>
        <v/>
      </c>
      <c r="CN647" s="4" t="str">
        <f t="shared" si="588"/>
        <v/>
      </c>
      <c r="CO647" s="4"/>
      <c r="CP647" s="4"/>
      <c r="CQ647" s="29" t="str">
        <f t="shared" ref="CQ647:CQ672" si="597">IF(OR(AN647="",CB647=""),"",IF(AN647="NO",CB647,0))</f>
        <v/>
      </c>
      <c r="CR647" s="29" t="str">
        <f t="shared" ref="CR647:CR672" si="598">IF(OR(AN647="",AF647=""),"",IF(AN647="NO",AF647,0))</f>
        <v/>
      </c>
      <c r="CS647" s="4"/>
    </row>
    <row r="648" spans="1:97" ht="34.25" hidden="1" customHeight="1">
      <c r="B648" s="481"/>
      <c r="C648" s="118"/>
      <c r="D648" s="126" t="str">
        <f>+IFERROR(INDEX('DESEMPATE Y DISCAPACIDAD'!$D$3:$D$450,MATCH(C648,'DESEMPATE Y DISCAPACIDAD'!$C$3:$C$450,0)),"")</f>
        <v/>
      </c>
      <c r="E648" s="127" t="str">
        <f>IFERROR(IF(D648="","",IF(VLOOKUP(D648,'DESEMPATE Y DISCAPACIDAD'!D$3:$E$450,2,FALSE)=1,"N/A",IF(VLOOKUP(D648,'DESEMPATE Y DISCAPACIDAD'!D$3:$F$450,3,FALSE)="X","SI","NO"))),"")</f>
        <v/>
      </c>
      <c r="F648" s="125"/>
      <c r="G648" s="125"/>
      <c r="H648" s="125"/>
      <c r="I648" s="128"/>
      <c r="J648" s="125"/>
      <c r="K648" s="125"/>
      <c r="L648" s="125"/>
      <c r="M648" s="125"/>
      <c r="N648" s="125" t="str">
        <f t="shared" si="583"/>
        <v/>
      </c>
      <c r="O648" s="125" t="str">
        <f t="shared" si="589"/>
        <v/>
      </c>
      <c r="P648" s="125" t="str">
        <f t="shared" si="584"/>
        <v/>
      </c>
      <c r="Q648" s="125" t="str">
        <f t="shared" si="590"/>
        <v/>
      </c>
      <c r="R648" s="68"/>
      <c r="S648" s="129"/>
      <c r="T648" s="129"/>
      <c r="U648" s="125" t="str">
        <f t="shared" si="585"/>
        <v/>
      </c>
      <c r="V648" s="117" t="str">
        <f>IF(U648=2023,1160000,IFERROR(INDEX(SMMLV!$B$2:$B$101,MATCH(U648,SMMLV!$A$2:$A$101,0)),""))</f>
        <v/>
      </c>
      <c r="W648" s="117"/>
      <c r="X648" s="125"/>
      <c r="Y648" s="125"/>
      <c r="Z648" s="474"/>
      <c r="AA648" s="475"/>
      <c r="AB648" s="476"/>
      <c r="AC648" s="125" t="str">
        <f t="shared" si="586"/>
        <v/>
      </c>
      <c r="AD648" s="117" t="str">
        <f t="shared" si="591"/>
        <v/>
      </c>
      <c r="AE648" s="117" t="str">
        <f t="shared" si="547"/>
        <v/>
      </c>
      <c r="AF648" s="117" t="str">
        <f t="shared" si="592"/>
        <v/>
      </c>
      <c r="AG648" s="470"/>
      <c r="AH648" s="470"/>
      <c r="AI648" s="125" t="str">
        <f t="shared" si="593"/>
        <v/>
      </c>
      <c r="AJ648" s="470"/>
      <c r="AK648" s="470"/>
      <c r="AL648" s="472"/>
      <c r="AM648" s="496"/>
      <c r="AN648" s="125"/>
      <c r="AO648" s="490"/>
      <c r="AP648" s="125"/>
      <c r="AQ648" s="490"/>
      <c r="AR648" s="522"/>
      <c r="AS648" s="522"/>
      <c r="AT648" s="138"/>
      <c r="AU648" s="702"/>
      <c r="AV648" s="702"/>
      <c r="AW648" s="708"/>
      <c r="AX648" s="708"/>
      <c r="AY648" s="19"/>
      <c r="CB648" s="29" t="str">
        <f>IFERROR(IF(COUNTIF(AF643:AF652,"")=10,"",IF(COUNTIF(E643:E652,"N/A")&gt;0,IF(AF648&gt;=CMEMM1,AF648,0),"N/A")),"")</f>
        <v/>
      </c>
      <c r="CC648" s="4"/>
      <c r="CD648" s="4" t="str">
        <f>IFERROR(IF(COUNTIF(AF643:AF652,"")=10,"",IF(AF648="","",IF(AF648&gt;=CMEMM1,1,0))),"")</f>
        <v/>
      </c>
      <c r="CE648" s="4" t="str">
        <f>B643&amp;"-0"&amp;6</f>
        <v>P65-06</v>
      </c>
      <c r="CF648" s="4">
        <f>IFERROR(INDEX('DESEMPATE Y DISCAPACIDAD'!$D$3:$D$450,MATCH(CE648,'DESEMPATE Y DISCAPACIDAD'!$C$3:$C$450,0)),"")</f>
        <v>0</v>
      </c>
      <c r="CG648" s="4">
        <f>IF(OR(CE648="",CF648=""),"",SUMIF(D643:D652,CF648,CD643:CD652))</f>
        <v>0</v>
      </c>
      <c r="CH648" s="4" t="str">
        <f t="shared" si="594"/>
        <v>NO CUMPLE</v>
      </c>
      <c r="CI648" s="4">
        <f t="shared" si="587"/>
        <v>0</v>
      </c>
      <c r="CJ648" s="4"/>
      <c r="CK648" s="4"/>
      <c r="CL648" s="4" t="str">
        <f t="shared" si="595"/>
        <v/>
      </c>
      <c r="CM648" s="4" t="str">
        <f t="shared" si="596"/>
        <v/>
      </c>
      <c r="CN648" s="4" t="str">
        <f t="shared" si="588"/>
        <v/>
      </c>
      <c r="CO648" s="4"/>
      <c r="CP648" s="4"/>
      <c r="CQ648" s="29" t="str">
        <f t="shared" si="597"/>
        <v/>
      </c>
      <c r="CR648" s="29" t="str">
        <f t="shared" si="598"/>
        <v/>
      </c>
      <c r="CS648" s="4"/>
    </row>
    <row r="649" spans="1:97" ht="34.25" hidden="1" customHeight="1">
      <c r="B649" s="481"/>
      <c r="C649" s="118"/>
      <c r="D649" s="126" t="str">
        <f>+IFERROR(INDEX('DESEMPATE Y DISCAPACIDAD'!$D$3:$D$450,MATCH(C649,'DESEMPATE Y DISCAPACIDAD'!$C$3:$C$450,0)),"")</f>
        <v/>
      </c>
      <c r="E649" s="127" t="str">
        <f>IFERROR(IF(D649="","",IF(VLOOKUP(D649,'DESEMPATE Y DISCAPACIDAD'!D$3:$E$450,2,FALSE)=1,"N/A",IF(VLOOKUP(D649,'DESEMPATE Y DISCAPACIDAD'!D$3:$F$450,3,FALSE)="X","SI","NO"))),"")</f>
        <v/>
      </c>
      <c r="F649" s="125"/>
      <c r="G649" s="125"/>
      <c r="H649" s="125"/>
      <c r="I649" s="128"/>
      <c r="J649" s="125"/>
      <c r="K649" s="125"/>
      <c r="L649" s="125"/>
      <c r="M649" s="125"/>
      <c r="N649" s="125" t="str">
        <f t="shared" si="583"/>
        <v/>
      </c>
      <c r="O649" s="125" t="str">
        <f t="shared" si="589"/>
        <v/>
      </c>
      <c r="P649" s="125" t="str">
        <f t="shared" si="584"/>
        <v/>
      </c>
      <c r="Q649" s="125" t="str">
        <f t="shared" si="590"/>
        <v/>
      </c>
      <c r="R649" s="68"/>
      <c r="S649" s="129"/>
      <c r="T649" s="129"/>
      <c r="U649" s="125" t="str">
        <f t="shared" si="585"/>
        <v/>
      </c>
      <c r="V649" s="117" t="str">
        <f>IF(U649=2023,1160000,IFERROR(INDEX(SMMLV!$B$2:$B$101,MATCH(U649,SMMLV!$A$2:$A$101,0)),""))</f>
        <v/>
      </c>
      <c r="W649" s="117"/>
      <c r="X649" s="125"/>
      <c r="Y649" s="125"/>
      <c r="Z649" s="474"/>
      <c r="AA649" s="475"/>
      <c r="AB649" s="476"/>
      <c r="AC649" s="125" t="str">
        <f t="shared" si="586"/>
        <v/>
      </c>
      <c r="AD649" s="117" t="str">
        <f t="shared" si="591"/>
        <v/>
      </c>
      <c r="AE649" s="117" t="str">
        <f t="shared" si="547"/>
        <v/>
      </c>
      <c r="AF649" s="117" t="str">
        <f t="shared" si="592"/>
        <v/>
      </c>
      <c r="AG649" s="470"/>
      <c r="AH649" s="470"/>
      <c r="AI649" s="125" t="str">
        <f t="shared" si="593"/>
        <v/>
      </c>
      <c r="AJ649" s="470"/>
      <c r="AK649" s="470"/>
      <c r="AL649" s="472"/>
      <c r="AM649" s="496"/>
      <c r="AN649" s="125"/>
      <c r="AO649" s="490"/>
      <c r="AP649" s="125"/>
      <c r="AQ649" s="490"/>
      <c r="AR649" s="522"/>
      <c r="AS649" s="522"/>
      <c r="AT649" s="138"/>
      <c r="AU649" s="702"/>
      <c r="AV649" s="702"/>
      <c r="AW649" s="708"/>
      <c r="AX649" s="708"/>
      <c r="AY649" s="19"/>
      <c r="CB649" s="29" t="str">
        <f>IFERROR(IF(COUNTIF(AF643:AF652,"")=10,"",IF(COUNTIF(E643:E652,"N/A")&gt;0,IF(AF649&gt;=CMEMM1,AF649,0),"N/A")),"")</f>
        <v/>
      </c>
      <c r="CC649" s="4"/>
      <c r="CD649" s="4" t="str">
        <f>IFERROR(IF(COUNTIF(AF643:AF652,"")=10,"",IF(AF649="","",IF(AF649&gt;=CMEMM1,1,0))),"")</f>
        <v/>
      </c>
      <c r="CE649" s="4" t="str">
        <f>B643&amp;"-0"&amp;7</f>
        <v>P65-07</v>
      </c>
      <c r="CF649" s="4" t="str">
        <f>IFERROR(INDEX('DESEMPATE Y DISCAPACIDAD'!$D$3:$D$450,MATCH(CE649,'DESEMPATE Y DISCAPACIDAD'!$C$3:$C$450,0)),"")</f>
        <v/>
      </c>
      <c r="CG649" s="4" t="str">
        <f>IF(OR(CE649="",CF649=""),"",SUMIF(D643:D652,CF649,CD643:CD652))</f>
        <v/>
      </c>
      <c r="CH649" s="4" t="str">
        <f t="shared" si="594"/>
        <v/>
      </c>
      <c r="CI649" s="4" t="str">
        <f t="shared" si="587"/>
        <v/>
      </c>
      <c r="CJ649" s="4"/>
      <c r="CK649" s="4"/>
      <c r="CL649" s="4" t="str">
        <f t="shared" si="595"/>
        <v/>
      </c>
      <c r="CM649" s="4" t="str">
        <f t="shared" si="596"/>
        <v/>
      </c>
      <c r="CN649" s="4" t="str">
        <f t="shared" si="588"/>
        <v/>
      </c>
      <c r="CO649" s="4"/>
      <c r="CP649" s="4"/>
      <c r="CQ649" s="29" t="str">
        <f t="shared" si="597"/>
        <v/>
      </c>
      <c r="CR649" s="29" t="str">
        <f t="shared" si="598"/>
        <v/>
      </c>
      <c r="CS649" s="4"/>
    </row>
    <row r="650" spans="1:97" ht="34.25" hidden="1" customHeight="1">
      <c r="B650" s="481"/>
      <c r="C650" s="118"/>
      <c r="D650" s="126" t="str">
        <f>+IFERROR(INDEX('DESEMPATE Y DISCAPACIDAD'!$D$3:$D$450,MATCH(C650,'DESEMPATE Y DISCAPACIDAD'!$C$3:$C$450,0)),"")</f>
        <v/>
      </c>
      <c r="E650" s="127" t="str">
        <f>IFERROR(IF(D650="","",IF(VLOOKUP(D650,'DESEMPATE Y DISCAPACIDAD'!D$3:$E$450,2,FALSE)=1,"N/A",IF(VLOOKUP(D650,'DESEMPATE Y DISCAPACIDAD'!D$3:$F$450,3,FALSE)="X","SI","NO"))),"")</f>
        <v/>
      </c>
      <c r="F650" s="125"/>
      <c r="G650" s="125"/>
      <c r="H650" s="125"/>
      <c r="I650" s="128"/>
      <c r="J650" s="125"/>
      <c r="K650" s="125"/>
      <c r="L650" s="125"/>
      <c r="M650" s="125"/>
      <c r="N650" s="125" t="str">
        <f t="shared" si="583"/>
        <v/>
      </c>
      <c r="O650" s="125" t="str">
        <f t="shared" si="589"/>
        <v/>
      </c>
      <c r="P650" s="125" t="str">
        <f t="shared" si="584"/>
        <v/>
      </c>
      <c r="Q650" s="125" t="str">
        <f t="shared" si="590"/>
        <v/>
      </c>
      <c r="R650" s="68"/>
      <c r="S650" s="129"/>
      <c r="T650" s="129"/>
      <c r="U650" s="125" t="str">
        <f t="shared" si="585"/>
        <v/>
      </c>
      <c r="V650" s="117" t="str">
        <f>IF(U650=2023,1160000,IFERROR(INDEX(SMMLV!$B$2:$B$101,MATCH(U650,SMMLV!$A$2:$A$101,0)),""))</f>
        <v/>
      </c>
      <c r="W650" s="117"/>
      <c r="X650" s="125"/>
      <c r="Y650" s="125"/>
      <c r="Z650" s="474"/>
      <c r="AA650" s="475"/>
      <c r="AB650" s="476"/>
      <c r="AC650" s="125" t="str">
        <f t="shared" si="586"/>
        <v/>
      </c>
      <c r="AD650" s="117" t="str">
        <f t="shared" si="591"/>
        <v/>
      </c>
      <c r="AE650" s="117" t="str">
        <f t="shared" si="547"/>
        <v/>
      </c>
      <c r="AF650" s="117" t="str">
        <f t="shared" si="592"/>
        <v/>
      </c>
      <c r="AG650" s="470"/>
      <c r="AH650" s="470"/>
      <c r="AI650" s="125" t="str">
        <f t="shared" si="593"/>
        <v/>
      </c>
      <c r="AJ650" s="470"/>
      <c r="AK650" s="470"/>
      <c r="AL650" s="472"/>
      <c r="AM650" s="496"/>
      <c r="AN650" s="125"/>
      <c r="AO650" s="490"/>
      <c r="AP650" s="125"/>
      <c r="AQ650" s="490"/>
      <c r="AR650" s="522"/>
      <c r="AS650" s="522"/>
      <c r="AT650" s="138"/>
      <c r="AU650" s="702"/>
      <c r="AV650" s="702"/>
      <c r="AW650" s="708"/>
      <c r="AX650" s="708"/>
      <c r="AY650" s="19"/>
      <c r="CB650" s="29" t="str">
        <f>IFERROR(IF(COUNTIF(AF643:AF652,"")=10,"",IF(COUNTIF(E643:E652,"N/A")&gt;0,IF(AF650&gt;=CMEMM1,AF650,0),"N/A")),"")</f>
        <v/>
      </c>
      <c r="CC650" s="4"/>
      <c r="CD650" s="4" t="str">
        <f>IFERROR(IF(COUNTIF(AF643:AF652,"")=10,"",IF(AF650="","",IF(AF650&gt;=CMEMM1,1,0))),"")</f>
        <v/>
      </c>
      <c r="CE650" s="4" t="str">
        <f>B643&amp;"-0"&amp;8</f>
        <v>P65-08</v>
      </c>
      <c r="CF650" s="4" t="str">
        <f>IFERROR(INDEX('DESEMPATE Y DISCAPACIDAD'!$D$3:$D$450,MATCH(CE650,'DESEMPATE Y DISCAPACIDAD'!$C$3:$C$450,0)),"")</f>
        <v/>
      </c>
      <c r="CG650" s="4" t="str">
        <f>IF(OR(CE650="",CF650=""),"",SUMIF(D643:D652,CF650,CD643:CD652))</f>
        <v/>
      </c>
      <c r="CH650" s="4" t="str">
        <f t="shared" si="594"/>
        <v/>
      </c>
      <c r="CI650" s="4" t="str">
        <f t="shared" si="587"/>
        <v/>
      </c>
      <c r="CJ650" s="4"/>
      <c r="CK650" s="4"/>
      <c r="CL650" s="4" t="str">
        <f t="shared" si="595"/>
        <v/>
      </c>
      <c r="CM650" s="4" t="str">
        <f t="shared" si="596"/>
        <v/>
      </c>
      <c r="CN650" s="4" t="str">
        <f t="shared" si="588"/>
        <v/>
      </c>
      <c r="CO650" s="4"/>
      <c r="CP650" s="4"/>
      <c r="CQ650" s="29" t="str">
        <f t="shared" si="597"/>
        <v/>
      </c>
      <c r="CR650" s="29" t="str">
        <f t="shared" si="598"/>
        <v/>
      </c>
      <c r="CS650" s="4"/>
    </row>
    <row r="651" spans="1:97" ht="34.25" hidden="1" customHeight="1">
      <c r="B651" s="481"/>
      <c r="C651" s="118"/>
      <c r="D651" s="126" t="str">
        <f>+IFERROR(INDEX('DESEMPATE Y DISCAPACIDAD'!$D$3:$D$450,MATCH(C651,'DESEMPATE Y DISCAPACIDAD'!$C$3:$C$450,0)),"")</f>
        <v/>
      </c>
      <c r="E651" s="127" t="str">
        <f>IFERROR(IF(D651="","",IF(VLOOKUP(D651,'DESEMPATE Y DISCAPACIDAD'!D$3:$E$450,2,FALSE)=1,"N/A",IF(VLOOKUP(D651,'DESEMPATE Y DISCAPACIDAD'!D$3:$F$450,3,FALSE)="X","SI","NO"))),"")</f>
        <v/>
      </c>
      <c r="F651" s="125"/>
      <c r="G651" s="125"/>
      <c r="H651" s="125"/>
      <c r="I651" s="128"/>
      <c r="J651" s="125"/>
      <c r="K651" s="125"/>
      <c r="L651" s="125"/>
      <c r="M651" s="125"/>
      <c r="N651" s="125" t="str">
        <f t="shared" si="583"/>
        <v/>
      </c>
      <c r="O651" s="125" t="str">
        <f t="shared" si="589"/>
        <v/>
      </c>
      <c r="P651" s="125" t="str">
        <f t="shared" si="584"/>
        <v/>
      </c>
      <c r="Q651" s="125" t="str">
        <f t="shared" si="590"/>
        <v/>
      </c>
      <c r="R651" s="68"/>
      <c r="S651" s="129"/>
      <c r="T651" s="129"/>
      <c r="U651" s="125" t="str">
        <f t="shared" si="585"/>
        <v/>
      </c>
      <c r="V651" s="117" t="str">
        <f>IF(U651=2023,1160000,IFERROR(INDEX(SMMLV!$B$2:$B$101,MATCH(U651,SMMLV!$A$2:$A$101,0)),""))</f>
        <v/>
      </c>
      <c r="W651" s="117"/>
      <c r="X651" s="125"/>
      <c r="Y651" s="125"/>
      <c r="Z651" s="474"/>
      <c r="AA651" s="475"/>
      <c r="AB651" s="476"/>
      <c r="AC651" s="125" t="str">
        <f t="shared" si="586"/>
        <v/>
      </c>
      <c r="AD651" s="117" t="str">
        <f t="shared" si="591"/>
        <v/>
      </c>
      <c r="AE651" s="117" t="str">
        <f t="shared" si="547"/>
        <v/>
      </c>
      <c r="AF651" s="117" t="str">
        <f t="shared" si="592"/>
        <v/>
      </c>
      <c r="AG651" s="470"/>
      <c r="AH651" s="470"/>
      <c r="AI651" s="125" t="str">
        <f t="shared" si="593"/>
        <v/>
      </c>
      <c r="AJ651" s="470"/>
      <c r="AK651" s="470"/>
      <c r="AL651" s="472"/>
      <c r="AM651" s="496"/>
      <c r="AN651" s="125"/>
      <c r="AO651" s="490"/>
      <c r="AP651" s="125"/>
      <c r="AQ651" s="490"/>
      <c r="AR651" s="522"/>
      <c r="AS651" s="522"/>
      <c r="AT651" s="138"/>
      <c r="AU651" s="702"/>
      <c r="AV651" s="702"/>
      <c r="AW651" s="708"/>
      <c r="AX651" s="708"/>
      <c r="AY651" s="19"/>
      <c r="CB651" s="29" t="str">
        <f>IFERROR(IF(COUNTIF(AF643:AF652,"")=10,"",IF(COUNTIF(E643:E652,"N/A")&gt;0,IF(AF651&gt;=CMEMM1,AF651,0),"N/A")),"")</f>
        <v/>
      </c>
      <c r="CC651" s="4"/>
      <c r="CD651" s="4" t="str">
        <f>IFERROR(IF(COUNTIF(AF643:AF652,"")=10,"",IF(AF651="","",IF(AF651&gt;=CMEMM1,1,0))),"")</f>
        <v/>
      </c>
      <c r="CE651" s="4" t="str">
        <f>B643&amp;"-0"&amp;9</f>
        <v>P65-09</v>
      </c>
      <c r="CF651" s="4" t="str">
        <f>IFERROR(INDEX('DESEMPATE Y DISCAPACIDAD'!$D$3:$D$450,MATCH(CE651,'DESEMPATE Y DISCAPACIDAD'!$C$3:$C$450,0)),"")</f>
        <v/>
      </c>
      <c r="CG651" s="4" t="str">
        <f>IF(OR(CE651="",CF651=""),"",SUMIF(D643:D652,CF651,CD643:CD652))</f>
        <v/>
      </c>
      <c r="CH651" s="4" t="str">
        <f t="shared" si="594"/>
        <v/>
      </c>
      <c r="CI651" s="4" t="str">
        <f t="shared" si="587"/>
        <v/>
      </c>
      <c r="CJ651" s="4"/>
      <c r="CK651" s="4"/>
      <c r="CL651" s="4" t="str">
        <f t="shared" si="595"/>
        <v/>
      </c>
      <c r="CM651" s="4" t="str">
        <f t="shared" si="596"/>
        <v/>
      </c>
      <c r="CN651" s="4" t="str">
        <f t="shared" si="588"/>
        <v/>
      </c>
      <c r="CO651" s="4"/>
      <c r="CP651" s="4"/>
      <c r="CQ651" s="29" t="str">
        <f t="shared" si="597"/>
        <v/>
      </c>
      <c r="CR651" s="29" t="str">
        <f t="shared" si="598"/>
        <v/>
      </c>
      <c r="CS651" s="4"/>
    </row>
    <row r="652" spans="1:97" ht="34.25" hidden="1" customHeight="1" thickBot="1">
      <c r="B652" s="482"/>
      <c r="C652" s="130"/>
      <c r="D652" s="131" t="str">
        <f>+IFERROR(INDEX('DESEMPATE Y DISCAPACIDAD'!$D$3:$D$450,MATCH(C652,'DESEMPATE Y DISCAPACIDAD'!$C$3:$C$450,0)),"")</f>
        <v/>
      </c>
      <c r="E652" s="132" t="str">
        <f>IFERROR(IF(D652="","",IF(VLOOKUP(D652,'DESEMPATE Y DISCAPACIDAD'!D$3:$E$450,2,FALSE)=1,"N/A",IF(VLOOKUP(D652,'DESEMPATE Y DISCAPACIDAD'!D$3:$F$450,3,FALSE)="X","SI","NO"))),"")</f>
        <v/>
      </c>
      <c r="F652" s="133"/>
      <c r="G652" s="133"/>
      <c r="H652" s="133"/>
      <c r="I652" s="134"/>
      <c r="J652" s="133"/>
      <c r="K652" s="133"/>
      <c r="L652" s="133"/>
      <c r="M652" s="133"/>
      <c r="N652" s="133" t="str">
        <f t="shared" si="583"/>
        <v/>
      </c>
      <c r="O652" s="133" t="str">
        <f t="shared" si="589"/>
        <v/>
      </c>
      <c r="P652" s="133" t="str">
        <f t="shared" si="584"/>
        <v/>
      </c>
      <c r="Q652" s="133" t="str">
        <f t="shared" si="590"/>
        <v/>
      </c>
      <c r="R652" s="104"/>
      <c r="S652" s="135"/>
      <c r="T652" s="135"/>
      <c r="U652" s="133" t="str">
        <f t="shared" si="585"/>
        <v/>
      </c>
      <c r="V652" s="136" t="str">
        <f>IF(U652=2023,1160000,IFERROR(INDEX(SMMLV!$B$2:$B$101,MATCH(U652,SMMLV!$A$2:$A$101,0)),""))</f>
        <v/>
      </c>
      <c r="W652" s="136"/>
      <c r="X652" s="133"/>
      <c r="Y652" s="133"/>
      <c r="Z652" s="487"/>
      <c r="AA652" s="488"/>
      <c r="AB652" s="489"/>
      <c r="AC652" s="133" t="str">
        <f t="shared" si="586"/>
        <v/>
      </c>
      <c r="AD652" s="136" t="str">
        <f t="shared" si="591"/>
        <v/>
      </c>
      <c r="AE652" s="117" t="str">
        <f t="shared" si="547"/>
        <v/>
      </c>
      <c r="AF652" s="136" t="str">
        <f t="shared" si="592"/>
        <v/>
      </c>
      <c r="AG652" s="471"/>
      <c r="AH652" s="471"/>
      <c r="AI652" s="133" t="str">
        <f t="shared" si="593"/>
        <v/>
      </c>
      <c r="AJ652" s="471"/>
      <c r="AK652" s="471"/>
      <c r="AL652" s="473"/>
      <c r="AM652" s="497"/>
      <c r="AN652" s="133"/>
      <c r="AO652" s="491"/>
      <c r="AP652" s="133"/>
      <c r="AQ652" s="491"/>
      <c r="AR652" s="523"/>
      <c r="AS652" s="523"/>
      <c r="AT652" s="139"/>
      <c r="AU652" s="703"/>
      <c r="AV652" s="703"/>
      <c r="AW652" s="709"/>
      <c r="AX652" s="709"/>
      <c r="AY652" s="19"/>
      <c r="CB652" s="29" t="str">
        <f>IFERROR(IF(COUNTIF(AF643:AF652,"")=10,"",IF(COUNTIF(E643:E652,"N/A")&gt;0,IF(AF652&gt;=CMEMM1,AF652,0),"N/A")),"")</f>
        <v/>
      </c>
      <c r="CC652" s="4"/>
      <c r="CD652" s="4" t="str">
        <f>IFERROR(IF(COUNTIF(AF643:AF652,"")=10,"",IF(AF652="","",IF(AF652&gt;=CMEMM1,1,0))),"")</f>
        <v/>
      </c>
      <c r="CE652" s="4" t="str">
        <f>B643&amp;"-"&amp;10</f>
        <v>P65-10</v>
      </c>
      <c r="CF652" s="4" t="str">
        <f>IFERROR(INDEX('DESEMPATE Y DISCAPACIDAD'!$D$3:$D$450,MATCH(CE652,'DESEMPATE Y DISCAPACIDAD'!$C$3:$C$450,0)),"")</f>
        <v/>
      </c>
      <c r="CG652" s="4" t="str">
        <f>IF(OR(CE652="",CF652=""),"",SUMIF(D643:D652,CF652,CD643:CD652))</f>
        <v/>
      </c>
      <c r="CH652" s="4" t="str">
        <f t="shared" si="594"/>
        <v/>
      </c>
      <c r="CI652" s="4" t="str">
        <f t="shared" si="587"/>
        <v/>
      </c>
      <c r="CJ652" s="4"/>
      <c r="CK652" s="4"/>
      <c r="CL652" s="4" t="str">
        <f t="shared" si="595"/>
        <v/>
      </c>
      <c r="CM652" s="4" t="str">
        <f t="shared" si="596"/>
        <v/>
      </c>
      <c r="CN652" s="4" t="str">
        <f t="shared" si="588"/>
        <v/>
      </c>
      <c r="CO652" s="4"/>
      <c r="CP652" s="4"/>
      <c r="CQ652" s="29" t="str">
        <f t="shared" si="597"/>
        <v/>
      </c>
      <c r="CR652" s="29" t="str">
        <f t="shared" si="598"/>
        <v/>
      </c>
      <c r="CS652" s="4"/>
    </row>
    <row r="653" spans="1:97" ht="34.25" hidden="1" customHeight="1">
      <c r="A653" s="4" t="str">
        <f>"A"&amp;B653</f>
        <v>AP66</v>
      </c>
      <c r="B653" s="480" t="s">
        <v>596</v>
      </c>
      <c r="C653" s="108"/>
      <c r="D653" s="119" t="str">
        <f>+IFERROR(INDEX('DESEMPATE Y DISCAPACIDAD'!$D$3:$D$450,MATCH(C653,'DESEMPATE Y DISCAPACIDAD'!$C$3:$C$450,0)),"")</f>
        <v/>
      </c>
      <c r="E653" s="120" t="str">
        <f>IFERROR(IF(D653="","",IF(VLOOKUP(D653,'DESEMPATE Y DISCAPACIDAD'!D$3:$E$450,2,FALSE)=1,"N/A",IF(VLOOKUP(D653,'DESEMPATE Y DISCAPACIDAD'!D$3:$F$450,3,FALSE)="X","SI","NO"))),"")</f>
        <v/>
      </c>
      <c r="F653" s="125"/>
      <c r="G653" s="125"/>
      <c r="H653" s="121"/>
      <c r="I653" s="122"/>
      <c r="J653" s="121"/>
      <c r="K653" s="121"/>
      <c r="L653" s="179"/>
      <c r="M653" s="121"/>
      <c r="N653" s="121" t="str">
        <f>IFERROR(IF(OR(J653="",K653=""),"",IF(J653="NO","NO",K653)),"")</f>
        <v/>
      </c>
      <c r="O653" s="121" t="str">
        <f>IFERROR(IF(OR(J653="",L653=""),"",IF(J653="NO","NO",L653)),"")</f>
        <v/>
      </c>
      <c r="P653" s="121" t="str">
        <f>IFERROR(IF(OR(J653="",M653=""),"",IF(J653="NO","NO",M653)),"")</f>
        <v/>
      </c>
      <c r="Q653" s="121" t="str">
        <f t="shared" si="590"/>
        <v/>
      </c>
      <c r="R653" s="103"/>
      <c r="S653" s="123"/>
      <c r="T653" s="123"/>
      <c r="U653" s="121" t="str">
        <f>IFERROR(IF(T653="","",YEAR(T653)),"")</f>
        <v/>
      </c>
      <c r="V653" s="124" t="str">
        <f>IF(U653=2023,1160000,IFERROR(INDEX(SMMLV!$B$2:$B$101,MATCH(U653,SMMLV!$A$2:$A$101,0)),""))</f>
        <v/>
      </c>
      <c r="W653" s="124"/>
      <c r="X653" s="121"/>
      <c r="Y653" s="121"/>
      <c r="Z653" s="483"/>
      <c r="AA653" s="484"/>
      <c r="AB653" s="485"/>
      <c r="AC653" s="121" t="str">
        <f>IFERROR(IF(Y653="","",IF(ISNUMBER(Y653),IF(COUNTIF(Z653,"SI")&gt;0,"SI","NO"),Y653)),"")</f>
        <v/>
      </c>
      <c r="AD653" s="124" t="str">
        <f t="shared" si="591"/>
        <v/>
      </c>
      <c r="AE653" s="117" t="str">
        <f t="shared" ref="AE653:AE672" si="599">IFERROR(IF(OR(V653="",AD653=""),"",ROUND(AD653/V653,2)),"")</f>
        <v/>
      </c>
      <c r="AF653" s="124" t="str">
        <f t="shared" si="592"/>
        <v/>
      </c>
      <c r="AG653" s="486" t="str">
        <f>IFERROR(IF(COUNTIF(AF653:AF662,"")=10,"",IF(COUNTIF(E653:E662,"N/A")&gt;0,IF(SUM(CB653:CB662)&gt;=CMEM1,"CUMPLE","NO CUMPLE"),IF(SUM(AF653:AF662)&gt;=CMEM1,"CUMPLE","NO CUMPLE"))),"")</f>
        <v/>
      </c>
      <c r="AH653" s="486" t="str">
        <f>IF(COUNTIF(AF653:AF662,"")=10,"",IF(SUMIF(C653:C662,C653,AF653:AF662)&gt;=CMLM1,"CUMPLE",IF(SUMIF(C653:C662,C654,AF653:AF662)&gt;=CMLM1,"CUMPLE",IF(SUMIF(C653:C662,C655,AF653:AF662)&gt;=CMLM1,"CUMPLE",IF(SUMIF(C653:C662,C656,AF653:AF662)&gt;=CMLM1,"CUMPLE",IF(SUMIF(C653:C662,C657,AF653:AF662)&gt;=CMLM1,"CUMPLE",IF(SUMIF(C653:C662,C658,AF653:AF662)&gt;=CMLM1,"CUMPLE",IF(SUMIF(C653:C662,C659,AF653:AF662)&gt;=CMLM1,"CUMPLE",IF(SUMIF(C653:C662,C660,AF653:AF662)&gt;=CMLM1,"CUMPLE",IF(SUMIF(C653:C662,C661,AF653:AF662)&gt;=CMLM1,"CUMPLE",IF(SUMIF(C653:C662,C662,AF653:AF662)&gt;=CMLM1,"CUMPLE","NO CUMPLE")))))))))))</f>
        <v/>
      </c>
      <c r="AI653" s="121" t="str">
        <f t="shared" si="593"/>
        <v/>
      </c>
      <c r="AJ653" s="469" t="str">
        <f>IFERROR(IF(COUNTIF(AF653:AF662,"")=10,"",IF(COUNTIF(E653:E662,"N/A")&gt;0,"N/A",CJ653)),"")</f>
        <v/>
      </c>
      <c r="AK653" s="469" t="str">
        <f>IFERROR(IF(AND(COUNTIF(N653:N662,"SI")&gt;=1,COUNTIF(O653:O662,"SI")&gt;=1,COUNTIF(P653:P662,"SI")&gt;=1,COUNTIF(J653:J662,"SI")&lt;=10,CO653="CUMPLE"),"CUMPLE","NO CUMPLE"),"")</f>
        <v>NO CUMPLE</v>
      </c>
      <c r="AL653" s="472"/>
      <c r="AM653" s="495">
        <f>IFERROR(IF(B653&lt;&gt;"",IF(VLOOKUP(B653,'DESEMPATE Y DISCAPACIDAD'!$A$3:$Q$450,10,FALSE)="","",VLOOKUP(B653,'DESEMPATE Y DISCAPACIDAD'!$A$3:$Q$450,10,FALSE)+6),""),"")</f>
        <v>6</v>
      </c>
      <c r="AN653" s="121"/>
      <c r="AO653" s="490"/>
      <c r="AP653" s="121"/>
      <c r="AQ653" s="490" t="str">
        <f>IFERROR(IF(COUNTIF(AP653:AP662,"")=10,"",IF(AO653="NO",0,COUNTIF(AP653:AP662,"SI"))),"")</f>
        <v/>
      </c>
      <c r="AR653" s="521" t="str">
        <f>IFERROR(IF(COUNTIF(AF653:AF662,"")=10,"",IF(AO653="NO",0,IF(COUNTIF(E653:E662,"N/A")&gt;0,SUM(CQ653:CQ662),SUM(CR653:CR662)))),"")</f>
        <v/>
      </c>
      <c r="AS653" s="521" t="str">
        <f>IFERROR(IF(OR(COUNTIF(AF653:AF662,"")=10,AQ653="",AR653=""),"",IF(AO653="NO",0,AR653/AQ653)),"")</f>
        <v/>
      </c>
      <c r="AT653" s="137"/>
      <c r="AU653" s="701"/>
      <c r="AV653" s="701"/>
      <c r="AW653" s="707"/>
      <c r="AX653" s="707"/>
      <c r="AY653" s="19"/>
      <c r="CB653" s="29" t="str">
        <f>IFERROR(IF(COUNTIF(AF653:AF662,"")=10,"",IF(COUNTIF(E653:E662,"N/A")&gt;0,IF(AF653&gt;=CMEMM1,AF653,0),"N/A")),"")</f>
        <v/>
      </c>
      <c r="CC653" s="4"/>
      <c r="CD653" s="4" t="str">
        <f>IFERROR(IF(COUNTIF(AF653:AF662,"")=10,"",IF(AF653="","",IF(AF653&gt;=CMEMM1,1,0))),"")</f>
        <v/>
      </c>
      <c r="CE653" s="4" t="str">
        <f>B653&amp;"-0"&amp;1</f>
        <v>P66-01</v>
      </c>
      <c r="CF653" s="4">
        <f>IFERROR(INDEX('DESEMPATE Y DISCAPACIDAD'!$D$3:$D$450,MATCH(CE653,'DESEMPATE Y DISCAPACIDAD'!$C$3:$C$450,0)),"")</f>
        <v>0</v>
      </c>
      <c r="CG653" s="4">
        <f>IF(OR(CE653="",CF653=""),"",SUMIF(D653:D662,CF653,CD653:CD662))</f>
        <v>0</v>
      </c>
      <c r="CH653" s="4" t="str">
        <f t="shared" si="594"/>
        <v>NO CUMPLE</v>
      </c>
      <c r="CI653" s="4">
        <f>IF(CF653="","",IF(ISTEXT(CF653),1,0))</f>
        <v>0</v>
      </c>
      <c r="CJ653" s="4" t="str">
        <f>IF(OR(CE653="",CF653="",CG653="",CH653="",CI653=""),"",IF(COUNTIF(CH653:CH662,"CUMPLE")=COUNTIF(CI653:CI662,1),"CUMPLE","NO CUMPLE"))</f>
        <v>CUMPLE</v>
      </c>
      <c r="CK653" s="4"/>
      <c r="CL653" s="4" t="str">
        <f t="shared" si="595"/>
        <v/>
      </c>
      <c r="CM653" s="4" t="str">
        <f t="shared" si="596"/>
        <v/>
      </c>
      <c r="CN653" s="4" t="str">
        <f>IF(OR(CL653="",CM653=""),"",IF(AND(CL653=0,CM653=0),"N/A",IF(AND(CL653=1,CM653=0),"COND. A",IF(AND(CL653=0,CM653=1),"COND. B",IF(AND(CL653=1,CM653=1),"COND. A Y B","")))))</f>
        <v/>
      </c>
      <c r="CO653" s="4" t="str">
        <f>IF(COUNTIF(CN653:CN662,"N/A")=10,"NO CUMPLE",IF(COUNTIF(CN653:CN662,"COND. A Y B")&gt;1,"CUMPLE",IF(AND(COUNTIF(CN653:CN662,"COND. A")&gt;0,COUNTIF(CN653:CN662,"COND. B")&gt;0),"CUMPLE",IF(AND(COUNTIF(CN653:CN662,"COND. A Y B")&gt;0,COUNTIF(CN653:CN662,"COND. A")&gt;0),"CUMPLE",IF(AND(COUNTIF(CN653:CN662,"COND. A Y B")&gt;0,COUNTIF(CN653:CN662,"COND. B")&gt;0),"CUMPLE","NO CUMPLE")))))</f>
        <v>NO CUMPLE</v>
      </c>
      <c r="CP653" s="4"/>
      <c r="CQ653" s="29" t="str">
        <f t="shared" si="597"/>
        <v/>
      </c>
      <c r="CR653" s="29" t="str">
        <f t="shared" si="598"/>
        <v/>
      </c>
      <c r="CS653" s="4"/>
    </row>
    <row r="654" spans="1:97" ht="34.25" hidden="1" customHeight="1">
      <c r="B654" s="481"/>
      <c r="C654" s="118"/>
      <c r="D654" s="119" t="str">
        <f>+IFERROR(INDEX('DESEMPATE Y DISCAPACIDAD'!$D$3:$D$450,MATCH(C654,'DESEMPATE Y DISCAPACIDAD'!$C$3:$C$450,0)),"")</f>
        <v/>
      </c>
      <c r="E654" s="120" t="str">
        <f>IFERROR(IF(D654="","",IF(VLOOKUP(D654,'DESEMPATE Y DISCAPACIDAD'!D$3:$E$450,2,FALSE)=1,"N/A",IF(VLOOKUP(D654,'DESEMPATE Y DISCAPACIDAD'!D$3:$F$450,3,FALSE)="X","SI","NO"))),"")</f>
        <v/>
      </c>
      <c r="F654" s="125"/>
      <c r="G654" s="125"/>
      <c r="H654" s="121"/>
      <c r="I654" s="122"/>
      <c r="J654" s="121"/>
      <c r="K654" s="121"/>
      <c r="L654" s="179"/>
      <c r="M654" s="121"/>
      <c r="N654" s="121" t="str">
        <f t="shared" ref="N654:N662" si="600">IFERROR(IF(OR(J654="",K654=""),"",IF(J654="NO","NO",K654)),"")</f>
        <v/>
      </c>
      <c r="O654" s="121" t="str">
        <f>IFERROR(IF(OR(J654="",L654=""),"",IF(J654="NO","NO",L654)),"")</f>
        <v/>
      </c>
      <c r="P654" s="121" t="str">
        <f t="shared" ref="P654:P662" si="601">IFERROR(IF(OR(J654="",M654=""),"",IF(J654="NO","NO",M654)),"")</f>
        <v/>
      </c>
      <c r="Q654" s="121" t="str">
        <f t="shared" si="590"/>
        <v/>
      </c>
      <c r="R654" s="103"/>
      <c r="S654" s="123"/>
      <c r="T654" s="123"/>
      <c r="U654" s="121" t="str">
        <f t="shared" ref="U654:U662" si="602">IFERROR(IF(T654="","",YEAR(T654)),"")</f>
        <v/>
      </c>
      <c r="V654" s="124" t="str">
        <f>IF(U654=2023,1160000,IFERROR(INDEX(SMMLV!$B$2:$B$101,MATCH(U654,SMMLV!$A$2:$A$101,0)),""))</f>
        <v/>
      </c>
      <c r="W654" s="124"/>
      <c r="X654" s="125"/>
      <c r="Y654" s="125"/>
      <c r="Z654" s="474"/>
      <c r="AA654" s="475"/>
      <c r="AB654" s="476"/>
      <c r="AC654" s="125" t="str">
        <f t="shared" ref="AC654:AC662" si="603">IFERROR(IF(Y654="","",IF(ISNUMBER(Y654),IF(COUNTIF(Z654,"SI")&gt;0,"SI","NO"),Y654)),"")</f>
        <v/>
      </c>
      <c r="AD654" s="117" t="str">
        <f t="shared" si="591"/>
        <v/>
      </c>
      <c r="AE654" s="117" t="str">
        <f t="shared" si="599"/>
        <v/>
      </c>
      <c r="AF654" s="117" t="str">
        <f t="shared" si="592"/>
        <v/>
      </c>
      <c r="AG654" s="470"/>
      <c r="AH654" s="470"/>
      <c r="AI654" s="125" t="str">
        <f t="shared" si="593"/>
        <v/>
      </c>
      <c r="AJ654" s="470"/>
      <c r="AK654" s="470"/>
      <c r="AL654" s="472"/>
      <c r="AM654" s="496"/>
      <c r="AN654" s="125"/>
      <c r="AO654" s="490"/>
      <c r="AP654" s="125"/>
      <c r="AQ654" s="490"/>
      <c r="AR654" s="522"/>
      <c r="AS654" s="522"/>
      <c r="AT654" s="138"/>
      <c r="AU654" s="702"/>
      <c r="AV654" s="702"/>
      <c r="AW654" s="708"/>
      <c r="AX654" s="708"/>
      <c r="AY654" s="19"/>
      <c r="CB654" s="29" t="str">
        <f>IFERROR(IF(COUNTIF(AF653:AF662,"")=10,"",IF(COUNTIF(E653:E662,"N/A")&gt;0,IF(AF654&gt;=CMEMM1,AF654,0),"N/A")),"")</f>
        <v/>
      </c>
      <c r="CC654" s="4"/>
      <c r="CD654" s="4" t="str">
        <f>IFERROR(IF(COUNTIF(AF653:AF662,"")=10,"",IF(AF654="","",IF(AF654&gt;=CMEMM1,1,0))),"")</f>
        <v/>
      </c>
      <c r="CE654" s="4" t="str">
        <f>B653&amp;"-0"&amp;2</f>
        <v>P66-02</v>
      </c>
      <c r="CF654" s="4">
        <f>IFERROR(INDEX('DESEMPATE Y DISCAPACIDAD'!$D$3:$D$450,MATCH(CE654,'DESEMPATE Y DISCAPACIDAD'!$C$3:$C$450,0)),"")</f>
        <v>0</v>
      </c>
      <c r="CG654" s="4">
        <f>IF(OR(CE654="",CF654=""),"",SUMIF(D653:D662,CF654,CD653:CD662))</f>
        <v>0</v>
      </c>
      <c r="CH654" s="4" t="str">
        <f t="shared" si="594"/>
        <v>NO CUMPLE</v>
      </c>
      <c r="CI654" s="4">
        <f t="shared" ref="CI654:CI662" si="604">IF(CF654="","",IF(ISTEXT(CF654),1,0))</f>
        <v>0</v>
      </c>
      <c r="CJ654" s="4"/>
      <c r="CK654" s="4"/>
      <c r="CL654" s="4" t="str">
        <f t="shared" si="595"/>
        <v/>
      </c>
      <c r="CM654" s="4" t="str">
        <f t="shared" si="596"/>
        <v/>
      </c>
      <c r="CN654" s="4" t="str">
        <f t="shared" ref="CN654:CN662" si="605">IF(OR(CL654="",CM654=""),"",IF(AND(CL654=0,CM654=0),"N/A",IF(AND(CL654=1,CM654=0),"COND. A",IF(AND(CL654=0,CM654=1),"COND. B",IF(AND(CL654=1,CM654=1),"COND. A Y B","")))))</f>
        <v/>
      </c>
      <c r="CO654" s="4"/>
      <c r="CP654" s="4"/>
      <c r="CQ654" s="29" t="str">
        <f t="shared" si="597"/>
        <v/>
      </c>
      <c r="CR654" s="29" t="str">
        <f t="shared" si="598"/>
        <v/>
      </c>
      <c r="CS654" s="4"/>
    </row>
    <row r="655" spans="1:97" ht="34.25" hidden="1" customHeight="1">
      <c r="B655" s="481"/>
      <c r="C655" s="118"/>
      <c r="D655" s="126" t="str">
        <f>+IFERROR(INDEX('DESEMPATE Y DISCAPACIDAD'!$D$3:$D$450,MATCH(C655,'DESEMPATE Y DISCAPACIDAD'!$C$3:$C$450,0)),"")</f>
        <v/>
      </c>
      <c r="E655" s="127" t="str">
        <f>IFERROR(IF(D655="","",IF(VLOOKUP(D655,'DESEMPATE Y DISCAPACIDAD'!D$3:$E$450,2,FALSE)=1,"N/A",IF(VLOOKUP(D655,'DESEMPATE Y DISCAPACIDAD'!D$3:$F$450,3,FALSE)="X","SI","NO"))),"")</f>
        <v/>
      </c>
      <c r="F655" s="121"/>
      <c r="G655" s="121"/>
      <c r="H655" s="125"/>
      <c r="I655" s="128"/>
      <c r="J655" s="125"/>
      <c r="K655" s="125"/>
      <c r="L655" s="3"/>
      <c r="M655" s="3"/>
      <c r="N655" s="125" t="str">
        <f t="shared" si="600"/>
        <v/>
      </c>
      <c r="O655" s="125" t="str">
        <f>IFERROR(IF(OR(J655="",L655=""),"",IF(J655="NO","NO",L655)),"")</f>
        <v/>
      </c>
      <c r="P655" s="125" t="str">
        <f t="shared" si="601"/>
        <v/>
      </c>
      <c r="Q655" s="125" t="str">
        <f t="shared" si="590"/>
        <v/>
      </c>
      <c r="R655" s="68"/>
      <c r="S655" s="129"/>
      <c r="T655" s="129"/>
      <c r="U655" s="125" t="str">
        <f t="shared" si="602"/>
        <v/>
      </c>
      <c r="V655" s="117" t="str">
        <f>IF(U655=2023,1160000,IFERROR(INDEX(SMMLV!$B$2:$B$101,MATCH(U655,SMMLV!$A$2:$A$101,0)),""))</f>
        <v/>
      </c>
      <c r="W655" s="117"/>
      <c r="X655" s="125"/>
      <c r="Y655" s="125"/>
      <c r="Z655" s="474"/>
      <c r="AA655" s="475"/>
      <c r="AB655" s="476"/>
      <c r="AC655" s="125" t="str">
        <f t="shared" si="603"/>
        <v/>
      </c>
      <c r="AD655" s="117" t="str">
        <f t="shared" si="591"/>
        <v/>
      </c>
      <c r="AE655" s="117" t="str">
        <f t="shared" si="599"/>
        <v/>
      </c>
      <c r="AF655" s="117" t="str">
        <f t="shared" si="592"/>
        <v/>
      </c>
      <c r="AG655" s="470"/>
      <c r="AH655" s="470"/>
      <c r="AI655" s="125" t="str">
        <f t="shared" si="593"/>
        <v/>
      </c>
      <c r="AJ655" s="470"/>
      <c r="AK655" s="470"/>
      <c r="AL655" s="472"/>
      <c r="AM655" s="496"/>
      <c r="AN655" s="125"/>
      <c r="AO655" s="490"/>
      <c r="AP655" s="125"/>
      <c r="AQ655" s="490"/>
      <c r="AR655" s="522"/>
      <c r="AS655" s="522"/>
      <c r="AT655" s="138"/>
      <c r="AU655" s="702"/>
      <c r="AV655" s="702"/>
      <c r="AW655" s="708"/>
      <c r="AX655" s="708"/>
      <c r="AY655" s="19"/>
      <c r="CB655" s="29" t="str">
        <f>IFERROR(IF(COUNTIF(AF653:AF662,"")=10,"",IF(COUNTIF(E653:E662,"N/A")&gt;0,IF(AF655&gt;=CMEMM1,AF655,0),"N/A")),"")</f>
        <v/>
      </c>
      <c r="CC655" s="4"/>
      <c r="CD655" s="4" t="str">
        <f>IFERROR(IF(COUNTIF(AF653:AF662,"")=10,"",IF(AF655="","",IF(AF655&gt;=CMEMM1,1,0))),"")</f>
        <v/>
      </c>
      <c r="CE655" s="4" t="str">
        <f>B653&amp;"-0"&amp;3</f>
        <v>P66-03</v>
      </c>
      <c r="CF655" s="4">
        <f>IFERROR(INDEX('DESEMPATE Y DISCAPACIDAD'!$D$3:$D$450,MATCH(CE655,'DESEMPATE Y DISCAPACIDAD'!$C$3:$C$450,0)),"")</f>
        <v>0</v>
      </c>
      <c r="CG655" s="4">
        <f>IF(OR(CE655="",CF655=""),"",SUMIF(D653:D662,CF655,CD653:CD662))</f>
        <v>0</v>
      </c>
      <c r="CH655" s="4" t="str">
        <f t="shared" si="594"/>
        <v>NO CUMPLE</v>
      </c>
      <c r="CI655" s="4">
        <f t="shared" si="604"/>
        <v>0</v>
      </c>
      <c r="CJ655" s="4"/>
      <c r="CK655" s="4"/>
      <c r="CL655" s="4" t="str">
        <f t="shared" si="595"/>
        <v/>
      </c>
      <c r="CM655" s="4" t="str">
        <f t="shared" si="596"/>
        <v/>
      </c>
      <c r="CN655" s="4" t="str">
        <f t="shared" si="605"/>
        <v/>
      </c>
      <c r="CO655" s="4"/>
      <c r="CP655" s="4"/>
      <c r="CQ655" s="29" t="str">
        <f t="shared" si="597"/>
        <v/>
      </c>
      <c r="CR655" s="29" t="str">
        <f t="shared" si="598"/>
        <v/>
      </c>
      <c r="CS655" s="4"/>
    </row>
    <row r="656" spans="1:97" ht="34.25" hidden="1" customHeight="1">
      <c r="B656" s="481"/>
      <c r="C656" s="118"/>
      <c r="D656" s="126" t="str">
        <f>+IFERROR(INDEX('DESEMPATE Y DISCAPACIDAD'!$D$3:$D$450,MATCH(C656,'DESEMPATE Y DISCAPACIDAD'!$C$3:$C$450,0)),"")</f>
        <v/>
      </c>
      <c r="E656" s="127" t="str">
        <f>IFERROR(IF(D656="","",IF(VLOOKUP(D656,'DESEMPATE Y DISCAPACIDAD'!D$3:$E$450,2,FALSE)=1,"N/A",IF(VLOOKUP(D656,'DESEMPATE Y DISCAPACIDAD'!D$3:$F$450,3,FALSE)="X","SI","NO"))),"")</f>
        <v/>
      </c>
      <c r="F656" s="141"/>
      <c r="G656" s="125"/>
      <c r="H656" s="125"/>
      <c r="I656" s="128"/>
      <c r="J656" s="125"/>
      <c r="K656" s="125"/>
      <c r="L656" s="3"/>
      <c r="M656" s="125"/>
      <c r="N656" s="125" t="str">
        <f t="shared" si="600"/>
        <v/>
      </c>
      <c r="O656" s="125" t="str">
        <f>IFERROR(IF(OR(J656="",L656=""),"",IF(J656="NO","NO",L656)),"")</f>
        <v/>
      </c>
      <c r="P656" s="125" t="str">
        <f t="shared" si="601"/>
        <v/>
      </c>
      <c r="Q656" s="125" t="str">
        <f t="shared" si="590"/>
        <v/>
      </c>
      <c r="R656" s="68"/>
      <c r="S656" s="129"/>
      <c r="T656" s="129"/>
      <c r="U656" s="125" t="str">
        <f t="shared" si="602"/>
        <v/>
      </c>
      <c r="V656" s="117" t="str">
        <f>IF(U656=2023,1160000,IFERROR(INDEX(SMMLV!$B$2:$B$101,MATCH(U656,SMMLV!$A$2:$A$101,0)),""))</f>
        <v/>
      </c>
      <c r="W656" s="117"/>
      <c r="X656" s="125"/>
      <c r="Y656" s="125"/>
      <c r="Z656" s="474"/>
      <c r="AA656" s="475"/>
      <c r="AB656" s="476"/>
      <c r="AC656" s="125" t="str">
        <f t="shared" si="603"/>
        <v/>
      </c>
      <c r="AD656" s="117" t="str">
        <f t="shared" si="591"/>
        <v/>
      </c>
      <c r="AE656" s="117" t="str">
        <f t="shared" si="599"/>
        <v/>
      </c>
      <c r="AF656" s="117" t="str">
        <f t="shared" si="592"/>
        <v/>
      </c>
      <c r="AG656" s="470"/>
      <c r="AH656" s="470"/>
      <c r="AI656" s="125" t="str">
        <f t="shared" si="593"/>
        <v/>
      </c>
      <c r="AJ656" s="470"/>
      <c r="AK656" s="470"/>
      <c r="AL656" s="472"/>
      <c r="AM656" s="496"/>
      <c r="AN656" s="125"/>
      <c r="AO656" s="490"/>
      <c r="AP656" s="125"/>
      <c r="AQ656" s="490"/>
      <c r="AR656" s="522"/>
      <c r="AS656" s="522"/>
      <c r="AT656" s="138"/>
      <c r="AU656" s="702"/>
      <c r="AV656" s="702"/>
      <c r="AW656" s="708"/>
      <c r="AX656" s="708"/>
      <c r="AY656" s="19"/>
      <c r="CB656" s="29" t="str">
        <f>IFERROR(IF(COUNTIF(AF653:AF662,"")=10,"",IF(COUNTIF(E653:E662,"N/A")&gt;0,IF(AF656&gt;=CMEMM1,AF656,0),"N/A")),"")</f>
        <v/>
      </c>
      <c r="CC656" s="4"/>
      <c r="CD656" s="4" t="str">
        <f>IFERROR(IF(COUNTIF(AF653:AF662,"")=10,"",IF(AF656="","",IF(AF656&gt;=CMEMM1,1,0))),"")</f>
        <v/>
      </c>
      <c r="CE656" s="4" t="str">
        <f>B653&amp;"-0"&amp;4</f>
        <v>P66-04</v>
      </c>
      <c r="CF656" s="4">
        <f>IFERROR(INDEX('DESEMPATE Y DISCAPACIDAD'!$D$3:$D$450,MATCH(CE656,'DESEMPATE Y DISCAPACIDAD'!$C$3:$C$450,0)),"")</f>
        <v>0</v>
      </c>
      <c r="CG656" s="4">
        <f>IF(OR(CE656="",CF656=""),"",SUMIF(D653:D662,CF656,CD653:CD662))</f>
        <v>0</v>
      </c>
      <c r="CH656" s="4" t="str">
        <f t="shared" si="594"/>
        <v>NO CUMPLE</v>
      </c>
      <c r="CI656" s="4">
        <f t="shared" si="604"/>
        <v>0</v>
      </c>
      <c r="CJ656" s="4"/>
      <c r="CK656" s="4"/>
      <c r="CL656" s="4" t="str">
        <f t="shared" si="595"/>
        <v/>
      </c>
      <c r="CM656" s="4" t="str">
        <f t="shared" si="596"/>
        <v/>
      </c>
      <c r="CN656" s="4" t="str">
        <f t="shared" si="605"/>
        <v/>
      </c>
      <c r="CO656" s="4"/>
      <c r="CP656" s="4"/>
      <c r="CQ656" s="29" t="str">
        <f t="shared" si="597"/>
        <v/>
      </c>
      <c r="CR656" s="29" t="str">
        <f t="shared" si="598"/>
        <v/>
      </c>
      <c r="CS656" s="4"/>
    </row>
    <row r="657" spans="1:97" ht="34.25" hidden="1" customHeight="1">
      <c r="B657" s="481"/>
      <c r="C657" s="118"/>
      <c r="D657" s="126" t="str">
        <f>+IFERROR(INDEX('DESEMPATE Y DISCAPACIDAD'!$D$3:$D$450,MATCH(C657,'DESEMPATE Y DISCAPACIDAD'!$C$3:$C$450,0)),"")</f>
        <v/>
      </c>
      <c r="E657" s="127" t="str">
        <f>IFERROR(IF(D657="","",IF(VLOOKUP(D657,'DESEMPATE Y DISCAPACIDAD'!D$3:$E$450,2,FALSE)=1,"N/A",IF(VLOOKUP(D657,'DESEMPATE Y DISCAPACIDAD'!D$3:$F$450,3,FALSE)="X","SI","NO"))),"")</f>
        <v/>
      </c>
      <c r="F657" s="125"/>
      <c r="G657" s="125"/>
      <c r="H657" s="125"/>
      <c r="I657" s="128"/>
      <c r="J657" s="125"/>
      <c r="K657" s="125"/>
      <c r="L657" s="125"/>
      <c r="M657" s="125"/>
      <c r="N657" s="125" t="str">
        <f t="shared" si="600"/>
        <v/>
      </c>
      <c r="O657" s="125" t="str">
        <f t="shared" ref="O657:O662" si="606">IFERROR(IF(OR(J657="",L657=""),"",IF(J657="NO","NO",L657)),"")</f>
        <v/>
      </c>
      <c r="P657" s="125" t="str">
        <f t="shared" si="601"/>
        <v/>
      </c>
      <c r="Q657" s="125" t="str">
        <f t="shared" si="590"/>
        <v/>
      </c>
      <c r="R657" s="68"/>
      <c r="S657" s="129"/>
      <c r="T657" s="129"/>
      <c r="U657" s="125" t="str">
        <f t="shared" si="602"/>
        <v/>
      </c>
      <c r="V657" s="117" t="str">
        <f>IF(U657=2023,1160000,IFERROR(INDEX(SMMLV!$B$2:$B$101,MATCH(U657,SMMLV!$A$2:$A$101,0)),""))</f>
        <v/>
      </c>
      <c r="W657" s="117"/>
      <c r="X657" s="125"/>
      <c r="Y657" s="125"/>
      <c r="Z657" s="474"/>
      <c r="AA657" s="475"/>
      <c r="AB657" s="476"/>
      <c r="AC657" s="125" t="str">
        <f t="shared" si="603"/>
        <v/>
      </c>
      <c r="AD657" s="117" t="str">
        <f t="shared" si="591"/>
        <v/>
      </c>
      <c r="AE657" s="117" t="str">
        <f t="shared" si="599"/>
        <v/>
      </c>
      <c r="AF657" s="117" t="str">
        <f t="shared" si="592"/>
        <v/>
      </c>
      <c r="AG657" s="470"/>
      <c r="AH657" s="470"/>
      <c r="AI657" s="125" t="str">
        <f t="shared" si="593"/>
        <v/>
      </c>
      <c r="AJ657" s="470"/>
      <c r="AK657" s="470"/>
      <c r="AL657" s="472"/>
      <c r="AM657" s="496"/>
      <c r="AN657" s="125"/>
      <c r="AO657" s="490"/>
      <c r="AP657" s="125"/>
      <c r="AQ657" s="490"/>
      <c r="AR657" s="522"/>
      <c r="AS657" s="522"/>
      <c r="AT657" s="138"/>
      <c r="AU657" s="702"/>
      <c r="AV657" s="702"/>
      <c r="AW657" s="708"/>
      <c r="AX657" s="708"/>
      <c r="AY657" s="19"/>
      <c r="CB657" s="29" t="str">
        <f>IFERROR(IF(COUNTIF(AF653:AF662,"")=10,"",IF(COUNTIF(E653:E662,"N/A")&gt;0,IF(AF657&gt;=CMEMM1,AF657,0),"N/A")),"")</f>
        <v/>
      </c>
      <c r="CC657" s="4"/>
      <c r="CD657" s="4" t="str">
        <f>IFERROR(IF(COUNTIF(AF653:AF662,"")=10,"",IF(AF657="","",IF(AF657&gt;=CMEMM1,1,0))),"")</f>
        <v/>
      </c>
      <c r="CE657" s="4" t="str">
        <f>B653&amp;"-0"&amp;5</f>
        <v>P66-05</v>
      </c>
      <c r="CF657" s="4">
        <f>IFERROR(INDEX('DESEMPATE Y DISCAPACIDAD'!$D$3:$D$450,MATCH(CE657,'DESEMPATE Y DISCAPACIDAD'!$C$3:$C$450,0)),"")</f>
        <v>0</v>
      </c>
      <c r="CG657" s="4">
        <f>IF(OR(CE657="",CF657=""),"",SUMIF(D653:D662,CF657,CD653:CD662))</f>
        <v>0</v>
      </c>
      <c r="CH657" s="4" t="str">
        <f t="shared" si="594"/>
        <v>NO CUMPLE</v>
      </c>
      <c r="CI657" s="4">
        <f t="shared" si="604"/>
        <v>0</v>
      </c>
      <c r="CJ657" s="4"/>
      <c r="CK657" s="4"/>
      <c r="CL657" s="4" t="str">
        <f t="shared" si="595"/>
        <v/>
      </c>
      <c r="CM657" s="4" t="str">
        <f t="shared" si="596"/>
        <v/>
      </c>
      <c r="CN657" s="4" t="str">
        <f t="shared" si="605"/>
        <v/>
      </c>
      <c r="CO657" s="4"/>
      <c r="CP657" s="4"/>
      <c r="CQ657" s="29" t="str">
        <f t="shared" si="597"/>
        <v/>
      </c>
      <c r="CR657" s="29" t="str">
        <f t="shared" si="598"/>
        <v/>
      </c>
      <c r="CS657" s="4"/>
    </row>
    <row r="658" spans="1:97" ht="34.25" hidden="1" customHeight="1">
      <c r="B658" s="481"/>
      <c r="C658" s="118"/>
      <c r="D658" s="126" t="str">
        <f>+IFERROR(INDEX('DESEMPATE Y DISCAPACIDAD'!$D$3:$D$450,MATCH(C658,'DESEMPATE Y DISCAPACIDAD'!$C$3:$C$450,0)),"")</f>
        <v/>
      </c>
      <c r="E658" s="127" t="str">
        <f>IFERROR(IF(D658="","",IF(VLOOKUP(D658,'DESEMPATE Y DISCAPACIDAD'!D$3:$E$450,2,FALSE)=1,"N/A",IF(VLOOKUP(D658,'DESEMPATE Y DISCAPACIDAD'!D$3:$F$450,3,FALSE)="X","SI","NO"))),"")</f>
        <v/>
      </c>
      <c r="F658" s="125"/>
      <c r="G658" s="125"/>
      <c r="H658" s="125"/>
      <c r="I658" s="128"/>
      <c r="J658" s="125"/>
      <c r="K658" s="125"/>
      <c r="L658" s="125"/>
      <c r="M658" s="125"/>
      <c r="N658" s="125" t="str">
        <f t="shared" si="600"/>
        <v/>
      </c>
      <c r="O658" s="125" t="str">
        <f t="shared" si="606"/>
        <v/>
      </c>
      <c r="P658" s="125" t="str">
        <f t="shared" si="601"/>
        <v/>
      </c>
      <c r="Q658" s="125" t="str">
        <f t="shared" si="590"/>
        <v/>
      </c>
      <c r="R658" s="68"/>
      <c r="S658" s="129"/>
      <c r="T658" s="129"/>
      <c r="U658" s="125" t="str">
        <f t="shared" si="602"/>
        <v/>
      </c>
      <c r="V658" s="117" t="str">
        <f>IF(U658=2023,1160000,IFERROR(INDEX(SMMLV!$B$2:$B$101,MATCH(U658,SMMLV!$A$2:$A$101,0)),""))</f>
        <v/>
      </c>
      <c r="W658" s="117"/>
      <c r="X658" s="125"/>
      <c r="Y658" s="125"/>
      <c r="Z658" s="474"/>
      <c r="AA658" s="475"/>
      <c r="AB658" s="476"/>
      <c r="AC658" s="125" t="str">
        <f t="shared" si="603"/>
        <v/>
      </c>
      <c r="AD658" s="117" t="str">
        <f t="shared" si="591"/>
        <v/>
      </c>
      <c r="AE658" s="117" t="str">
        <f t="shared" si="599"/>
        <v/>
      </c>
      <c r="AF658" s="117" t="str">
        <f t="shared" si="592"/>
        <v/>
      </c>
      <c r="AG658" s="470"/>
      <c r="AH658" s="470"/>
      <c r="AI658" s="125" t="str">
        <f t="shared" si="593"/>
        <v/>
      </c>
      <c r="AJ658" s="470"/>
      <c r="AK658" s="470"/>
      <c r="AL658" s="472"/>
      <c r="AM658" s="496"/>
      <c r="AN658" s="125"/>
      <c r="AO658" s="490"/>
      <c r="AP658" s="125"/>
      <c r="AQ658" s="490"/>
      <c r="AR658" s="522"/>
      <c r="AS658" s="522"/>
      <c r="AT658" s="138"/>
      <c r="AU658" s="702"/>
      <c r="AV658" s="702"/>
      <c r="AW658" s="708"/>
      <c r="AX658" s="708"/>
      <c r="AY658" s="19"/>
      <c r="CB658" s="29" t="str">
        <f>IFERROR(IF(COUNTIF(AF653:AF662,"")=10,"",IF(COUNTIF(E653:E662,"N/A")&gt;0,IF(AF658&gt;=CMEMM1,AF658,0),"N/A")),"")</f>
        <v/>
      </c>
      <c r="CC658" s="4"/>
      <c r="CD658" s="4" t="str">
        <f>IFERROR(IF(COUNTIF(AF653:AF662,"")=10,"",IF(AF658="","",IF(AF658&gt;=CMEMM1,1,0))),"")</f>
        <v/>
      </c>
      <c r="CE658" s="4" t="str">
        <f>B653&amp;"-0"&amp;6</f>
        <v>P66-06</v>
      </c>
      <c r="CF658" s="4">
        <f>IFERROR(INDEX('DESEMPATE Y DISCAPACIDAD'!$D$3:$D$450,MATCH(CE658,'DESEMPATE Y DISCAPACIDAD'!$C$3:$C$450,0)),"")</f>
        <v>0</v>
      </c>
      <c r="CG658" s="4">
        <f>IF(OR(CE658="",CF658=""),"",SUMIF(D653:D662,CF658,CD653:CD662))</f>
        <v>0</v>
      </c>
      <c r="CH658" s="4" t="str">
        <f t="shared" si="594"/>
        <v>NO CUMPLE</v>
      </c>
      <c r="CI658" s="4">
        <f t="shared" si="604"/>
        <v>0</v>
      </c>
      <c r="CJ658" s="4"/>
      <c r="CK658" s="4"/>
      <c r="CL658" s="4" t="str">
        <f t="shared" si="595"/>
        <v/>
      </c>
      <c r="CM658" s="4" t="str">
        <f t="shared" si="596"/>
        <v/>
      </c>
      <c r="CN658" s="4" t="str">
        <f t="shared" si="605"/>
        <v/>
      </c>
      <c r="CO658" s="4"/>
      <c r="CP658" s="4"/>
      <c r="CQ658" s="29" t="str">
        <f t="shared" si="597"/>
        <v/>
      </c>
      <c r="CR658" s="29" t="str">
        <f t="shared" si="598"/>
        <v/>
      </c>
      <c r="CS658" s="4"/>
    </row>
    <row r="659" spans="1:97" ht="34.25" hidden="1" customHeight="1">
      <c r="B659" s="481"/>
      <c r="C659" s="118"/>
      <c r="D659" s="126" t="str">
        <f>+IFERROR(INDEX('DESEMPATE Y DISCAPACIDAD'!$D$3:$D$450,MATCH(C659,'DESEMPATE Y DISCAPACIDAD'!$C$3:$C$450,0)),"")</f>
        <v/>
      </c>
      <c r="E659" s="127" t="str">
        <f>IFERROR(IF(D659="","",IF(VLOOKUP(D659,'DESEMPATE Y DISCAPACIDAD'!D$3:$E$450,2,FALSE)=1,"N/A",IF(VLOOKUP(D659,'DESEMPATE Y DISCAPACIDAD'!D$3:$F$450,3,FALSE)="X","SI","NO"))),"")</f>
        <v/>
      </c>
      <c r="F659" s="125"/>
      <c r="G659" s="125"/>
      <c r="H659" s="125"/>
      <c r="I659" s="128"/>
      <c r="J659" s="125"/>
      <c r="K659" s="125"/>
      <c r="L659" s="125"/>
      <c r="M659" s="125"/>
      <c r="N659" s="125" t="str">
        <f t="shared" si="600"/>
        <v/>
      </c>
      <c r="O659" s="125" t="str">
        <f t="shared" si="606"/>
        <v/>
      </c>
      <c r="P659" s="125" t="str">
        <f t="shared" si="601"/>
        <v/>
      </c>
      <c r="Q659" s="125" t="str">
        <f t="shared" si="590"/>
        <v/>
      </c>
      <c r="R659" s="68"/>
      <c r="S659" s="129"/>
      <c r="T659" s="129"/>
      <c r="U659" s="125" t="str">
        <f t="shared" si="602"/>
        <v/>
      </c>
      <c r="V659" s="117" t="str">
        <f>IF(U659=2023,1160000,IFERROR(INDEX(SMMLV!$B$2:$B$101,MATCH(U659,SMMLV!$A$2:$A$101,0)),""))</f>
        <v/>
      </c>
      <c r="W659" s="117"/>
      <c r="X659" s="125"/>
      <c r="Y659" s="125"/>
      <c r="Z659" s="474"/>
      <c r="AA659" s="475"/>
      <c r="AB659" s="476"/>
      <c r="AC659" s="125" t="str">
        <f t="shared" si="603"/>
        <v/>
      </c>
      <c r="AD659" s="117" t="str">
        <f t="shared" si="591"/>
        <v/>
      </c>
      <c r="AE659" s="117" t="str">
        <f t="shared" si="599"/>
        <v/>
      </c>
      <c r="AF659" s="117" t="str">
        <f t="shared" si="592"/>
        <v/>
      </c>
      <c r="AG659" s="470"/>
      <c r="AH659" s="470"/>
      <c r="AI659" s="125" t="str">
        <f t="shared" si="593"/>
        <v/>
      </c>
      <c r="AJ659" s="470"/>
      <c r="AK659" s="470"/>
      <c r="AL659" s="472"/>
      <c r="AM659" s="496"/>
      <c r="AN659" s="125"/>
      <c r="AO659" s="490"/>
      <c r="AP659" s="125"/>
      <c r="AQ659" s="490"/>
      <c r="AR659" s="522"/>
      <c r="AS659" s="522"/>
      <c r="AT659" s="138"/>
      <c r="AU659" s="702"/>
      <c r="AV659" s="702"/>
      <c r="AW659" s="708"/>
      <c r="AX659" s="708"/>
      <c r="AY659" s="19"/>
      <c r="CB659" s="29" t="str">
        <f>IFERROR(IF(COUNTIF(AF653:AF662,"")=10,"",IF(COUNTIF(E653:E662,"N/A")&gt;0,IF(AF659&gt;=CMEMM1,AF659,0),"N/A")),"")</f>
        <v/>
      </c>
      <c r="CC659" s="4"/>
      <c r="CD659" s="4" t="str">
        <f>IFERROR(IF(COUNTIF(AF653:AF662,"")=10,"",IF(AF659="","",IF(AF659&gt;=CMEMM1,1,0))),"")</f>
        <v/>
      </c>
      <c r="CE659" s="4" t="str">
        <f>B653&amp;"-0"&amp;7</f>
        <v>P66-07</v>
      </c>
      <c r="CF659" s="4" t="str">
        <f>IFERROR(INDEX('DESEMPATE Y DISCAPACIDAD'!$D$3:$D$450,MATCH(CE659,'DESEMPATE Y DISCAPACIDAD'!$C$3:$C$450,0)),"")</f>
        <v/>
      </c>
      <c r="CG659" s="4" t="str">
        <f>IF(OR(CE659="",CF659=""),"",SUMIF(D653:D662,CF659,CD653:CD662))</f>
        <v/>
      </c>
      <c r="CH659" s="4" t="str">
        <f t="shared" si="594"/>
        <v/>
      </c>
      <c r="CI659" s="4" t="str">
        <f t="shared" si="604"/>
        <v/>
      </c>
      <c r="CJ659" s="4"/>
      <c r="CK659" s="4"/>
      <c r="CL659" s="4" t="str">
        <f t="shared" si="595"/>
        <v/>
      </c>
      <c r="CM659" s="4" t="str">
        <f t="shared" si="596"/>
        <v/>
      </c>
      <c r="CN659" s="4" t="str">
        <f t="shared" si="605"/>
        <v/>
      </c>
      <c r="CO659" s="4"/>
      <c r="CP659" s="4"/>
      <c r="CQ659" s="29" t="str">
        <f t="shared" si="597"/>
        <v/>
      </c>
      <c r="CR659" s="29" t="str">
        <f t="shared" si="598"/>
        <v/>
      </c>
      <c r="CS659" s="4"/>
    </row>
    <row r="660" spans="1:97" ht="34.25" hidden="1" customHeight="1">
      <c r="B660" s="481"/>
      <c r="C660" s="118"/>
      <c r="D660" s="126" t="str">
        <f>+IFERROR(INDEX('DESEMPATE Y DISCAPACIDAD'!$D$3:$D$450,MATCH(C660,'DESEMPATE Y DISCAPACIDAD'!$C$3:$C$450,0)),"")</f>
        <v/>
      </c>
      <c r="E660" s="127" t="str">
        <f>IFERROR(IF(D660="","",IF(VLOOKUP(D660,'DESEMPATE Y DISCAPACIDAD'!D$3:$E$450,2,FALSE)=1,"N/A",IF(VLOOKUP(D660,'DESEMPATE Y DISCAPACIDAD'!D$3:$F$450,3,FALSE)="X","SI","NO"))),"")</f>
        <v/>
      </c>
      <c r="F660" s="125"/>
      <c r="G660" s="125"/>
      <c r="H660" s="125"/>
      <c r="I660" s="128"/>
      <c r="J660" s="125"/>
      <c r="K660" s="125"/>
      <c r="L660" s="125"/>
      <c r="M660" s="125"/>
      <c r="N660" s="125" t="str">
        <f t="shared" si="600"/>
        <v/>
      </c>
      <c r="O660" s="125" t="str">
        <f t="shared" si="606"/>
        <v/>
      </c>
      <c r="P660" s="125" t="str">
        <f t="shared" si="601"/>
        <v/>
      </c>
      <c r="Q660" s="125" t="str">
        <f t="shared" si="590"/>
        <v/>
      </c>
      <c r="R660" s="68"/>
      <c r="S660" s="129"/>
      <c r="T660" s="129"/>
      <c r="U660" s="125" t="str">
        <f t="shared" si="602"/>
        <v/>
      </c>
      <c r="V660" s="117" t="str">
        <f>IF(U660=2023,1160000,IFERROR(INDEX(SMMLV!$B$2:$B$101,MATCH(U660,SMMLV!$A$2:$A$101,0)),""))</f>
        <v/>
      </c>
      <c r="W660" s="117"/>
      <c r="X660" s="125"/>
      <c r="Y660" s="125"/>
      <c r="Z660" s="474"/>
      <c r="AA660" s="475"/>
      <c r="AB660" s="476"/>
      <c r="AC660" s="125" t="str">
        <f t="shared" si="603"/>
        <v/>
      </c>
      <c r="AD660" s="117" t="str">
        <f t="shared" si="591"/>
        <v/>
      </c>
      <c r="AE660" s="117" t="str">
        <f t="shared" si="599"/>
        <v/>
      </c>
      <c r="AF660" s="117" t="str">
        <f t="shared" si="592"/>
        <v/>
      </c>
      <c r="AG660" s="470"/>
      <c r="AH660" s="470"/>
      <c r="AI660" s="125" t="str">
        <f t="shared" si="593"/>
        <v/>
      </c>
      <c r="AJ660" s="470"/>
      <c r="AK660" s="470"/>
      <c r="AL660" s="472"/>
      <c r="AM660" s="496"/>
      <c r="AN660" s="125"/>
      <c r="AO660" s="490"/>
      <c r="AP660" s="125"/>
      <c r="AQ660" s="490"/>
      <c r="AR660" s="522"/>
      <c r="AS660" s="522"/>
      <c r="AT660" s="138"/>
      <c r="AU660" s="702"/>
      <c r="AV660" s="702"/>
      <c r="AW660" s="708"/>
      <c r="AX660" s="708"/>
      <c r="AY660" s="19"/>
      <c r="CB660" s="29" t="str">
        <f>IFERROR(IF(COUNTIF(AF653:AF662,"")=10,"",IF(COUNTIF(E653:E662,"N/A")&gt;0,IF(AF660&gt;=CMEMM1,AF660,0),"N/A")),"")</f>
        <v/>
      </c>
      <c r="CC660" s="4"/>
      <c r="CD660" s="4" t="str">
        <f>IFERROR(IF(COUNTIF(AF653:AF662,"")=10,"",IF(AF660="","",IF(AF660&gt;=CMEMM1,1,0))),"")</f>
        <v/>
      </c>
      <c r="CE660" s="4" t="str">
        <f>B653&amp;"-0"&amp;8</f>
        <v>P66-08</v>
      </c>
      <c r="CF660" s="4" t="str">
        <f>IFERROR(INDEX('DESEMPATE Y DISCAPACIDAD'!$D$3:$D$450,MATCH(CE660,'DESEMPATE Y DISCAPACIDAD'!$C$3:$C$450,0)),"")</f>
        <v/>
      </c>
      <c r="CG660" s="4" t="str">
        <f>IF(OR(CE660="",CF660=""),"",SUMIF(D653:D662,CF660,CD653:CD662))</f>
        <v/>
      </c>
      <c r="CH660" s="4" t="str">
        <f t="shared" si="594"/>
        <v/>
      </c>
      <c r="CI660" s="4" t="str">
        <f t="shared" si="604"/>
        <v/>
      </c>
      <c r="CJ660" s="4"/>
      <c r="CK660" s="4"/>
      <c r="CL660" s="4" t="str">
        <f t="shared" si="595"/>
        <v/>
      </c>
      <c r="CM660" s="4" t="str">
        <f t="shared" si="596"/>
        <v/>
      </c>
      <c r="CN660" s="4" t="str">
        <f t="shared" si="605"/>
        <v/>
      </c>
      <c r="CO660" s="4"/>
      <c r="CP660" s="4"/>
      <c r="CQ660" s="29" t="str">
        <f t="shared" si="597"/>
        <v/>
      </c>
      <c r="CR660" s="29" t="str">
        <f t="shared" si="598"/>
        <v/>
      </c>
      <c r="CS660" s="4"/>
    </row>
    <row r="661" spans="1:97" ht="34.25" hidden="1" customHeight="1">
      <c r="B661" s="481"/>
      <c r="C661" s="118"/>
      <c r="D661" s="126" t="str">
        <f>+IFERROR(INDEX('DESEMPATE Y DISCAPACIDAD'!$D$3:$D$450,MATCH(C661,'DESEMPATE Y DISCAPACIDAD'!$C$3:$C$450,0)),"")</f>
        <v/>
      </c>
      <c r="E661" s="127" t="str">
        <f>IFERROR(IF(D661="","",IF(VLOOKUP(D661,'DESEMPATE Y DISCAPACIDAD'!D$3:$E$450,2,FALSE)=1,"N/A",IF(VLOOKUP(D661,'DESEMPATE Y DISCAPACIDAD'!D$3:$F$450,3,FALSE)="X","SI","NO"))),"")</f>
        <v/>
      </c>
      <c r="F661" s="125"/>
      <c r="G661" s="125"/>
      <c r="H661" s="125"/>
      <c r="I661" s="128"/>
      <c r="J661" s="125"/>
      <c r="K661" s="125"/>
      <c r="L661" s="125"/>
      <c r="M661" s="125"/>
      <c r="N661" s="125" t="str">
        <f t="shared" si="600"/>
        <v/>
      </c>
      <c r="O661" s="125" t="str">
        <f t="shared" si="606"/>
        <v/>
      </c>
      <c r="P661" s="125" t="str">
        <f t="shared" si="601"/>
        <v/>
      </c>
      <c r="Q661" s="125" t="str">
        <f t="shared" si="590"/>
        <v/>
      </c>
      <c r="R661" s="68"/>
      <c r="S661" s="129"/>
      <c r="T661" s="129"/>
      <c r="U661" s="125" t="str">
        <f t="shared" si="602"/>
        <v/>
      </c>
      <c r="V661" s="117" t="str">
        <f>IF(U661=2023,1160000,IFERROR(INDEX(SMMLV!$B$2:$B$101,MATCH(U661,SMMLV!$A$2:$A$101,0)),""))</f>
        <v/>
      </c>
      <c r="W661" s="117"/>
      <c r="X661" s="125"/>
      <c r="Y661" s="125"/>
      <c r="Z661" s="474"/>
      <c r="AA661" s="475"/>
      <c r="AB661" s="476"/>
      <c r="AC661" s="125" t="str">
        <f t="shared" si="603"/>
        <v/>
      </c>
      <c r="AD661" s="117" t="str">
        <f t="shared" si="591"/>
        <v/>
      </c>
      <c r="AE661" s="117" t="str">
        <f t="shared" si="599"/>
        <v/>
      </c>
      <c r="AF661" s="117" t="str">
        <f t="shared" si="592"/>
        <v/>
      </c>
      <c r="AG661" s="470"/>
      <c r="AH661" s="470"/>
      <c r="AI661" s="125" t="str">
        <f t="shared" si="593"/>
        <v/>
      </c>
      <c r="AJ661" s="470"/>
      <c r="AK661" s="470"/>
      <c r="AL661" s="472"/>
      <c r="AM661" s="496"/>
      <c r="AN661" s="125"/>
      <c r="AO661" s="490"/>
      <c r="AP661" s="125"/>
      <c r="AQ661" s="490"/>
      <c r="AR661" s="522"/>
      <c r="AS661" s="522"/>
      <c r="AT661" s="138"/>
      <c r="AU661" s="702"/>
      <c r="AV661" s="702"/>
      <c r="AW661" s="708"/>
      <c r="AX661" s="708"/>
      <c r="AY661" s="19"/>
      <c r="CB661" s="29" t="str">
        <f>IFERROR(IF(COUNTIF(AF653:AF662,"")=10,"",IF(COUNTIF(E653:E662,"N/A")&gt;0,IF(AF661&gt;=CMEMM1,AF661,0),"N/A")),"")</f>
        <v/>
      </c>
      <c r="CC661" s="4"/>
      <c r="CD661" s="4" t="str">
        <f>IFERROR(IF(COUNTIF(AF653:AF662,"")=10,"",IF(AF661="","",IF(AF661&gt;=CMEMM1,1,0))),"")</f>
        <v/>
      </c>
      <c r="CE661" s="4" t="str">
        <f>B653&amp;"-0"&amp;9</f>
        <v>P66-09</v>
      </c>
      <c r="CF661" s="4" t="str">
        <f>IFERROR(INDEX('DESEMPATE Y DISCAPACIDAD'!$D$3:$D$450,MATCH(CE661,'DESEMPATE Y DISCAPACIDAD'!$C$3:$C$450,0)),"")</f>
        <v/>
      </c>
      <c r="CG661" s="4" t="str">
        <f>IF(OR(CE661="",CF661=""),"",SUMIF(D653:D662,CF661,CD653:CD662))</f>
        <v/>
      </c>
      <c r="CH661" s="4" t="str">
        <f t="shared" si="594"/>
        <v/>
      </c>
      <c r="CI661" s="4" t="str">
        <f t="shared" si="604"/>
        <v/>
      </c>
      <c r="CJ661" s="4"/>
      <c r="CK661" s="4"/>
      <c r="CL661" s="4" t="str">
        <f t="shared" si="595"/>
        <v/>
      </c>
      <c r="CM661" s="4" t="str">
        <f t="shared" si="596"/>
        <v/>
      </c>
      <c r="CN661" s="4" t="str">
        <f t="shared" si="605"/>
        <v/>
      </c>
      <c r="CO661" s="4"/>
      <c r="CP661" s="4"/>
      <c r="CQ661" s="29" t="str">
        <f t="shared" si="597"/>
        <v/>
      </c>
      <c r="CR661" s="29" t="str">
        <f t="shared" si="598"/>
        <v/>
      </c>
      <c r="CS661" s="4"/>
    </row>
    <row r="662" spans="1:97" ht="34.25" hidden="1" customHeight="1" thickBot="1">
      <c r="B662" s="482"/>
      <c r="C662" s="130"/>
      <c r="D662" s="131" t="str">
        <f>+IFERROR(INDEX('DESEMPATE Y DISCAPACIDAD'!$D$3:$D$450,MATCH(C662,'DESEMPATE Y DISCAPACIDAD'!$C$3:$C$450,0)),"")</f>
        <v/>
      </c>
      <c r="E662" s="132" t="str">
        <f>IFERROR(IF(D662="","",IF(VLOOKUP(D662,'DESEMPATE Y DISCAPACIDAD'!D$3:$E$450,2,FALSE)=1,"N/A",IF(VLOOKUP(D662,'DESEMPATE Y DISCAPACIDAD'!D$3:$F$450,3,FALSE)="X","SI","NO"))),"")</f>
        <v/>
      </c>
      <c r="F662" s="133"/>
      <c r="G662" s="133"/>
      <c r="H662" s="133"/>
      <c r="I662" s="134"/>
      <c r="J662" s="133"/>
      <c r="K662" s="133"/>
      <c r="L662" s="133"/>
      <c r="M662" s="133"/>
      <c r="N662" s="133" t="str">
        <f t="shared" si="600"/>
        <v/>
      </c>
      <c r="O662" s="133" t="str">
        <f t="shared" si="606"/>
        <v/>
      </c>
      <c r="P662" s="133" t="str">
        <f t="shared" si="601"/>
        <v/>
      </c>
      <c r="Q662" s="133" t="str">
        <f t="shared" si="590"/>
        <v/>
      </c>
      <c r="R662" s="104"/>
      <c r="S662" s="135"/>
      <c r="T662" s="135"/>
      <c r="U662" s="133" t="str">
        <f t="shared" si="602"/>
        <v/>
      </c>
      <c r="V662" s="136" t="str">
        <f>IF(U662=2023,1160000,IFERROR(INDEX(SMMLV!$B$2:$B$101,MATCH(U662,SMMLV!$A$2:$A$101,0)),""))</f>
        <v/>
      </c>
      <c r="W662" s="136"/>
      <c r="X662" s="133"/>
      <c r="Y662" s="133"/>
      <c r="Z662" s="487"/>
      <c r="AA662" s="488"/>
      <c r="AB662" s="489"/>
      <c r="AC662" s="133" t="str">
        <f t="shared" si="603"/>
        <v/>
      </c>
      <c r="AD662" s="136" t="str">
        <f t="shared" si="591"/>
        <v/>
      </c>
      <c r="AE662" s="117" t="str">
        <f t="shared" si="599"/>
        <v/>
      </c>
      <c r="AF662" s="136" t="str">
        <f t="shared" si="592"/>
        <v/>
      </c>
      <c r="AG662" s="471"/>
      <c r="AH662" s="471"/>
      <c r="AI662" s="133" t="str">
        <f t="shared" si="593"/>
        <v/>
      </c>
      <c r="AJ662" s="471"/>
      <c r="AK662" s="471"/>
      <c r="AL662" s="473"/>
      <c r="AM662" s="497"/>
      <c r="AN662" s="133"/>
      <c r="AO662" s="491"/>
      <c r="AP662" s="133"/>
      <c r="AQ662" s="491"/>
      <c r="AR662" s="523"/>
      <c r="AS662" s="523"/>
      <c r="AT662" s="139"/>
      <c r="AU662" s="703"/>
      <c r="AV662" s="703"/>
      <c r="AW662" s="709"/>
      <c r="AX662" s="709"/>
      <c r="AY662" s="19"/>
      <c r="CB662" s="29" t="str">
        <f>IFERROR(IF(COUNTIF(AF653:AF662,"")=10,"",IF(COUNTIF(E653:E662,"N/A")&gt;0,IF(AF662&gt;=CMEMM1,AF662,0),"N/A")),"")</f>
        <v/>
      </c>
      <c r="CC662" s="4"/>
      <c r="CD662" s="4" t="str">
        <f>IFERROR(IF(COUNTIF(AF653:AF662,"")=10,"",IF(AF662="","",IF(AF662&gt;=CMEMM1,1,0))),"")</f>
        <v/>
      </c>
      <c r="CE662" s="4" t="str">
        <f>B653&amp;"-"&amp;10</f>
        <v>P66-10</v>
      </c>
      <c r="CF662" s="4" t="str">
        <f>IFERROR(INDEX('DESEMPATE Y DISCAPACIDAD'!$D$3:$D$450,MATCH(CE662,'DESEMPATE Y DISCAPACIDAD'!$C$3:$C$450,0)),"")</f>
        <v/>
      </c>
      <c r="CG662" s="4" t="str">
        <f>IF(OR(CE662="",CF662=""),"",SUMIF(D653:D662,CF662,CD653:CD662))</f>
        <v/>
      </c>
      <c r="CH662" s="4" t="str">
        <f t="shared" si="594"/>
        <v/>
      </c>
      <c r="CI662" s="4" t="str">
        <f t="shared" si="604"/>
        <v/>
      </c>
      <c r="CJ662" s="4"/>
      <c r="CK662" s="4"/>
      <c r="CL662" s="4" t="str">
        <f t="shared" si="595"/>
        <v/>
      </c>
      <c r="CM662" s="4" t="str">
        <f t="shared" si="596"/>
        <v/>
      </c>
      <c r="CN662" s="4" t="str">
        <f t="shared" si="605"/>
        <v/>
      </c>
      <c r="CO662" s="4"/>
      <c r="CP662" s="4"/>
      <c r="CQ662" s="29" t="str">
        <f t="shared" si="597"/>
        <v/>
      </c>
      <c r="CR662" s="29" t="str">
        <f t="shared" si="598"/>
        <v/>
      </c>
      <c r="CS662" s="4"/>
    </row>
    <row r="663" spans="1:97" ht="34.25" hidden="1" customHeight="1">
      <c r="A663" s="4" t="str">
        <f>"A"&amp;B663</f>
        <v>AP67</v>
      </c>
      <c r="B663" s="480" t="s">
        <v>597</v>
      </c>
      <c r="C663" s="108"/>
      <c r="D663" s="119" t="str">
        <f>+IFERROR(INDEX('DESEMPATE Y DISCAPACIDAD'!$D$3:$D$450,MATCH(C663,'DESEMPATE Y DISCAPACIDAD'!$C$3:$C$450,0)),"")</f>
        <v/>
      </c>
      <c r="E663" s="120" t="str">
        <f>IFERROR(IF(D663="","",IF(VLOOKUP(D663,'DESEMPATE Y DISCAPACIDAD'!D$3:$E$450,2,FALSE)=1,"N/A",IF(VLOOKUP(D663,'DESEMPATE Y DISCAPACIDAD'!D$3:$F$450,3,FALSE)="X","SI","NO"))),"")</f>
        <v/>
      </c>
      <c r="F663" s="125"/>
      <c r="G663" s="125"/>
      <c r="H663" s="121"/>
      <c r="I663" s="122"/>
      <c r="J663" s="121"/>
      <c r="K663" s="121"/>
      <c r="L663" s="179"/>
      <c r="M663" s="121"/>
      <c r="N663" s="121" t="str">
        <f>IFERROR(IF(OR(J663="",K663=""),"",IF(J663="NO","NO",K663)),"")</f>
        <v/>
      </c>
      <c r="O663" s="121" t="str">
        <f>IFERROR(IF(OR(J663="",L663=""),"",IF(J663="NO","NO",L663)),"")</f>
        <v/>
      </c>
      <c r="P663" s="121" t="str">
        <f>IFERROR(IF(OR(J663="",M663=""),"",IF(J663="NO","NO",M663)),"")</f>
        <v/>
      </c>
      <c r="Q663" s="121" t="str">
        <f t="shared" si="590"/>
        <v/>
      </c>
      <c r="R663" s="103"/>
      <c r="S663" s="123"/>
      <c r="T663" s="123"/>
      <c r="U663" s="121" t="str">
        <f>IFERROR(IF(T663="","",YEAR(T663)),"")</f>
        <v/>
      </c>
      <c r="V663" s="124" t="str">
        <f>IF(U663=2023,1160000,IFERROR(INDEX(SMMLV!$B$2:$B$101,MATCH(U663,SMMLV!$A$2:$A$101,0)),""))</f>
        <v/>
      </c>
      <c r="W663" s="124"/>
      <c r="X663" s="121"/>
      <c r="Y663" s="121"/>
      <c r="Z663" s="483"/>
      <c r="AA663" s="484"/>
      <c r="AB663" s="485"/>
      <c r="AC663" s="121" t="str">
        <f>IFERROR(IF(Y663="","",IF(ISNUMBER(Y663),IF(COUNTIF(Z663,"SI")&gt;0,"SI","NO"),Y663)),"")</f>
        <v/>
      </c>
      <c r="AD663" s="124" t="str">
        <f t="shared" si="591"/>
        <v/>
      </c>
      <c r="AE663" s="117" t="str">
        <f t="shared" si="599"/>
        <v/>
      </c>
      <c r="AF663" s="124" t="str">
        <f t="shared" si="592"/>
        <v/>
      </c>
      <c r="AG663" s="486" t="str">
        <f>IFERROR(IF(COUNTIF(AF663:AF672,"")=10,"",IF(COUNTIF(E663:E672,"N/A")&gt;0,IF(SUM(CB663:CB672)&gt;=CMEM1,"CUMPLE","NO CUMPLE"),IF(SUM(AF663:AF672)&gt;=CMEM1,"CUMPLE","NO CUMPLE"))),"")</f>
        <v/>
      </c>
      <c r="AH663" s="486" t="str">
        <f>IF(COUNTIF(AF663:AF672,"")=10,"",IF(SUMIF(C663:C672,C663,AF663:AF672)&gt;=CMLM1,"CUMPLE",IF(SUMIF(C663:C672,C664,AF663:AF672)&gt;=CMLM1,"CUMPLE",IF(SUMIF(C663:C672,C665,AF663:AF672)&gt;=CMLM1,"CUMPLE",IF(SUMIF(C663:C672,C666,AF663:AF672)&gt;=CMLM1,"CUMPLE",IF(SUMIF(C663:C672,C667,AF663:AF672)&gt;=CMLM1,"CUMPLE",IF(SUMIF(C663:C672,C668,AF663:AF672)&gt;=CMLM1,"CUMPLE",IF(SUMIF(C663:C672,C669,AF663:AF672)&gt;=CMLM1,"CUMPLE",IF(SUMIF(C663:C672,C670,AF663:AF672)&gt;=CMLM1,"CUMPLE",IF(SUMIF(C663:C672,C671,AF663:AF672)&gt;=CMLM1,"CUMPLE",IF(SUMIF(C663:C672,C672,AF663:AF672)&gt;=CMLM1,"CUMPLE","NO CUMPLE")))))))))))</f>
        <v/>
      </c>
      <c r="AI663" s="121" t="str">
        <f t="shared" si="593"/>
        <v/>
      </c>
      <c r="AJ663" s="469" t="str">
        <f>IFERROR(IF(COUNTIF(AF663:AF672,"")=10,"",IF(COUNTIF(E663:E672,"N/A")&gt;0,"N/A",CJ663)),"")</f>
        <v/>
      </c>
      <c r="AK663" s="469" t="str">
        <f>IFERROR(IF(AND(COUNTIF(N663:N672,"SI")&gt;=1,COUNTIF(O663:O672,"SI")&gt;=1,COUNTIF(P663:P672,"SI")&gt;=1,COUNTIF(J663:J672,"SI")&lt;=10,CO663="CUMPLE"),"CUMPLE","NO CUMPLE"),"")</f>
        <v>NO CUMPLE</v>
      </c>
      <c r="AL663" s="472"/>
      <c r="AM663" s="495">
        <f>IFERROR(IF(B663&lt;&gt;"",IF(VLOOKUP(B663,'DESEMPATE Y DISCAPACIDAD'!$A$3:$Q$450,10,FALSE)="","",VLOOKUP(B663,'DESEMPATE Y DISCAPACIDAD'!$A$3:$Q$450,10,FALSE)+6),""),"")</f>
        <v>6</v>
      </c>
      <c r="AN663" s="121"/>
      <c r="AO663" s="490"/>
      <c r="AP663" s="121"/>
      <c r="AQ663" s="490" t="str">
        <f>IFERROR(IF(COUNTIF(AP663:AP672,"")=10,"",IF(AO663="NO",0,COUNTIF(AP663:AP672,"SI"))),"")</f>
        <v/>
      </c>
      <c r="AR663" s="521" t="str">
        <f>IFERROR(IF(COUNTIF(AF663:AF672,"")=10,"",IF(AO663="NO",0,IF(COUNTIF(E663:E672,"N/A")&gt;0,SUM(CQ663:CQ672),SUM(CR663:CR672)))),"")</f>
        <v/>
      </c>
      <c r="AS663" s="521" t="str">
        <f>IFERROR(IF(OR(COUNTIF(AF663:AF672,"")=10,AQ663="",AR663=""),"",IF(AO663="NO",0,AR663/AQ663)),"")</f>
        <v/>
      </c>
      <c r="AT663" s="137"/>
      <c r="AU663" s="701"/>
      <c r="AV663" s="701"/>
      <c r="AW663" s="707"/>
      <c r="AX663" s="707"/>
      <c r="AY663" s="19"/>
      <c r="CB663" s="29" t="str">
        <f>IFERROR(IF(COUNTIF(AF663:AF672,"")=10,"",IF(COUNTIF(E663:E672,"N/A")&gt;0,IF(AF663&gt;=CMEMM1,AF663,0),"N/A")),"")</f>
        <v/>
      </c>
      <c r="CC663" s="4"/>
      <c r="CD663" s="4" t="str">
        <f>IFERROR(IF(COUNTIF(AF663:AF672,"")=10,"",IF(AF663="","",IF(AF663&gt;=CMEMM1,1,0))),"")</f>
        <v/>
      </c>
      <c r="CE663" s="4" t="str">
        <f>B663&amp;"-0"&amp;1</f>
        <v>P67-01</v>
      </c>
      <c r="CF663" s="4">
        <f>IFERROR(INDEX('DESEMPATE Y DISCAPACIDAD'!$D$3:$D$450,MATCH(CE663,'DESEMPATE Y DISCAPACIDAD'!$C$3:$C$450,0)),"")</f>
        <v>0</v>
      </c>
      <c r="CG663" s="4">
        <f>IF(OR(CE663="",CF663=""),"",SUMIF(D663:D672,CF663,CD663:CD672))</f>
        <v>0</v>
      </c>
      <c r="CH663" s="4" t="str">
        <f t="shared" si="594"/>
        <v>NO CUMPLE</v>
      </c>
      <c r="CI663" s="4">
        <f>IF(CF663="","",IF(ISTEXT(CF663),1,0))</f>
        <v>0</v>
      </c>
      <c r="CJ663" s="4" t="str">
        <f>IF(OR(CE663="",CF663="",CG663="",CH663="",CI663=""),"",IF(COUNTIF(CH663:CH672,"CUMPLE")=COUNTIF(CI663:CI672,1),"CUMPLE","NO CUMPLE"))</f>
        <v>CUMPLE</v>
      </c>
      <c r="CK663" s="4"/>
      <c r="CL663" s="4" t="str">
        <f t="shared" si="595"/>
        <v/>
      </c>
      <c r="CM663" s="4" t="str">
        <f t="shared" si="596"/>
        <v/>
      </c>
      <c r="CN663" s="4" t="str">
        <f>IF(OR(CL663="",CM663=""),"",IF(AND(CL663=0,CM663=0),"N/A",IF(AND(CL663=1,CM663=0),"COND. A",IF(AND(CL663=0,CM663=1),"COND. B",IF(AND(CL663=1,CM663=1),"COND. A Y B","")))))</f>
        <v/>
      </c>
      <c r="CO663" s="4" t="str">
        <f>IF(COUNTIF(CN663:CN672,"N/A")=10,"NO CUMPLE",IF(COUNTIF(CN663:CN672,"COND. A Y B")&gt;1,"CUMPLE",IF(AND(COUNTIF(CN663:CN672,"COND. A")&gt;0,COUNTIF(CN663:CN672,"COND. B")&gt;0),"CUMPLE",IF(AND(COUNTIF(CN663:CN672,"COND. A Y B")&gt;0,COUNTIF(CN663:CN672,"COND. A")&gt;0),"CUMPLE",IF(AND(COUNTIF(CN663:CN672,"COND. A Y B")&gt;0,COUNTIF(CN663:CN672,"COND. B")&gt;0),"CUMPLE","NO CUMPLE")))))</f>
        <v>NO CUMPLE</v>
      </c>
      <c r="CP663" s="4"/>
      <c r="CQ663" s="29" t="str">
        <f t="shared" si="597"/>
        <v/>
      </c>
      <c r="CR663" s="29" t="str">
        <f t="shared" si="598"/>
        <v/>
      </c>
      <c r="CS663" s="4"/>
    </row>
    <row r="664" spans="1:97" ht="34.25" hidden="1" customHeight="1">
      <c r="B664" s="481"/>
      <c r="C664" s="118"/>
      <c r="D664" s="119" t="str">
        <f>+IFERROR(INDEX('DESEMPATE Y DISCAPACIDAD'!$D$3:$D$450,MATCH(C664,'DESEMPATE Y DISCAPACIDAD'!$C$3:$C$450,0)),"")</f>
        <v/>
      </c>
      <c r="E664" s="120" t="str">
        <f>IFERROR(IF(D664="","",IF(VLOOKUP(D664,'DESEMPATE Y DISCAPACIDAD'!D$3:$E$450,2,FALSE)=1,"N/A",IF(VLOOKUP(D664,'DESEMPATE Y DISCAPACIDAD'!D$3:$F$450,3,FALSE)="X","SI","NO"))),"")</f>
        <v/>
      </c>
      <c r="F664" s="125"/>
      <c r="G664" s="125"/>
      <c r="H664" s="121"/>
      <c r="I664" s="122"/>
      <c r="J664" s="121"/>
      <c r="K664" s="121"/>
      <c r="L664" s="179"/>
      <c r="M664" s="121"/>
      <c r="N664" s="121" t="str">
        <f t="shared" ref="N664:N672" si="607">IFERROR(IF(OR(J664="",K664=""),"",IF(J664="NO","NO",K664)),"")</f>
        <v/>
      </c>
      <c r="O664" s="121" t="str">
        <f>IFERROR(IF(OR(J664="",L664=""),"",IF(J664="NO","NO",L664)),"")</f>
        <v/>
      </c>
      <c r="P664" s="121" t="str">
        <f t="shared" ref="P664:P672" si="608">IFERROR(IF(OR(J664="",M664=""),"",IF(J664="NO","NO",M664)),"")</f>
        <v/>
      </c>
      <c r="Q664" s="121" t="str">
        <f t="shared" si="590"/>
        <v/>
      </c>
      <c r="R664" s="103"/>
      <c r="S664" s="123"/>
      <c r="T664" s="123"/>
      <c r="U664" s="121" t="str">
        <f t="shared" ref="U664:U672" si="609">IFERROR(IF(T664="","",YEAR(T664)),"")</f>
        <v/>
      </c>
      <c r="V664" s="124" t="str">
        <f>IF(U664=2023,1160000,IFERROR(INDEX(SMMLV!$B$2:$B$101,MATCH(U664,SMMLV!$A$2:$A$101,0)),""))</f>
        <v/>
      </c>
      <c r="W664" s="124"/>
      <c r="X664" s="125"/>
      <c r="Y664" s="125"/>
      <c r="Z664" s="474"/>
      <c r="AA664" s="475"/>
      <c r="AB664" s="476"/>
      <c r="AC664" s="125" t="str">
        <f t="shared" ref="AC664:AC672" si="610">IFERROR(IF(Y664="","",IF(ISNUMBER(Y664),IF(COUNTIF(Z664,"SI")&gt;0,"SI","NO"),Y664)),"")</f>
        <v/>
      </c>
      <c r="AD664" s="117" t="str">
        <f t="shared" si="591"/>
        <v/>
      </c>
      <c r="AE664" s="117" t="str">
        <f t="shared" si="599"/>
        <v/>
      </c>
      <c r="AF664" s="117" t="str">
        <f t="shared" si="592"/>
        <v/>
      </c>
      <c r="AG664" s="470"/>
      <c r="AH664" s="470"/>
      <c r="AI664" s="125" t="str">
        <f t="shared" si="593"/>
        <v/>
      </c>
      <c r="AJ664" s="470"/>
      <c r="AK664" s="470"/>
      <c r="AL664" s="472"/>
      <c r="AM664" s="496"/>
      <c r="AN664" s="125"/>
      <c r="AO664" s="490"/>
      <c r="AP664" s="125"/>
      <c r="AQ664" s="490"/>
      <c r="AR664" s="522"/>
      <c r="AS664" s="522"/>
      <c r="AT664" s="138"/>
      <c r="AU664" s="702"/>
      <c r="AV664" s="702"/>
      <c r="AW664" s="708"/>
      <c r="AX664" s="708"/>
      <c r="AY664" s="19"/>
      <c r="CB664" s="29" t="str">
        <f>IFERROR(IF(COUNTIF(AF663:AF672,"")=10,"",IF(COUNTIF(E663:E672,"N/A")&gt;0,IF(AF664&gt;=CMEMM1,AF664,0),"N/A")),"")</f>
        <v/>
      </c>
      <c r="CC664" s="4"/>
      <c r="CD664" s="4" t="str">
        <f>IFERROR(IF(COUNTIF(AF663:AF672,"")=10,"",IF(AF664="","",IF(AF664&gt;=CMEMM1,1,0))),"")</f>
        <v/>
      </c>
      <c r="CE664" s="4" t="str">
        <f>B663&amp;"-0"&amp;2</f>
        <v>P67-02</v>
      </c>
      <c r="CF664" s="4">
        <f>IFERROR(INDEX('DESEMPATE Y DISCAPACIDAD'!$D$3:$D$450,MATCH(CE664,'DESEMPATE Y DISCAPACIDAD'!$C$3:$C$450,0)),"")</f>
        <v>0</v>
      </c>
      <c r="CG664" s="4">
        <f>IF(OR(CE664="",CF664=""),"",SUMIF(D663:D672,CF664,CD663:CD672))</f>
        <v>0</v>
      </c>
      <c r="CH664" s="4" t="str">
        <f t="shared" si="594"/>
        <v>NO CUMPLE</v>
      </c>
      <c r="CI664" s="4">
        <f t="shared" ref="CI664:CI672" si="611">IF(CF664="","",IF(ISTEXT(CF664),1,0))</f>
        <v>0</v>
      </c>
      <c r="CJ664" s="4"/>
      <c r="CK664" s="4"/>
      <c r="CL664" s="4" t="str">
        <f t="shared" si="595"/>
        <v/>
      </c>
      <c r="CM664" s="4" t="str">
        <f t="shared" si="596"/>
        <v/>
      </c>
      <c r="CN664" s="4" t="str">
        <f t="shared" ref="CN664:CN672" si="612">IF(OR(CL664="",CM664=""),"",IF(AND(CL664=0,CM664=0),"N/A",IF(AND(CL664=1,CM664=0),"COND. A",IF(AND(CL664=0,CM664=1),"COND. B",IF(AND(CL664=1,CM664=1),"COND. A Y B","")))))</f>
        <v/>
      </c>
      <c r="CO664" s="4"/>
      <c r="CP664" s="4"/>
      <c r="CQ664" s="29" t="str">
        <f t="shared" si="597"/>
        <v/>
      </c>
      <c r="CR664" s="29" t="str">
        <f t="shared" si="598"/>
        <v/>
      </c>
      <c r="CS664" s="4"/>
    </row>
    <row r="665" spans="1:97" ht="34.25" hidden="1" customHeight="1">
      <c r="B665" s="481"/>
      <c r="C665" s="118"/>
      <c r="D665" s="126" t="str">
        <f>+IFERROR(INDEX('DESEMPATE Y DISCAPACIDAD'!$D$3:$D$450,MATCH(C665,'DESEMPATE Y DISCAPACIDAD'!$C$3:$C$450,0)),"")</f>
        <v/>
      </c>
      <c r="E665" s="127" t="str">
        <f>IFERROR(IF(D665="","",IF(VLOOKUP(D665,'DESEMPATE Y DISCAPACIDAD'!D$3:$E$450,2,FALSE)=1,"N/A",IF(VLOOKUP(D665,'DESEMPATE Y DISCAPACIDAD'!D$3:$F$450,3,FALSE)="X","SI","NO"))),"")</f>
        <v/>
      </c>
      <c r="F665" s="121"/>
      <c r="G665" s="121"/>
      <c r="H665" s="125"/>
      <c r="I665" s="128"/>
      <c r="J665" s="125"/>
      <c r="K665" s="125"/>
      <c r="L665" s="3"/>
      <c r="M665" s="3"/>
      <c r="N665" s="125" t="str">
        <f t="shared" si="607"/>
        <v/>
      </c>
      <c r="O665" s="125" t="str">
        <f>IFERROR(IF(OR(J665="",L665=""),"",IF(J665="NO","NO",L665)),"")</f>
        <v/>
      </c>
      <c r="P665" s="125" t="str">
        <f t="shared" si="608"/>
        <v/>
      </c>
      <c r="Q665" s="125" t="str">
        <f t="shared" si="590"/>
        <v/>
      </c>
      <c r="R665" s="68"/>
      <c r="S665" s="129"/>
      <c r="T665" s="129"/>
      <c r="U665" s="125" t="str">
        <f t="shared" si="609"/>
        <v/>
      </c>
      <c r="V665" s="117" t="str">
        <f>IF(U665=2023,1160000,IFERROR(INDEX(SMMLV!$B$2:$B$101,MATCH(U665,SMMLV!$A$2:$A$101,0)),""))</f>
        <v/>
      </c>
      <c r="W665" s="117"/>
      <c r="X665" s="125"/>
      <c r="Y665" s="125"/>
      <c r="Z665" s="474"/>
      <c r="AA665" s="475"/>
      <c r="AB665" s="476"/>
      <c r="AC665" s="125" t="str">
        <f t="shared" si="610"/>
        <v/>
      </c>
      <c r="AD665" s="117" t="str">
        <f t="shared" si="591"/>
        <v/>
      </c>
      <c r="AE665" s="117" t="str">
        <f t="shared" si="599"/>
        <v/>
      </c>
      <c r="AF665" s="117" t="str">
        <f t="shared" si="592"/>
        <v/>
      </c>
      <c r="AG665" s="470"/>
      <c r="AH665" s="470"/>
      <c r="AI665" s="125" t="str">
        <f t="shared" si="593"/>
        <v/>
      </c>
      <c r="AJ665" s="470"/>
      <c r="AK665" s="470"/>
      <c r="AL665" s="472"/>
      <c r="AM665" s="496"/>
      <c r="AN665" s="125"/>
      <c r="AO665" s="490"/>
      <c r="AP665" s="125"/>
      <c r="AQ665" s="490"/>
      <c r="AR665" s="522"/>
      <c r="AS665" s="522"/>
      <c r="AT665" s="138"/>
      <c r="AU665" s="702"/>
      <c r="AV665" s="702"/>
      <c r="AW665" s="708"/>
      <c r="AX665" s="708"/>
      <c r="AY665" s="19"/>
      <c r="CB665" s="29" t="str">
        <f>IFERROR(IF(COUNTIF(AF663:AF672,"")=10,"",IF(COUNTIF(E663:E672,"N/A")&gt;0,IF(AF665&gt;=CMEMM1,AF665,0),"N/A")),"")</f>
        <v/>
      </c>
      <c r="CC665" s="4"/>
      <c r="CD665" s="4" t="str">
        <f>IFERROR(IF(COUNTIF(AF663:AF672,"")=10,"",IF(AF665="","",IF(AF665&gt;=CMEMM1,1,0))),"")</f>
        <v/>
      </c>
      <c r="CE665" s="4" t="str">
        <f>B663&amp;"-0"&amp;3</f>
        <v>P67-03</v>
      </c>
      <c r="CF665" s="4">
        <f>IFERROR(INDEX('DESEMPATE Y DISCAPACIDAD'!$D$3:$D$450,MATCH(CE665,'DESEMPATE Y DISCAPACIDAD'!$C$3:$C$450,0)),"")</f>
        <v>0</v>
      </c>
      <c r="CG665" s="4">
        <f>IF(OR(CE665="",CF665=""),"",SUMIF(D663:D672,CF665,CD663:CD672))</f>
        <v>0</v>
      </c>
      <c r="CH665" s="4" t="str">
        <f t="shared" si="594"/>
        <v>NO CUMPLE</v>
      </c>
      <c r="CI665" s="4">
        <f t="shared" si="611"/>
        <v>0</v>
      </c>
      <c r="CJ665" s="4"/>
      <c r="CK665" s="4"/>
      <c r="CL665" s="4" t="str">
        <f t="shared" si="595"/>
        <v/>
      </c>
      <c r="CM665" s="4" t="str">
        <f t="shared" si="596"/>
        <v/>
      </c>
      <c r="CN665" s="4" t="str">
        <f t="shared" si="612"/>
        <v/>
      </c>
      <c r="CO665" s="4"/>
      <c r="CP665" s="4"/>
      <c r="CQ665" s="29" t="str">
        <f t="shared" si="597"/>
        <v/>
      </c>
      <c r="CR665" s="29" t="str">
        <f t="shared" si="598"/>
        <v/>
      </c>
      <c r="CS665" s="4"/>
    </row>
    <row r="666" spans="1:97" ht="34.25" hidden="1" customHeight="1">
      <c r="B666" s="481"/>
      <c r="C666" s="118"/>
      <c r="D666" s="126" t="str">
        <f>+IFERROR(INDEX('DESEMPATE Y DISCAPACIDAD'!$D$3:$D$450,MATCH(C666,'DESEMPATE Y DISCAPACIDAD'!$C$3:$C$450,0)),"")</f>
        <v/>
      </c>
      <c r="E666" s="127" t="str">
        <f>IFERROR(IF(D666="","",IF(VLOOKUP(D666,'DESEMPATE Y DISCAPACIDAD'!D$3:$E$450,2,FALSE)=1,"N/A",IF(VLOOKUP(D666,'DESEMPATE Y DISCAPACIDAD'!D$3:$F$450,3,FALSE)="X","SI","NO"))),"")</f>
        <v/>
      </c>
      <c r="F666" s="141"/>
      <c r="G666" s="125"/>
      <c r="H666" s="125"/>
      <c r="I666" s="128"/>
      <c r="J666" s="125"/>
      <c r="K666" s="125"/>
      <c r="L666" s="3"/>
      <c r="M666" s="125"/>
      <c r="N666" s="125" t="str">
        <f t="shared" si="607"/>
        <v/>
      </c>
      <c r="O666" s="125" t="str">
        <f>IFERROR(IF(OR(J666="",L666=""),"",IF(J666="NO","NO",L666)),"")</f>
        <v/>
      </c>
      <c r="P666" s="125" t="str">
        <f t="shared" si="608"/>
        <v/>
      </c>
      <c r="Q666" s="125" t="str">
        <f t="shared" si="590"/>
        <v/>
      </c>
      <c r="R666" s="68"/>
      <c r="S666" s="129"/>
      <c r="T666" s="129"/>
      <c r="U666" s="125" t="str">
        <f t="shared" si="609"/>
        <v/>
      </c>
      <c r="V666" s="117" t="str">
        <f>IF(U666=2023,1160000,IFERROR(INDEX(SMMLV!$B$2:$B$101,MATCH(U666,SMMLV!$A$2:$A$101,0)),""))</f>
        <v/>
      </c>
      <c r="W666" s="117"/>
      <c r="X666" s="125"/>
      <c r="Y666" s="125"/>
      <c r="Z666" s="474"/>
      <c r="AA666" s="475"/>
      <c r="AB666" s="476"/>
      <c r="AC666" s="125" t="str">
        <f t="shared" si="610"/>
        <v/>
      </c>
      <c r="AD666" s="117" t="str">
        <f t="shared" si="591"/>
        <v/>
      </c>
      <c r="AE666" s="117" t="str">
        <f t="shared" si="599"/>
        <v/>
      </c>
      <c r="AF666" s="117" t="str">
        <f t="shared" si="592"/>
        <v/>
      </c>
      <c r="AG666" s="470"/>
      <c r="AH666" s="470"/>
      <c r="AI666" s="125" t="str">
        <f t="shared" si="593"/>
        <v/>
      </c>
      <c r="AJ666" s="470"/>
      <c r="AK666" s="470"/>
      <c r="AL666" s="472"/>
      <c r="AM666" s="496"/>
      <c r="AN666" s="125"/>
      <c r="AO666" s="490"/>
      <c r="AP666" s="125"/>
      <c r="AQ666" s="490"/>
      <c r="AR666" s="522"/>
      <c r="AS666" s="522"/>
      <c r="AT666" s="138"/>
      <c r="AU666" s="702"/>
      <c r="AV666" s="702"/>
      <c r="AW666" s="708"/>
      <c r="AX666" s="708"/>
      <c r="AY666" s="19"/>
      <c r="CB666" s="29" t="str">
        <f>IFERROR(IF(COUNTIF(AF663:AF672,"")=10,"",IF(COUNTIF(E663:E672,"N/A")&gt;0,IF(AF666&gt;=CMEMM1,AF666,0),"N/A")),"")</f>
        <v/>
      </c>
      <c r="CC666" s="4"/>
      <c r="CD666" s="4" t="str">
        <f>IFERROR(IF(COUNTIF(AF663:AF672,"")=10,"",IF(AF666="","",IF(AF666&gt;=CMEMM1,1,0))),"")</f>
        <v/>
      </c>
      <c r="CE666" s="4" t="str">
        <f>B663&amp;"-0"&amp;4</f>
        <v>P67-04</v>
      </c>
      <c r="CF666" s="4">
        <f>IFERROR(INDEX('DESEMPATE Y DISCAPACIDAD'!$D$3:$D$450,MATCH(CE666,'DESEMPATE Y DISCAPACIDAD'!$C$3:$C$450,0)),"")</f>
        <v>0</v>
      </c>
      <c r="CG666" s="4">
        <f>IF(OR(CE666="",CF666=""),"",SUMIF(D663:D672,CF666,CD663:CD672))</f>
        <v>0</v>
      </c>
      <c r="CH666" s="4" t="str">
        <f t="shared" si="594"/>
        <v>NO CUMPLE</v>
      </c>
      <c r="CI666" s="4">
        <f t="shared" si="611"/>
        <v>0</v>
      </c>
      <c r="CJ666" s="4"/>
      <c r="CK666" s="4"/>
      <c r="CL666" s="4" t="str">
        <f t="shared" si="595"/>
        <v/>
      </c>
      <c r="CM666" s="4" t="str">
        <f t="shared" si="596"/>
        <v/>
      </c>
      <c r="CN666" s="4" t="str">
        <f t="shared" si="612"/>
        <v/>
      </c>
      <c r="CO666" s="4"/>
      <c r="CP666" s="4"/>
      <c r="CQ666" s="29" t="str">
        <f t="shared" si="597"/>
        <v/>
      </c>
      <c r="CR666" s="29" t="str">
        <f t="shared" si="598"/>
        <v/>
      </c>
      <c r="CS666" s="4"/>
    </row>
    <row r="667" spans="1:97" ht="34.25" hidden="1" customHeight="1">
      <c r="B667" s="481"/>
      <c r="C667" s="118"/>
      <c r="D667" s="126" t="str">
        <f>+IFERROR(INDEX('DESEMPATE Y DISCAPACIDAD'!$D$3:$D$450,MATCH(C667,'DESEMPATE Y DISCAPACIDAD'!$C$3:$C$450,0)),"")</f>
        <v/>
      </c>
      <c r="E667" s="127" t="str">
        <f>IFERROR(IF(D667="","",IF(VLOOKUP(D667,'DESEMPATE Y DISCAPACIDAD'!D$3:$E$450,2,FALSE)=1,"N/A",IF(VLOOKUP(D667,'DESEMPATE Y DISCAPACIDAD'!D$3:$F$450,3,FALSE)="X","SI","NO"))),"")</f>
        <v/>
      </c>
      <c r="F667" s="125"/>
      <c r="G667" s="125"/>
      <c r="H667" s="125"/>
      <c r="I667" s="128"/>
      <c r="J667" s="125"/>
      <c r="K667" s="125"/>
      <c r="L667" s="125"/>
      <c r="M667" s="125"/>
      <c r="N667" s="125" t="str">
        <f t="shared" si="607"/>
        <v/>
      </c>
      <c r="O667" s="125" t="str">
        <f t="shared" ref="O667:O672" si="613">IFERROR(IF(OR(J667="",L667=""),"",IF(J667="NO","NO",L667)),"")</f>
        <v/>
      </c>
      <c r="P667" s="125" t="str">
        <f t="shared" si="608"/>
        <v/>
      </c>
      <c r="Q667" s="125" t="str">
        <f t="shared" si="590"/>
        <v/>
      </c>
      <c r="R667" s="68"/>
      <c r="S667" s="129"/>
      <c r="T667" s="129"/>
      <c r="U667" s="125" t="str">
        <f t="shared" si="609"/>
        <v/>
      </c>
      <c r="V667" s="117" t="str">
        <f>IF(U667=2023,1160000,IFERROR(INDEX(SMMLV!$B$2:$B$101,MATCH(U667,SMMLV!$A$2:$A$101,0)),""))</f>
        <v/>
      </c>
      <c r="W667" s="117"/>
      <c r="X667" s="125"/>
      <c r="Y667" s="125"/>
      <c r="Z667" s="474"/>
      <c r="AA667" s="475"/>
      <c r="AB667" s="476"/>
      <c r="AC667" s="125" t="str">
        <f t="shared" si="610"/>
        <v/>
      </c>
      <c r="AD667" s="117" t="str">
        <f t="shared" si="591"/>
        <v/>
      </c>
      <c r="AE667" s="117" t="str">
        <f t="shared" si="599"/>
        <v/>
      </c>
      <c r="AF667" s="117" t="str">
        <f t="shared" si="592"/>
        <v/>
      </c>
      <c r="AG667" s="470"/>
      <c r="AH667" s="470"/>
      <c r="AI667" s="125" t="str">
        <f t="shared" si="593"/>
        <v/>
      </c>
      <c r="AJ667" s="470"/>
      <c r="AK667" s="470"/>
      <c r="AL667" s="472"/>
      <c r="AM667" s="496"/>
      <c r="AN667" s="125"/>
      <c r="AO667" s="490"/>
      <c r="AP667" s="125"/>
      <c r="AQ667" s="490"/>
      <c r="AR667" s="522"/>
      <c r="AS667" s="522"/>
      <c r="AT667" s="138"/>
      <c r="AU667" s="702"/>
      <c r="AV667" s="702"/>
      <c r="AW667" s="708"/>
      <c r="AX667" s="708"/>
      <c r="AY667" s="19"/>
      <c r="CB667" s="29" t="str">
        <f>IFERROR(IF(COUNTIF(AF663:AF672,"")=10,"",IF(COUNTIF(E663:E672,"N/A")&gt;0,IF(AF667&gt;=CMEMM1,AF667,0),"N/A")),"")</f>
        <v/>
      </c>
      <c r="CC667" s="4"/>
      <c r="CD667" s="4" t="str">
        <f>IFERROR(IF(COUNTIF(AF663:AF672,"")=10,"",IF(AF667="","",IF(AF667&gt;=CMEMM1,1,0))),"")</f>
        <v/>
      </c>
      <c r="CE667" s="4" t="str">
        <f>B663&amp;"-0"&amp;5</f>
        <v>P67-05</v>
      </c>
      <c r="CF667" s="4">
        <f>IFERROR(INDEX('DESEMPATE Y DISCAPACIDAD'!$D$3:$D$450,MATCH(CE667,'DESEMPATE Y DISCAPACIDAD'!$C$3:$C$450,0)),"")</f>
        <v>0</v>
      </c>
      <c r="CG667" s="4">
        <f>IF(OR(CE667="",CF667=""),"",SUMIF(D663:D672,CF667,CD663:CD672))</f>
        <v>0</v>
      </c>
      <c r="CH667" s="4" t="str">
        <f t="shared" si="594"/>
        <v>NO CUMPLE</v>
      </c>
      <c r="CI667" s="4">
        <f t="shared" si="611"/>
        <v>0</v>
      </c>
      <c r="CJ667" s="4"/>
      <c r="CK667" s="4"/>
      <c r="CL667" s="4" t="str">
        <f t="shared" si="595"/>
        <v/>
      </c>
      <c r="CM667" s="4" t="str">
        <f t="shared" si="596"/>
        <v/>
      </c>
      <c r="CN667" s="4" t="str">
        <f t="shared" si="612"/>
        <v/>
      </c>
      <c r="CO667" s="4"/>
      <c r="CP667" s="4"/>
      <c r="CQ667" s="29" t="str">
        <f t="shared" si="597"/>
        <v/>
      </c>
      <c r="CR667" s="29" t="str">
        <f t="shared" si="598"/>
        <v/>
      </c>
      <c r="CS667" s="4"/>
    </row>
    <row r="668" spans="1:97" ht="34.25" hidden="1" customHeight="1">
      <c r="B668" s="481"/>
      <c r="C668" s="118"/>
      <c r="D668" s="126" t="str">
        <f>+IFERROR(INDEX('DESEMPATE Y DISCAPACIDAD'!$D$3:$D$450,MATCH(C668,'DESEMPATE Y DISCAPACIDAD'!$C$3:$C$450,0)),"")</f>
        <v/>
      </c>
      <c r="E668" s="127" t="str">
        <f>IFERROR(IF(D668="","",IF(VLOOKUP(D668,'DESEMPATE Y DISCAPACIDAD'!D$3:$E$450,2,FALSE)=1,"N/A",IF(VLOOKUP(D668,'DESEMPATE Y DISCAPACIDAD'!D$3:$F$450,3,FALSE)="X","SI","NO"))),"")</f>
        <v/>
      </c>
      <c r="F668" s="125"/>
      <c r="G668" s="125"/>
      <c r="H668" s="125"/>
      <c r="I668" s="128"/>
      <c r="J668" s="125"/>
      <c r="K668" s="125"/>
      <c r="L668" s="125"/>
      <c r="M668" s="125"/>
      <c r="N668" s="125" t="str">
        <f t="shared" si="607"/>
        <v/>
      </c>
      <c r="O668" s="125" t="str">
        <f t="shared" si="613"/>
        <v/>
      </c>
      <c r="P668" s="125" t="str">
        <f t="shared" si="608"/>
        <v/>
      </c>
      <c r="Q668" s="125" t="str">
        <f t="shared" si="590"/>
        <v/>
      </c>
      <c r="R668" s="68"/>
      <c r="S668" s="129"/>
      <c r="T668" s="129"/>
      <c r="U668" s="125" t="str">
        <f t="shared" si="609"/>
        <v/>
      </c>
      <c r="V668" s="117" t="str">
        <f>IF(U668=2023,1160000,IFERROR(INDEX(SMMLV!$B$2:$B$101,MATCH(U668,SMMLV!$A$2:$A$101,0)),""))</f>
        <v/>
      </c>
      <c r="W668" s="117"/>
      <c r="X668" s="125"/>
      <c r="Y668" s="125"/>
      <c r="Z668" s="474"/>
      <c r="AA668" s="475"/>
      <c r="AB668" s="476"/>
      <c r="AC668" s="125" t="str">
        <f t="shared" si="610"/>
        <v/>
      </c>
      <c r="AD668" s="117" t="str">
        <f t="shared" si="591"/>
        <v/>
      </c>
      <c r="AE668" s="117" t="str">
        <f t="shared" si="599"/>
        <v/>
      </c>
      <c r="AF668" s="117" t="str">
        <f t="shared" si="592"/>
        <v/>
      </c>
      <c r="AG668" s="470"/>
      <c r="AH668" s="470"/>
      <c r="AI668" s="125" t="str">
        <f t="shared" si="593"/>
        <v/>
      </c>
      <c r="AJ668" s="470"/>
      <c r="AK668" s="470"/>
      <c r="AL668" s="472"/>
      <c r="AM668" s="496"/>
      <c r="AN668" s="125"/>
      <c r="AO668" s="490"/>
      <c r="AP668" s="125"/>
      <c r="AQ668" s="490"/>
      <c r="AR668" s="522"/>
      <c r="AS668" s="522"/>
      <c r="AT668" s="138"/>
      <c r="AU668" s="702"/>
      <c r="AV668" s="702"/>
      <c r="AW668" s="708"/>
      <c r="AX668" s="708"/>
      <c r="AY668" s="19"/>
      <c r="CB668" s="29" t="str">
        <f>IFERROR(IF(COUNTIF(AF663:AF672,"")=10,"",IF(COUNTIF(E663:E672,"N/A")&gt;0,IF(AF668&gt;=CMEMM1,AF668,0),"N/A")),"")</f>
        <v/>
      </c>
      <c r="CC668" s="4"/>
      <c r="CD668" s="4" t="str">
        <f>IFERROR(IF(COUNTIF(AF663:AF672,"")=10,"",IF(AF668="","",IF(AF668&gt;=CMEMM1,1,0))),"")</f>
        <v/>
      </c>
      <c r="CE668" s="4" t="str">
        <f>B663&amp;"-0"&amp;6</f>
        <v>P67-06</v>
      </c>
      <c r="CF668" s="4">
        <f>IFERROR(INDEX('DESEMPATE Y DISCAPACIDAD'!$D$3:$D$450,MATCH(CE668,'DESEMPATE Y DISCAPACIDAD'!$C$3:$C$450,0)),"")</f>
        <v>0</v>
      </c>
      <c r="CG668" s="4">
        <f>IF(OR(CE668="",CF668=""),"",SUMIF(D663:D672,CF668,CD663:CD672))</f>
        <v>0</v>
      </c>
      <c r="CH668" s="4" t="str">
        <f t="shared" si="594"/>
        <v>NO CUMPLE</v>
      </c>
      <c r="CI668" s="4">
        <f t="shared" si="611"/>
        <v>0</v>
      </c>
      <c r="CJ668" s="4"/>
      <c r="CK668" s="4"/>
      <c r="CL668" s="4" t="str">
        <f t="shared" si="595"/>
        <v/>
      </c>
      <c r="CM668" s="4" t="str">
        <f t="shared" si="596"/>
        <v/>
      </c>
      <c r="CN668" s="4" t="str">
        <f t="shared" si="612"/>
        <v/>
      </c>
      <c r="CO668" s="4"/>
      <c r="CP668" s="4"/>
      <c r="CQ668" s="29" t="str">
        <f t="shared" si="597"/>
        <v/>
      </c>
      <c r="CR668" s="29" t="str">
        <f t="shared" si="598"/>
        <v/>
      </c>
      <c r="CS668" s="4"/>
    </row>
    <row r="669" spans="1:97" ht="34.25" hidden="1" customHeight="1">
      <c r="B669" s="481"/>
      <c r="C669" s="118"/>
      <c r="D669" s="126" t="str">
        <f>+IFERROR(INDEX('DESEMPATE Y DISCAPACIDAD'!$D$3:$D$450,MATCH(C669,'DESEMPATE Y DISCAPACIDAD'!$C$3:$C$450,0)),"")</f>
        <v/>
      </c>
      <c r="E669" s="127" t="str">
        <f>IFERROR(IF(D669="","",IF(VLOOKUP(D669,'DESEMPATE Y DISCAPACIDAD'!D$3:$E$450,2,FALSE)=1,"N/A",IF(VLOOKUP(D669,'DESEMPATE Y DISCAPACIDAD'!D$3:$F$450,3,FALSE)="X","SI","NO"))),"")</f>
        <v/>
      </c>
      <c r="F669" s="125"/>
      <c r="G669" s="125"/>
      <c r="H669" s="125"/>
      <c r="I669" s="128"/>
      <c r="J669" s="125"/>
      <c r="K669" s="125"/>
      <c r="L669" s="125"/>
      <c r="M669" s="125"/>
      <c r="N669" s="125" t="str">
        <f t="shared" si="607"/>
        <v/>
      </c>
      <c r="O669" s="125" t="str">
        <f t="shared" si="613"/>
        <v/>
      </c>
      <c r="P669" s="125" t="str">
        <f t="shared" si="608"/>
        <v/>
      </c>
      <c r="Q669" s="125" t="str">
        <f t="shared" si="590"/>
        <v/>
      </c>
      <c r="R669" s="68"/>
      <c r="S669" s="129"/>
      <c r="T669" s="129"/>
      <c r="U669" s="125" t="str">
        <f t="shared" si="609"/>
        <v/>
      </c>
      <c r="V669" s="117" t="str">
        <f>IF(U669=2023,1160000,IFERROR(INDEX(SMMLV!$B$2:$B$101,MATCH(U669,SMMLV!$A$2:$A$101,0)),""))</f>
        <v/>
      </c>
      <c r="W669" s="117"/>
      <c r="X669" s="125"/>
      <c r="Y669" s="125"/>
      <c r="Z669" s="474"/>
      <c r="AA669" s="475"/>
      <c r="AB669" s="476"/>
      <c r="AC669" s="125" t="str">
        <f t="shared" si="610"/>
        <v/>
      </c>
      <c r="AD669" s="117" t="str">
        <f t="shared" si="591"/>
        <v/>
      </c>
      <c r="AE669" s="117" t="str">
        <f t="shared" si="599"/>
        <v/>
      </c>
      <c r="AF669" s="117" t="str">
        <f t="shared" si="592"/>
        <v/>
      </c>
      <c r="AG669" s="470"/>
      <c r="AH669" s="470"/>
      <c r="AI669" s="125" t="str">
        <f t="shared" si="593"/>
        <v/>
      </c>
      <c r="AJ669" s="470"/>
      <c r="AK669" s="470"/>
      <c r="AL669" s="472"/>
      <c r="AM669" s="496"/>
      <c r="AN669" s="125"/>
      <c r="AO669" s="490"/>
      <c r="AP669" s="125"/>
      <c r="AQ669" s="490"/>
      <c r="AR669" s="522"/>
      <c r="AS669" s="522"/>
      <c r="AT669" s="138"/>
      <c r="AU669" s="702"/>
      <c r="AV669" s="702"/>
      <c r="AW669" s="708"/>
      <c r="AX669" s="708"/>
      <c r="AY669" s="19"/>
      <c r="CB669" s="29" t="str">
        <f>IFERROR(IF(COUNTIF(AF663:AF672,"")=10,"",IF(COUNTIF(E663:E672,"N/A")&gt;0,IF(AF669&gt;=CMEMM1,AF669,0),"N/A")),"")</f>
        <v/>
      </c>
      <c r="CC669" s="4"/>
      <c r="CD669" s="4" t="str">
        <f>IFERROR(IF(COUNTIF(AF663:AF672,"")=10,"",IF(AF669="","",IF(AF669&gt;=CMEMM1,1,0))),"")</f>
        <v/>
      </c>
      <c r="CE669" s="4" t="str">
        <f>B663&amp;"-0"&amp;7</f>
        <v>P67-07</v>
      </c>
      <c r="CF669" s="4" t="str">
        <f>IFERROR(INDEX('DESEMPATE Y DISCAPACIDAD'!$D$3:$D$450,MATCH(CE669,'DESEMPATE Y DISCAPACIDAD'!$C$3:$C$450,0)),"")</f>
        <v/>
      </c>
      <c r="CG669" s="4" t="str">
        <f>IF(OR(CE669="",CF669=""),"",SUMIF(D663:D672,CF669,CD663:CD672))</f>
        <v/>
      </c>
      <c r="CH669" s="4" t="str">
        <f t="shared" si="594"/>
        <v/>
      </c>
      <c r="CI669" s="4" t="str">
        <f t="shared" si="611"/>
        <v/>
      </c>
      <c r="CJ669" s="4"/>
      <c r="CK669" s="4"/>
      <c r="CL669" s="4" t="str">
        <f t="shared" si="595"/>
        <v/>
      </c>
      <c r="CM669" s="4" t="str">
        <f t="shared" si="596"/>
        <v/>
      </c>
      <c r="CN669" s="4" t="str">
        <f t="shared" si="612"/>
        <v/>
      </c>
      <c r="CO669" s="4"/>
      <c r="CP669" s="4"/>
      <c r="CQ669" s="29" t="str">
        <f t="shared" si="597"/>
        <v/>
      </c>
      <c r="CR669" s="29" t="str">
        <f t="shared" si="598"/>
        <v/>
      </c>
      <c r="CS669" s="4"/>
    </row>
    <row r="670" spans="1:97" ht="34.25" hidden="1" customHeight="1">
      <c r="B670" s="481"/>
      <c r="C670" s="118"/>
      <c r="D670" s="126" t="str">
        <f>+IFERROR(INDEX('DESEMPATE Y DISCAPACIDAD'!$D$3:$D$450,MATCH(C670,'DESEMPATE Y DISCAPACIDAD'!$C$3:$C$450,0)),"")</f>
        <v/>
      </c>
      <c r="E670" s="127" t="str">
        <f>IFERROR(IF(D670="","",IF(VLOOKUP(D670,'DESEMPATE Y DISCAPACIDAD'!D$3:$E$450,2,FALSE)=1,"N/A",IF(VLOOKUP(D670,'DESEMPATE Y DISCAPACIDAD'!D$3:$F$450,3,FALSE)="X","SI","NO"))),"")</f>
        <v/>
      </c>
      <c r="F670" s="125"/>
      <c r="G670" s="125"/>
      <c r="H670" s="125"/>
      <c r="I670" s="128"/>
      <c r="J670" s="125"/>
      <c r="K670" s="125"/>
      <c r="L670" s="125"/>
      <c r="M670" s="125"/>
      <c r="N670" s="125" t="str">
        <f t="shared" si="607"/>
        <v/>
      </c>
      <c r="O670" s="125" t="str">
        <f t="shared" si="613"/>
        <v/>
      </c>
      <c r="P670" s="125" t="str">
        <f t="shared" si="608"/>
        <v/>
      </c>
      <c r="Q670" s="125" t="str">
        <f t="shared" si="590"/>
        <v/>
      </c>
      <c r="R670" s="68"/>
      <c r="S670" s="129"/>
      <c r="T670" s="129"/>
      <c r="U670" s="125" t="str">
        <f t="shared" si="609"/>
        <v/>
      </c>
      <c r="V670" s="117" t="str">
        <f>IF(U670=2023,1160000,IFERROR(INDEX(SMMLV!$B$2:$B$101,MATCH(U670,SMMLV!$A$2:$A$101,0)),""))</f>
        <v/>
      </c>
      <c r="W670" s="117"/>
      <c r="X670" s="125"/>
      <c r="Y670" s="125"/>
      <c r="Z670" s="474"/>
      <c r="AA670" s="475"/>
      <c r="AB670" s="476"/>
      <c r="AC670" s="125" t="str">
        <f t="shared" si="610"/>
        <v/>
      </c>
      <c r="AD670" s="117" t="str">
        <f t="shared" si="591"/>
        <v/>
      </c>
      <c r="AE670" s="117" t="str">
        <f t="shared" si="599"/>
        <v/>
      </c>
      <c r="AF670" s="117" t="str">
        <f t="shared" si="592"/>
        <v/>
      </c>
      <c r="AG670" s="470"/>
      <c r="AH670" s="470"/>
      <c r="AI670" s="125" t="str">
        <f t="shared" si="593"/>
        <v/>
      </c>
      <c r="AJ670" s="470"/>
      <c r="AK670" s="470"/>
      <c r="AL670" s="472"/>
      <c r="AM670" s="496"/>
      <c r="AN670" s="125"/>
      <c r="AO670" s="490"/>
      <c r="AP670" s="125"/>
      <c r="AQ670" s="490"/>
      <c r="AR670" s="522"/>
      <c r="AS670" s="522"/>
      <c r="AT670" s="138"/>
      <c r="AU670" s="702"/>
      <c r="AV670" s="702"/>
      <c r="AW670" s="708"/>
      <c r="AX670" s="708"/>
      <c r="AY670" s="19"/>
      <c r="CB670" s="29" t="str">
        <f>IFERROR(IF(COUNTIF(AF663:AF672,"")=10,"",IF(COUNTIF(E663:E672,"N/A")&gt;0,IF(AF670&gt;=CMEMM1,AF670,0),"N/A")),"")</f>
        <v/>
      </c>
      <c r="CC670" s="4"/>
      <c r="CD670" s="4" t="str">
        <f>IFERROR(IF(COUNTIF(AF663:AF672,"")=10,"",IF(AF670="","",IF(AF670&gt;=CMEMM1,1,0))),"")</f>
        <v/>
      </c>
      <c r="CE670" s="4" t="str">
        <f>B663&amp;"-0"&amp;8</f>
        <v>P67-08</v>
      </c>
      <c r="CF670" s="4" t="str">
        <f>IFERROR(INDEX('DESEMPATE Y DISCAPACIDAD'!$D$3:$D$450,MATCH(CE670,'DESEMPATE Y DISCAPACIDAD'!$C$3:$C$450,0)),"")</f>
        <v/>
      </c>
      <c r="CG670" s="4" t="str">
        <f>IF(OR(CE670="",CF670=""),"",SUMIF(D663:D672,CF670,CD663:CD672))</f>
        <v/>
      </c>
      <c r="CH670" s="4" t="str">
        <f t="shared" si="594"/>
        <v/>
      </c>
      <c r="CI670" s="4" t="str">
        <f t="shared" si="611"/>
        <v/>
      </c>
      <c r="CJ670" s="4"/>
      <c r="CK670" s="4"/>
      <c r="CL670" s="4" t="str">
        <f t="shared" si="595"/>
        <v/>
      </c>
      <c r="CM670" s="4" t="str">
        <f t="shared" si="596"/>
        <v/>
      </c>
      <c r="CN670" s="4" t="str">
        <f t="shared" si="612"/>
        <v/>
      </c>
      <c r="CO670" s="4"/>
      <c r="CP670" s="4"/>
      <c r="CQ670" s="29" t="str">
        <f t="shared" si="597"/>
        <v/>
      </c>
      <c r="CR670" s="29" t="str">
        <f t="shared" si="598"/>
        <v/>
      </c>
      <c r="CS670" s="4"/>
    </row>
    <row r="671" spans="1:97" ht="34.25" hidden="1" customHeight="1">
      <c r="B671" s="481"/>
      <c r="C671" s="118"/>
      <c r="D671" s="126" t="str">
        <f>+IFERROR(INDEX('DESEMPATE Y DISCAPACIDAD'!$D$3:$D$450,MATCH(C671,'DESEMPATE Y DISCAPACIDAD'!$C$3:$C$450,0)),"")</f>
        <v/>
      </c>
      <c r="E671" s="127" t="str">
        <f>IFERROR(IF(D671="","",IF(VLOOKUP(D671,'DESEMPATE Y DISCAPACIDAD'!D$3:$E$450,2,FALSE)=1,"N/A",IF(VLOOKUP(D671,'DESEMPATE Y DISCAPACIDAD'!D$3:$F$450,3,FALSE)="X","SI","NO"))),"")</f>
        <v/>
      </c>
      <c r="F671" s="125"/>
      <c r="G671" s="125"/>
      <c r="H671" s="125"/>
      <c r="I671" s="128"/>
      <c r="J671" s="125"/>
      <c r="K671" s="125"/>
      <c r="L671" s="125"/>
      <c r="M671" s="125"/>
      <c r="N671" s="125" t="str">
        <f t="shared" si="607"/>
        <v/>
      </c>
      <c r="O671" s="125" t="str">
        <f t="shared" si="613"/>
        <v/>
      </c>
      <c r="P671" s="125" t="str">
        <f t="shared" si="608"/>
        <v/>
      </c>
      <c r="Q671" s="125" t="str">
        <f t="shared" si="590"/>
        <v/>
      </c>
      <c r="R671" s="68"/>
      <c r="S671" s="129"/>
      <c r="T671" s="129"/>
      <c r="U671" s="125" t="str">
        <f t="shared" si="609"/>
        <v/>
      </c>
      <c r="V671" s="117" t="str">
        <f>IF(U671=2023,1160000,IFERROR(INDEX(SMMLV!$B$2:$B$101,MATCH(U671,SMMLV!$A$2:$A$101,0)),""))</f>
        <v/>
      </c>
      <c r="W671" s="117"/>
      <c r="X671" s="125"/>
      <c r="Y671" s="125"/>
      <c r="Z671" s="474"/>
      <c r="AA671" s="475"/>
      <c r="AB671" s="476"/>
      <c r="AC671" s="125" t="str">
        <f t="shared" si="610"/>
        <v/>
      </c>
      <c r="AD671" s="117" t="str">
        <f t="shared" si="591"/>
        <v/>
      </c>
      <c r="AE671" s="117" t="str">
        <f t="shared" si="599"/>
        <v/>
      </c>
      <c r="AF671" s="117" t="str">
        <f t="shared" si="592"/>
        <v/>
      </c>
      <c r="AG671" s="470"/>
      <c r="AH671" s="470"/>
      <c r="AI671" s="125" t="str">
        <f t="shared" si="593"/>
        <v/>
      </c>
      <c r="AJ671" s="470"/>
      <c r="AK671" s="470"/>
      <c r="AL671" s="472"/>
      <c r="AM671" s="496"/>
      <c r="AN671" s="125"/>
      <c r="AO671" s="490"/>
      <c r="AP671" s="125"/>
      <c r="AQ671" s="490"/>
      <c r="AR671" s="522"/>
      <c r="AS671" s="522"/>
      <c r="AT671" s="138"/>
      <c r="AU671" s="702"/>
      <c r="AV671" s="702"/>
      <c r="AW671" s="708"/>
      <c r="AX671" s="708"/>
      <c r="AY671" s="19"/>
      <c r="CB671" s="29" t="str">
        <f>IFERROR(IF(COUNTIF(AF663:AF672,"")=10,"",IF(COUNTIF(E663:E672,"N/A")&gt;0,IF(AF671&gt;=CMEMM1,AF671,0),"N/A")),"")</f>
        <v/>
      </c>
      <c r="CC671" s="4"/>
      <c r="CD671" s="4" t="str">
        <f>IFERROR(IF(COUNTIF(AF663:AF672,"")=10,"",IF(AF671="","",IF(AF671&gt;=CMEMM1,1,0))),"")</f>
        <v/>
      </c>
      <c r="CE671" s="4" t="str">
        <f>B663&amp;"-0"&amp;9</f>
        <v>P67-09</v>
      </c>
      <c r="CF671" s="4" t="str">
        <f>IFERROR(INDEX('DESEMPATE Y DISCAPACIDAD'!$D$3:$D$450,MATCH(CE671,'DESEMPATE Y DISCAPACIDAD'!$C$3:$C$450,0)),"")</f>
        <v/>
      </c>
      <c r="CG671" s="4" t="str">
        <f>IF(OR(CE671="",CF671=""),"",SUMIF(D663:D672,CF671,CD663:CD672))</f>
        <v/>
      </c>
      <c r="CH671" s="4" t="str">
        <f t="shared" si="594"/>
        <v/>
      </c>
      <c r="CI671" s="4" t="str">
        <f t="shared" si="611"/>
        <v/>
      </c>
      <c r="CJ671" s="4"/>
      <c r="CK671" s="4"/>
      <c r="CL671" s="4" t="str">
        <f t="shared" si="595"/>
        <v/>
      </c>
      <c r="CM671" s="4" t="str">
        <f t="shared" si="596"/>
        <v/>
      </c>
      <c r="CN671" s="4" t="str">
        <f t="shared" si="612"/>
        <v/>
      </c>
      <c r="CO671" s="4"/>
      <c r="CP671" s="4"/>
      <c r="CQ671" s="29" t="str">
        <f t="shared" si="597"/>
        <v/>
      </c>
      <c r="CR671" s="29" t="str">
        <f t="shared" si="598"/>
        <v/>
      </c>
      <c r="CS671" s="4"/>
    </row>
    <row r="672" spans="1:97" ht="34.25" hidden="1" customHeight="1" thickBot="1">
      <c r="B672" s="482"/>
      <c r="C672" s="130"/>
      <c r="D672" s="131" t="str">
        <f>+IFERROR(INDEX('DESEMPATE Y DISCAPACIDAD'!$D$3:$D$450,MATCH(C672,'DESEMPATE Y DISCAPACIDAD'!$C$3:$C$450,0)),"")</f>
        <v/>
      </c>
      <c r="E672" s="132" t="str">
        <f>IFERROR(IF(D672="","",IF(VLOOKUP(D672,'DESEMPATE Y DISCAPACIDAD'!D$3:$E$450,2,FALSE)=1,"N/A",IF(VLOOKUP(D672,'DESEMPATE Y DISCAPACIDAD'!D$3:$F$450,3,FALSE)="X","SI","NO"))),"")</f>
        <v/>
      </c>
      <c r="F672" s="133"/>
      <c r="G672" s="133"/>
      <c r="H672" s="133"/>
      <c r="I672" s="134"/>
      <c r="J672" s="133"/>
      <c r="K672" s="133"/>
      <c r="L672" s="133"/>
      <c r="M672" s="133"/>
      <c r="N672" s="133" t="str">
        <f t="shared" si="607"/>
        <v/>
      </c>
      <c r="O672" s="133" t="str">
        <f t="shared" si="613"/>
        <v/>
      </c>
      <c r="P672" s="133" t="str">
        <f t="shared" si="608"/>
        <v/>
      </c>
      <c r="Q672" s="133" t="str">
        <f t="shared" si="590"/>
        <v/>
      </c>
      <c r="R672" s="104"/>
      <c r="S672" s="135"/>
      <c r="T672" s="135"/>
      <c r="U672" s="133" t="str">
        <f t="shared" si="609"/>
        <v/>
      </c>
      <c r="V672" s="136" t="str">
        <f>IF(U672=2023,1160000,IFERROR(INDEX(SMMLV!$B$2:$B$101,MATCH(U672,SMMLV!$A$2:$A$101,0)),""))</f>
        <v/>
      </c>
      <c r="W672" s="136"/>
      <c r="X672" s="133"/>
      <c r="Y672" s="133"/>
      <c r="Z672" s="487"/>
      <c r="AA672" s="488"/>
      <c r="AB672" s="489"/>
      <c r="AC672" s="133" t="str">
        <f t="shared" si="610"/>
        <v/>
      </c>
      <c r="AD672" s="136" t="str">
        <f t="shared" si="591"/>
        <v/>
      </c>
      <c r="AE672" s="117" t="str">
        <f t="shared" si="599"/>
        <v/>
      </c>
      <c r="AF672" s="136" t="str">
        <f t="shared" si="592"/>
        <v/>
      </c>
      <c r="AG672" s="471"/>
      <c r="AH672" s="471"/>
      <c r="AI672" s="133" t="str">
        <f t="shared" si="593"/>
        <v/>
      </c>
      <c r="AJ672" s="471"/>
      <c r="AK672" s="471"/>
      <c r="AL672" s="473"/>
      <c r="AM672" s="497"/>
      <c r="AN672" s="133"/>
      <c r="AO672" s="491"/>
      <c r="AP672" s="133"/>
      <c r="AQ672" s="491"/>
      <c r="AR672" s="523"/>
      <c r="AS672" s="523"/>
      <c r="AT672" s="139"/>
      <c r="AU672" s="703"/>
      <c r="AV672" s="703"/>
      <c r="AW672" s="709"/>
      <c r="AX672" s="709"/>
      <c r="AY672" s="19"/>
      <c r="CB672" s="29" t="str">
        <f>IFERROR(IF(COUNTIF(AF663:AF672,"")=10,"",IF(COUNTIF(E663:E672,"N/A")&gt;0,IF(AF672&gt;=CMEMM1,AF672,0),"N/A")),"")</f>
        <v/>
      </c>
      <c r="CC672" s="4"/>
      <c r="CD672" s="4" t="str">
        <f>IFERROR(IF(COUNTIF(AF663:AF672,"")=10,"",IF(AF672="","",IF(AF672&gt;=CMEMM1,1,0))),"")</f>
        <v/>
      </c>
      <c r="CE672" s="4" t="str">
        <f>B663&amp;"-"&amp;10</f>
        <v>P67-10</v>
      </c>
      <c r="CF672" s="4" t="str">
        <f>IFERROR(INDEX('DESEMPATE Y DISCAPACIDAD'!$D$3:$D$450,MATCH(CE672,'DESEMPATE Y DISCAPACIDAD'!$C$3:$C$450,0)),"")</f>
        <v/>
      </c>
      <c r="CG672" s="4" t="str">
        <f>IF(OR(CE672="",CF672=""),"",SUMIF(D663:D672,CF672,CD663:CD672))</f>
        <v/>
      </c>
      <c r="CH672" s="4" t="str">
        <f t="shared" si="594"/>
        <v/>
      </c>
      <c r="CI672" s="4" t="str">
        <f t="shared" si="611"/>
        <v/>
      </c>
      <c r="CJ672" s="4"/>
      <c r="CK672" s="4"/>
      <c r="CL672" s="4" t="str">
        <f t="shared" si="595"/>
        <v/>
      </c>
      <c r="CM672" s="4" t="str">
        <f t="shared" si="596"/>
        <v/>
      </c>
      <c r="CN672" s="4" t="str">
        <f t="shared" si="612"/>
        <v/>
      </c>
      <c r="CO672" s="4"/>
      <c r="CP672" s="4"/>
      <c r="CQ672" s="29" t="str">
        <f t="shared" si="597"/>
        <v/>
      </c>
      <c r="CR672" s="29" t="str">
        <f t="shared" si="598"/>
        <v/>
      </c>
      <c r="CS672" s="4"/>
    </row>
    <row r="673" spans="3:3">
      <c r="C673" s="4"/>
    </row>
    <row r="674" spans="3:3">
      <c r="C674" s="4"/>
    </row>
    <row r="675" spans="3:3">
      <c r="C675" s="4"/>
    </row>
    <row r="676" spans="3:3">
      <c r="C676" s="4"/>
    </row>
    <row r="677" spans="3:3">
      <c r="C677" s="4"/>
    </row>
    <row r="678" spans="3:3">
      <c r="C678" s="4"/>
    </row>
    <row r="679" spans="3:3">
      <c r="C679" s="4"/>
    </row>
    <row r="680" spans="3:3">
      <c r="C680" s="4"/>
    </row>
    <row r="681" spans="3:3">
      <c r="C681" s="4"/>
    </row>
    <row r="682" spans="3:3">
      <c r="C682" s="4"/>
    </row>
    <row r="683" spans="3:3">
      <c r="C683" s="4"/>
    </row>
    <row r="684" spans="3:3">
      <c r="C684" s="4"/>
    </row>
    <row r="685" spans="3:3">
      <c r="C685" s="4"/>
    </row>
    <row r="686" spans="3:3">
      <c r="C686" s="4"/>
    </row>
    <row r="687" spans="3:3">
      <c r="C687" s="4"/>
    </row>
    <row r="688" spans="3:3">
      <c r="C688" s="4"/>
    </row>
    <row r="689" spans="3:3">
      <c r="C689" s="4"/>
    </row>
    <row r="690" spans="3:3">
      <c r="C690" s="4"/>
    </row>
    <row r="691" spans="3:3">
      <c r="C691" s="4"/>
    </row>
    <row r="692" spans="3:3">
      <c r="C692" s="4"/>
    </row>
    <row r="693" spans="3:3">
      <c r="C693" s="4"/>
    </row>
    <row r="694" spans="3:3">
      <c r="C694" s="4"/>
    </row>
    <row r="695" spans="3:3">
      <c r="C695" s="4"/>
    </row>
    <row r="696" spans="3:3">
      <c r="C696" s="4"/>
    </row>
    <row r="697" spans="3:3">
      <c r="C697" s="4"/>
    </row>
    <row r="698" spans="3:3">
      <c r="C698" s="4"/>
    </row>
    <row r="699" spans="3:3">
      <c r="C699" s="4"/>
    </row>
    <row r="700" spans="3:3">
      <c r="C700" s="4"/>
    </row>
    <row r="701" spans="3:3">
      <c r="C701" s="4"/>
    </row>
    <row r="702" spans="3:3">
      <c r="C702" s="4"/>
    </row>
    <row r="703" spans="3:3">
      <c r="C703" s="4"/>
    </row>
    <row r="704" spans="3:3">
      <c r="C704" s="4"/>
    </row>
    <row r="705" spans="3:3">
      <c r="C705" s="4"/>
    </row>
    <row r="706" spans="3:3">
      <c r="C706" s="4"/>
    </row>
    <row r="707" spans="3:3">
      <c r="C707" s="4"/>
    </row>
    <row r="708" spans="3:3">
      <c r="C708" s="4"/>
    </row>
    <row r="709" spans="3:3">
      <c r="C709" s="4"/>
    </row>
    <row r="710" spans="3:3">
      <c r="C710" s="4"/>
    </row>
    <row r="711" spans="3:3">
      <c r="C711" s="4"/>
    </row>
    <row r="712" spans="3:3">
      <c r="C712" s="4"/>
    </row>
    <row r="713" spans="3:3">
      <c r="C713" s="4"/>
    </row>
    <row r="714" spans="3:3">
      <c r="C714" s="4"/>
    </row>
    <row r="715" spans="3:3">
      <c r="C715" s="4"/>
    </row>
    <row r="716" spans="3:3">
      <c r="C716" s="4"/>
    </row>
    <row r="717" spans="3:3">
      <c r="C717" s="4"/>
    </row>
    <row r="718" spans="3:3">
      <c r="C718" s="4"/>
    </row>
    <row r="719" spans="3:3">
      <c r="C719" s="4"/>
    </row>
    <row r="720" spans="3:3">
      <c r="C720" s="4"/>
    </row>
    <row r="721" spans="3:3">
      <c r="C721" s="4"/>
    </row>
    <row r="722" spans="3:3">
      <c r="C722" s="4"/>
    </row>
    <row r="723" spans="3:3">
      <c r="C723" s="4"/>
    </row>
    <row r="724" spans="3:3">
      <c r="C724" s="4"/>
    </row>
    <row r="725" spans="3:3">
      <c r="C725" s="4"/>
    </row>
    <row r="726" spans="3:3">
      <c r="C726" s="4"/>
    </row>
    <row r="727" spans="3:3">
      <c r="C727" s="4"/>
    </row>
    <row r="728" spans="3:3">
      <c r="C728" s="4"/>
    </row>
    <row r="729" spans="3:3">
      <c r="C729" s="4"/>
    </row>
    <row r="730" spans="3:3">
      <c r="C730" s="4"/>
    </row>
    <row r="731" spans="3:3">
      <c r="C731" s="4"/>
    </row>
    <row r="732" spans="3:3">
      <c r="C732" s="4"/>
    </row>
    <row r="733" spans="3:3">
      <c r="C733" s="4"/>
    </row>
    <row r="734" spans="3:3">
      <c r="C734" s="4"/>
    </row>
    <row r="735" spans="3:3">
      <c r="C735" s="4"/>
    </row>
    <row r="736" spans="3:3">
      <c r="C736" s="4"/>
    </row>
    <row r="737" spans="3:3">
      <c r="C737" s="4"/>
    </row>
    <row r="738" spans="3:3">
      <c r="C738" s="4"/>
    </row>
    <row r="739" spans="3:3">
      <c r="C739" s="4"/>
    </row>
    <row r="740" spans="3:3">
      <c r="C740" s="4"/>
    </row>
    <row r="741" spans="3:3">
      <c r="C741" s="4"/>
    </row>
    <row r="742" spans="3:3">
      <c r="C742" s="4"/>
    </row>
    <row r="743" spans="3:3">
      <c r="C743" s="4"/>
    </row>
    <row r="744" spans="3:3">
      <c r="C744" s="4"/>
    </row>
    <row r="745" spans="3:3">
      <c r="C745" s="4"/>
    </row>
    <row r="746" spans="3:3">
      <c r="C746" s="4"/>
    </row>
    <row r="747" spans="3:3">
      <c r="C747" s="4"/>
    </row>
    <row r="748" spans="3:3">
      <c r="C748" s="4"/>
    </row>
    <row r="749" spans="3:3">
      <c r="C749" s="4"/>
    </row>
    <row r="750" spans="3:3">
      <c r="C750" s="4"/>
    </row>
    <row r="751" spans="3:3">
      <c r="C751" s="4"/>
    </row>
    <row r="752" spans="3:3">
      <c r="C752" s="4"/>
    </row>
    <row r="753" spans="3:3">
      <c r="C753" s="4"/>
    </row>
    <row r="754" spans="3:3">
      <c r="C754" s="4"/>
    </row>
    <row r="755" spans="3:3">
      <c r="C755" s="4"/>
    </row>
    <row r="756" spans="3:3">
      <c r="C756" s="4"/>
    </row>
    <row r="757" spans="3:3">
      <c r="C757" s="4"/>
    </row>
    <row r="758" spans="3:3">
      <c r="C758" s="4"/>
    </row>
    <row r="759" spans="3:3">
      <c r="C759" s="4"/>
    </row>
    <row r="760" spans="3:3">
      <c r="C760" s="4"/>
    </row>
    <row r="761" spans="3:3">
      <c r="C761" s="4"/>
    </row>
    <row r="762" spans="3:3">
      <c r="C762" s="4"/>
    </row>
    <row r="763" spans="3:3">
      <c r="C763" s="4"/>
    </row>
    <row r="764" spans="3:3">
      <c r="C764" s="4"/>
    </row>
    <row r="765" spans="3:3">
      <c r="C765" s="4"/>
    </row>
    <row r="766" spans="3:3">
      <c r="C766" s="4"/>
    </row>
    <row r="767" spans="3:3">
      <c r="C767" s="4"/>
    </row>
    <row r="768" spans="3:3">
      <c r="C768" s="4"/>
    </row>
    <row r="769" spans="3:3">
      <c r="C769" s="4"/>
    </row>
    <row r="770" spans="3:3">
      <c r="C770" s="4"/>
    </row>
    <row r="771" spans="3:3">
      <c r="C771" s="4"/>
    </row>
    <row r="772" spans="3:3">
      <c r="C772" s="4"/>
    </row>
    <row r="773" spans="3:3">
      <c r="C773" s="4"/>
    </row>
    <row r="774" spans="3:3">
      <c r="C774" s="4"/>
    </row>
    <row r="775" spans="3:3">
      <c r="C775" s="4"/>
    </row>
    <row r="776" spans="3:3">
      <c r="C776" s="4"/>
    </row>
    <row r="777" spans="3:3">
      <c r="C777" s="4"/>
    </row>
    <row r="778" spans="3:3">
      <c r="C778" s="4"/>
    </row>
    <row r="779" spans="3:3">
      <c r="C779" s="4"/>
    </row>
    <row r="780" spans="3:3">
      <c r="C780" s="4"/>
    </row>
    <row r="781" spans="3:3">
      <c r="C781" s="4"/>
    </row>
    <row r="782" spans="3:3">
      <c r="C782" s="4"/>
    </row>
    <row r="783" spans="3:3">
      <c r="C783" s="4"/>
    </row>
    <row r="784" spans="3:3">
      <c r="C784" s="4"/>
    </row>
    <row r="785" spans="3:3">
      <c r="C785" s="4"/>
    </row>
    <row r="786" spans="3:3">
      <c r="C786" s="4"/>
    </row>
    <row r="787" spans="3:3">
      <c r="C787" s="4"/>
    </row>
    <row r="788" spans="3:3">
      <c r="C788" s="4"/>
    </row>
    <row r="789" spans="3:3">
      <c r="C789" s="4"/>
    </row>
    <row r="790" spans="3:3">
      <c r="C790" s="4"/>
    </row>
    <row r="791" spans="3:3">
      <c r="C791" s="4"/>
    </row>
    <row r="792" spans="3:3">
      <c r="C792" s="4"/>
    </row>
    <row r="793" spans="3:3">
      <c r="C793" s="4"/>
    </row>
    <row r="794" spans="3:3">
      <c r="C794" s="4"/>
    </row>
    <row r="795" spans="3:3">
      <c r="C795" s="4"/>
    </row>
    <row r="796" spans="3:3">
      <c r="C796" s="4"/>
    </row>
    <row r="797" spans="3:3">
      <c r="C797" s="4"/>
    </row>
    <row r="798" spans="3:3">
      <c r="C798" s="4"/>
    </row>
    <row r="799" spans="3:3">
      <c r="C799" s="4"/>
    </row>
    <row r="800" spans="3:3">
      <c r="C800" s="4"/>
    </row>
    <row r="801" spans="3:3">
      <c r="C801" s="4"/>
    </row>
    <row r="802" spans="3:3">
      <c r="C802" s="4"/>
    </row>
    <row r="803" spans="3:3">
      <c r="C803" s="4"/>
    </row>
    <row r="804" spans="3:3">
      <c r="C804" s="4"/>
    </row>
    <row r="805" spans="3:3">
      <c r="C805" s="4"/>
    </row>
    <row r="806" spans="3:3">
      <c r="C806" s="4"/>
    </row>
    <row r="807" spans="3:3">
      <c r="C807" s="4"/>
    </row>
    <row r="808" spans="3:3">
      <c r="C808" s="4"/>
    </row>
    <row r="809" spans="3:3">
      <c r="C809" s="4"/>
    </row>
    <row r="810" spans="3:3">
      <c r="C810" s="4"/>
    </row>
    <row r="811" spans="3:3">
      <c r="C811" s="4"/>
    </row>
    <row r="812" spans="3:3">
      <c r="C812" s="4"/>
    </row>
    <row r="813" spans="3:3">
      <c r="C813" s="4"/>
    </row>
    <row r="814" spans="3:3">
      <c r="C814" s="4"/>
    </row>
    <row r="815" spans="3:3">
      <c r="C815" s="4"/>
    </row>
    <row r="816" spans="3:3">
      <c r="C816" s="4"/>
    </row>
    <row r="817" spans="3:3">
      <c r="C817" s="4"/>
    </row>
    <row r="818" spans="3:3">
      <c r="C818" s="4"/>
    </row>
    <row r="819" spans="3:3">
      <c r="C819" s="4"/>
    </row>
    <row r="820" spans="3:3">
      <c r="C820" s="4"/>
    </row>
    <row r="821" spans="3:3">
      <c r="C821" s="4"/>
    </row>
    <row r="822" spans="3:3">
      <c r="C822" s="4"/>
    </row>
    <row r="823" spans="3:3">
      <c r="C823" s="4"/>
    </row>
    <row r="824" spans="3:3">
      <c r="C824" s="4"/>
    </row>
    <row r="825" spans="3:3">
      <c r="C825" s="4"/>
    </row>
    <row r="826" spans="3:3">
      <c r="C826" s="4"/>
    </row>
    <row r="827" spans="3:3">
      <c r="C827" s="4"/>
    </row>
    <row r="828" spans="3:3">
      <c r="C828" s="4"/>
    </row>
    <row r="829" spans="3:3">
      <c r="C829" s="4"/>
    </row>
    <row r="830" spans="3:3">
      <c r="C830" s="4"/>
    </row>
    <row r="831" spans="3:3">
      <c r="C831" s="4"/>
    </row>
    <row r="832" spans="3:3">
      <c r="C832" s="4"/>
    </row>
    <row r="833" spans="3:3">
      <c r="C833" s="4"/>
    </row>
    <row r="834" spans="3:3">
      <c r="C834" s="4"/>
    </row>
    <row r="835" spans="3:3">
      <c r="C835" s="4"/>
    </row>
    <row r="836" spans="3:3">
      <c r="C836" s="4"/>
    </row>
    <row r="837" spans="3:3">
      <c r="C837" s="4"/>
    </row>
    <row r="838" spans="3:3">
      <c r="C838" s="4"/>
    </row>
    <row r="839" spans="3:3">
      <c r="C839" s="4"/>
    </row>
    <row r="840" spans="3:3">
      <c r="C840" s="4"/>
    </row>
    <row r="841" spans="3:3">
      <c r="C841" s="4"/>
    </row>
    <row r="842" spans="3:3">
      <c r="C842" s="4"/>
    </row>
    <row r="843" spans="3:3">
      <c r="C843" s="4"/>
    </row>
    <row r="844" spans="3:3">
      <c r="C844" s="4"/>
    </row>
    <row r="845" spans="3:3">
      <c r="C845" s="4"/>
    </row>
    <row r="846" spans="3:3">
      <c r="C846" s="4"/>
    </row>
    <row r="847" spans="3:3">
      <c r="C847" s="4"/>
    </row>
    <row r="848" spans="3:3">
      <c r="C848" s="4"/>
    </row>
    <row r="849" spans="3:3">
      <c r="C849" s="4"/>
    </row>
    <row r="850" spans="3:3">
      <c r="C850" s="4"/>
    </row>
    <row r="851" spans="3:3">
      <c r="C851" s="4"/>
    </row>
    <row r="852" spans="3:3">
      <c r="C852" s="4"/>
    </row>
    <row r="853" spans="3:3">
      <c r="C853" s="4"/>
    </row>
    <row r="854" spans="3:3">
      <c r="C854" s="4"/>
    </row>
    <row r="855" spans="3:3">
      <c r="C855" s="4"/>
    </row>
    <row r="856" spans="3:3">
      <c r="C856" s="4"/>
    </row>
    <row r="857" spans="3:3">
      <c r="C857" s="4"/>
    </row>
    <row r="858" spans="3:3">
      <c r="C858" s="4"/>
    </row>
    <row r="859" spans="3:3">
      <c r="C859" s="4"/>
    </row>
    <row r="860" spans="3:3">
      <c r="C860" s="4"/>
    </row>
    <row r="861" spans="3:3">
      <c r="C861" s="4"/>
    </row>
    <row r="862" spans="3:3">
      <c r="C862" s="4"/>
    </row>
    <row r="863" spans="3:3">
      <c r="C863" s="4"/>
    </row>
    <row r="864" spans="3:3">
      <c r="C864" s="4"/>
    </row>
    <row r="865" spans="3:3">
      <c r="C865" s="4"/>
    </row>
    <row r="866" spans="3:3">
      <c r="C866" s="4"/>
    </row>
    <row r="867" spans="3:3">
      <c r="C867" s="4"/>
    </row>
    <row r="868" spans="3:3">
      <c r="C868" s="4"/>
    </row>
    <row r="869" spans="3:3">
      <c r="C869" s="4"/>
    </row>
    <row r="870" spans="3:3">
      <c r="C870" s="4"/>
    </row>
    <row r="871" spans="3:3">
      <c r="C871" s="4"/>
    </row>
    <row r="872" spans="3:3">
      <c r="C872" s="4"/>
    </row>
    <row r="873" spans="3:3">
      <c r="C873" s="4"/>
    </row>
    <row r="874" spans="3:3">
      <c r="C874" s="4"/>
    </row>
    <row r="875" spans="3:3">
      <c r="C875" s="4"/>
    </row>
    <row r="876" spans="3:3">
      <c r="C876" s="4"/>
    </row>
    <row r="877" spans="3:3">
      <c r="C877" s="4"/>
    </row>
    <row r="878" spans="3:3">
      <c r="C878" s="4"/>
    </row>
    <row r="879" spans="3:3">
      <c r="C879" s="4"/>
    </row>
    <row r="880" spans="3:3">
      <c r="C880" s="4"/>
    </row>
    <row r="881" spans="3:3">
      <c r="C881" s="4"/>
    </row>
    <row r="882" spans="3:3">
      <c r="C882" s="4"/>
    </row>
    <row r="883" spans="3:3">
      <c r="C883" s="4"/>
    </row>
    <row r="884" spans="3:3">
      <c r="C884" s="4"/>
    </row>
    <row r="885" spans="3:3">
      <c r="C885" s="4"/>
    </row>
    <row r="886" spans="3:3">
      <c r="C886" s="4"/>
    </row>
    <row r="887" spans="3:3">
      <c r="C887" s="4"/>
    </row>
    <row r="888" spans="3:3">
      <c r="C888" s="4"/>
    </row>
    <row r="889" spans="3:3">
      <c r="C889" s="4"/>
    </row>
    <row r="890" spans="3:3">
      <c r="C890" s="4"/>
    </row>
    <row r="891" spans="3:3">
      <c r="C891" s="4"/>
    </row>
    <row r="892" spans="3:3">
      <c r="C892" s="4"/>
    </row>
    <row r="893" spans="3:3">
      <c r="C893" s="4"/>
    </row>
    <row r="894" spans="3:3">
      <c r="C894" s="4"/>
    </row>
    <row r="895" spans="3:3">
      <c r="C895" s="4"/>
    </row>
    <row r="896" spans="3:3">
      <c r="C896" s="4"/>
    </row>
    <row r="897" spans="3:3">
      <c r="C897" s="4"/>
    </row>
    <row r="898" spans="3:3">
      <c r="C898" s="4"/>
    </row>
    <row r="899" spans="3:3">
      <c r="C899" s="4"/>
    </row>
    <row r="900" spans="3:3">
      <c r="C900" s="4"/>
    </row>
    <row r="901" spans="3:3">
      <c r="C901" s="4"/>
    </row>
    <row r="902" spans="3:3">
      <c r="C902" s="4"/>
    </row>
    <row r="903" spans="3:3">
      <c r="C903" s="4"/>
    </row>
    <row r="904" spans="3:3">
      <c r="C904" s="4"/>
    </row>
    <row r="905" spans="3:3">
      <c r="C905" s="4"/>
    </row>
    <row r="906" spans="3:3">
      <c r="C906" s="4"/>
    </row>
    <row r="907" spans="3:3">
      <c r="C907" s="4"/>
    </row>
    <row r="908" spans="3:3">
      <c r="C908" s="4"/>
    </row>
    <row r="909" spans="3:3">
      <c r="C909" s="4"/>
    </row>
    <row r="910" spans="3:3">
      <c r="C910" s="4"/>
    </row>
    <row r="911" spans="3:3">
      <c r="C911" s="4"/>
    </row>
    <row r="912" spans="3:3">
      <c r="C912" s="4"/>
    </row>
    <row r="913" spans="3:3">
      <c r="C913" s="4"/>
    </row>
    <row r="914" spans="3:3">
      <c r="C914" s="4"/>
    </row>
    <row r="915" spans="3:3">
      <c r="C915" s="4"/>
    </row>
    <row r="916" spans="3:3">
      <c r="C916" s="4"/>
    </row>
    <row r="917" spans="3:3">
      <c r="C917" s="4"/>
    </row>
    <row r="918" spans="3:3">
      <c r="C918" s="4"/>
    </row>
    <row r="919" spans="3:3">
      <c r="C919" s="4"/>
    </row>
    <row r="920" spans="3:3">
      <c r="C920" s="4"/>
    </row>
    <row r="921" spans="3:3">
      <c r="C921" s="4"/>
    </row>
    <row r="922" spans="3:3">
      <c r="C922" s="4"/>
    </row>
    <row r="923" spans="3:3">
      <c r="C923" s="4"/>
    </row>
    <row r="924" spans="3:3">
      <c r="C924" s="4"/>
    </row>
    <row r="925" spans="3:3">
      <c r="C925" s="4"/>
    </row>
    <row r="926" spans="3:3">
      <c r="C926" s="4"/>
    </row>
    <row r="927" spans="3:3">
      <c r="C927" s="4"/>
    </row>
    <row r="928" spans="3:3">
      <c r="C928" s="4"/>
    </row>
    <row r="929" spans="3:3">
      <c r="C929" s="4"/>
    </row>
    <row r="930" spans="3:3">
      <c r="C930" s="4"/>
    </row>
    <row r="931" spans="3:3">
      <c r="C931" s="4"/>
    </row>
    <row r="932" spans="3:3">
      <c r="C932" s="4"/>
    </row>
    <row r="933" spans="3:3">
      <c r="C933" s="4"/>
    </row>
    <row r="934" spans="3:3">
      <c r="C934" s="4"/>
    </row>
    <row r="935" spans="3:3">
      <c r="C935" s="4"/>
    </row>
    <row r="936" spans="3:3">
      <c r="C936" s="4"/>
    </row>
    <row r="937" spans="3:3">
      <c r="C937" s="4"/>
    </row>
    <row r="938" spans="3:3">
      <c r="C938" s="4"/>
    </row>
    <row r="939" spans="3:3">
      <c r="C939" s="4"/>
    </row>
    <row r="940" spans="3:3">
      <c r="C940" s="4"/>
    </row>
    <row r="941" spans="3:3">
      <c r="C941" s="4"/>
    </row>
    <row r="942" spans="3:3">
      <c r="C942" s="4"/>
    </row>
    <row r="943" spans="3:3">
      <c r="C943" s="4"/>
    </row>
    <row r="944" spans="3:3">
      <c r="C944" s="4"/>
    </row>
    <row r="945" spans="3:3">
      <c r="C945" s="4"/>
    </row>
    <row r="946" spans="3:3">
      <c r="C946" s="4"/>
    </row>
    <row r="947" spans="3:3">
      <c r="C947" s="4"/>
    </row>
    <row r="948" spans="3:3">
      <c r="C948" s="4"/>
    </row>
    <row r="949" spans="3:3">
      <c r="C949" s="4"/>
    </row>
    <row r="950" spans="3:3">
      <c r="C950" s="4"/>
    </row>
    <row r="951" spans="3:3">
      <c r="C951" s="4"/>
    </row>
    <row r="952" spans="3:3">
      <c r="C952" s="4"/>
    </row>
    <row r="953" spans="3:3">
      <c r="C953" s="4"/>
    </row>
    <row r="954" spans="3:3">
      <c r="C954" s="4"/>
    </row>
    <row r="955" spans="3:3">
      <c r="C955" s="4"/>
    </row>
    <row r="956" spans="3:3">
      <c r="C956" s="4"/>
    </row>
    <row r="957" spans="3:3">
      <c r="C957" s="4"/>
    </row>
    <row r="958" spans="3:3">
      <c r="C958" s="4"/>
    </row>
    <row r="959" spans="3:3">
      <c r="C959" s="4"/>
    </row>
    <row r="960" spans="3:3">
      <c r="C960" s="4"/>
    </row>
    <row r="961" spans="3:3">
      <c r="C961" s="4"/>
    </row>
    <row r="962" spans="3:3">
      <c r="C962" s="4"/>
    </row>
    <row r="963" spans="3:3">
      <c r="C963" s="4"/>
    </row>
    <row r="964" spans="3:3">
      <c r="C964" s="4"/>
    </row>
    <row r="965" spans="3:3">
      <c r="C965" s="4"/>
    </row>
    <row r="966" spans="3:3">
      <c r="C966" s="4"/>
    </row>
    <row r="967" spans="3:3">
      <c r="C967" s="4"/>
    </row>
    <row r="968" spans="3:3">
      <c r="C968" s="4"/>
    </row>
    <row r="969" spans="3:3">
      <c r="C969" s="4"/>
    </row>
    <row r="970" spans="3:3">
      <c r="C970" s="4"/>
    </row>
    <row r="971" spans="3:3">
      <c r="C971" s="4"/>
    </row>
    <row r="972" spans="3:3">
      <c r="C972" s="4"/>
    </row>
    <row r="973" spans="3:3">
      <c r="C973" s="4"/>
    </row>
    <row r="974" spans="3:3">
      <c r="C974" s="4"/>
    </row>
    <row r="975" spans="3:3">
      <c r="C975" s="4"/>
    </row>
    <row r="976" spans="3:3">
      <c r="C976" s="4"/>
    </row>
    <row r="977" spans="3:3">
      <c r="C977" s="4"/>
    </row>
    <row r="978" spans="3:3">
      <c r="C978" s="4"/>
    </row>
    <row r="979" spans="3:3">
      <c r="C979" s="4"/>
    </row>
    <row r="980" spans="3:3">
      <c r="C980" s="4"/>
    </row>
    <row r="981" spans="3:3">
      <c r="C981" s="4"/>
    </row>
    <row r="982" spans="3:3">
      <c r="C982" s="4"/>
    </row>
    <row r="983" spans="3:3">
      <c r="C983" s="4"/>
    </row>
    <row r="984" spans="3:3">
      <c r="C984" s="4"/>
    </row>
    <row r="985" spans="3:3">
      <c r="C985" s="4"/>
    </row>
    <row r="986" spans="3:3">
      <c r="C986" s="4"/>
    </row>
    <row r="987" spans="3:3">
      <c r="C987" s="4"/>
    </row>
    <row r="988" spans="3:3">
      <c r="C988" s="4"/>
    </row>
    <row r="989" spans="3:3">
      <c r="C989" s="4"/>
    </row>
    <row r="990" spans="3:3">
      <c r="C990" s="4"/>
    </row>
    <row r="991" spans="3:3">
      <c r="C991" s="4"/>
    </row>
    <row r="992" spans="3:3">
      <c r="C992" s="4"/>
    </row>
    <row r="993" spans="3:3">
      <c r="C993" s="4"/>
    </row>
    <row r="994" spans="3:3">
      <c r="C994" s="4"/>
    </row>
    <row r="995" spans="3:3">
      <c r="C995" s="4"/>
    </row>
    <row r="996" spans="3:3">
      <c r="C996" s="4"/>
    </row>
    <row r="997" spans="3:3">
      <c r="C997" s="4"/>
    </row>
    <row r="998" spans="3:3">
      <c r="C998" s="4"/>
    </row>
    <row r="999" spans="3:3">
      <c r="C999" s="4"/>
    </row>
    <row r="1000" spans="3:3">
      <c r="C1000" s="4"/>
    </row>
    <row r="1001" spans="3:3">
      <c r="C1001" s="4"/>
    </row>
    <row r="1002" spans="3:3">
      <c r="C1002" s="4"/>
    </row>
    <row r="1003" spans="3:3">
      <c r="C1003" s="4"/>
    </row>
    <row r="1004" spans="3:3">
      <c r="C1004" s="4"/>
    </row>
    <row r="1005" spans="3:3">
      <c r="C1005" s="4"/>
    </row>
    <row r="1006" spans="3:3">
      <c r="C1006" s="4"/>
    </row>
    <row r="1007" spans="3:3">
      <c r="C1007" s="4"/>
    </row>
    <row r="1008" spans="3:3">
      <c r="C1008" s="4"/>
    </row>
    <row r="1009" spans="3:3">
      <c r="C1009" s="4"/>
    </row>
    <row r="1010" spans="3:3">
      <c r="C1010" s="4"/>
    </row>
    <row r="1011" spans="3:3">
      <c r="C1011" s="4"/>
    </row>
    <row r="1012" spans="3:3">
      <c r="C1012" s="4"/>
    </row>
    <row r="1013" spans="3:3">
      <c r="C1013" s="4"/>
    </row>
    <row r="1014" spans="3:3">
      <c r="C1014" s="4"/>
    </row>
    <row r="1015" spans="3:3">
      <c r="C1015" s="4"/>
    </row>
    <row r="1016" spans="3:3">
      <c r="C1016" s="4"/>
    </row>
    <row r="1017" spans="3:3">
      <c r="C1017" s="4"/>
    </row>
    <row r="1018" spans="3:3">
      <c r="C1018" s="4"/>
    </row>
    <row r="1019" spans="3:3">
      <c r="C1019" s="4"/>
    </row>
    <row r="1020" spans="3:3">
      <c r="C1020" s="4"/>
    </row>
    <row r="1021" spans="3:3">
      <c r="C1021" s="4"/>
    </row>
    <row r="1022" spans="3:3">
      <c r="C1022" s="4"/>
    </row>
    <row r="1023" spans="3:3">
      <c r="C1023" s="4"/>
    </row>
    <row r="1024" spans="3:3">
      <c r="C1024" s="4"/>
    </row>
    <row r="1025" spans="3:3">
      <c r="C1025" s="4"/>
    </row>
    <row r="1026" spans="3:3">
      <c r="C1026" s="4"/>
    </row>
    <row r="1027" spans="3:3">
      <c r="C1027" s="4"/>
    </row>
    <row r="1028" spans="3:3">
      <c r="C1028" s="4"/>
    </row>
    <row r="1029" spans="3:3">
      <c r="C1029" s="4"/>
    </row>
    <row r="1030" spans="3:3">
      <c r="C1030" s="4"/>
    </row>
    <row r="1031" spans="3:3">
      <c r="C1031" s="4"/>
    </row>
    <row r="1032" spans="3:3">
      <c r="C1032" s="4"/>
    </row>
    <row r="1033" spans="3:3">
      <c r="C1033" s="4"/>
    </row>
    <row r="1034" spans="3:3">
      <c r="C1034" s="4"/>
    </row>
    <row r="1035" spans="3:3">
      <c r="C1035" s="4"/>
    </row>
    <row r="1036" spans="3:3">
      <c r="C1036" s="4"/>
    </row>
    <row r="1037" spans="3:3">
      <c r="C1037" s="4"/>
    </row>
    <row r="1038" spans="3:3">
      <c r="C1038" s="4"/>
    </row>
    <row r="1039" spans="3:3">
      <c r="C1039" s="4"/>
    </row>
    <row r="1040" spans="3:3">
      <c r="C1040" s="4"/>
    </row>
    <row r="1041" spans="3:3">
      <c r="C1041" s="4"/>
    </row>
    <row r="1042" spans="3:3">
      <c r="C1042" s="4"/>
    </row>
    <row r="1043" spans="3:3">
      <c r="C1043" s="4"/>
    </row>
    <row r="1044" spans="3:3">
      <c r="C1044" s="4"/>
    </row>
    <row r="1045" spans="3:3">
      <c r="C1045" s="4"/>
    </row>
    <row r="1046" spans="3:3">
      <c r="C1046" s="4"/>
    </row>
    <row r="1047" spans="3:3">
      <c r="C1047" s="4"/>
    </row>
    <row r="1048" spans="3:3">
      <c r="C1048" s="4"/>
    </row>
    <row r="1049" spans="3:3">
      <c r="C1049" s="4"/>
    </row>
    <row r="1050" spans="3:3">
      <c r="C1050" s="4"/>
    </row>
    <row r="1051" spans="3:3">
      <c r="C1051" s="4"/>
    </row>
    <row r="1052" spans="3:3">
      <c r="C1052" s="4"/>
    </row>
    <row r="1053" spans="3:3">
      <c r="C1053" s="4"/>
    </row>
    <row r="1054" spans="3:3">
      <c r="C1054" s="4"/>
    </row>
    <row r="1055" spans="3:3">
      <c r="C1055" s="4"/>
    </row>
    <row r="1056" spans="3:3">
      <c r="C1056" s="4"/>
    </row>
    <row r="1057" spans="3:3">
      <c r="C1057" s="4"/>
    </row>
    <row r="1058" spans="3:3">
      <c r="C1058" s="4"/>
    </row>
    <row r="1059" spans="3:3">
      <c r="C1059" s="4"/>
    </row>
    <row r="1060" spans="3:3">
      <c r="C1060" s="4"/>
    </row>
    <row r="1061" spans="3:3">
      <c r="C1061" s="4"/>
    </row>
    <row r="1062" spans="3:3">
      <c r="C1062" s="4"/>
    </row>
    <row r="1063" spans="3:3">
      <c r="C1063" s="4"/>
    </row>
    <row r="1064" spans="3:3">
      <c r="C1064" s="4"/>
    </row>
    <row r="1065" spans="3:3">
      <c r="C1065" s="4"/>
    </row>
    <row r="1066" spans="3:3">
      <c r="C1066" s="4"/>
    </row>
    <row r="1067" spans="3:3">
      <c r="C1067" s="4"/>
    </row>
    <row r="1068" spans="3:3">
      <c r="C1068" s="4"/>
    </row>
    <row r="1069" spans="3:3">
      <c r="C1069" s="4"/>
    </row>
    <row r="1070" spans="3:3">
      <c r="C1070" s="4"/>
    </row>
    <row r="1071" spans="3:3">
      <c r="C1071" s="4"/>
    </row>
    <row r="1072" spans="3:3">
      <c r="C1072" s="4"/>
    </row>
    <row r="1073" spans="3:3">
      <c r="C1073" s="4"/>
    </row>
    <row r="1074" spans="3:3">
      <c r="C1074" s="4"/>
    </row>
    <row r="1075" spans="3:3">
      <c r="C1075" s="4"/>
    </row>
    <row r="1076" spans="3:3">
      <c r="C1076" s="4"/>
    </row>
    <row r="1077" spans="3:3">
      <c r="C1077" s="4"/>
    </row>
    <row r="1078" spans="3:3">
      <c r="C1078" s="4"/>
    </row>
    <row r="1079" spans="3:3">
      <c r="C1079" s="4"/>
    </row>
    <row r="1080" spans="3:3">
      <c r="C1080" s="4"/>
    </row>
    <row r="1081" spans="3:3">
      <c r="C1081" s="4"/>
    </row>
    <row r="1082" spans="3:3">
      <c r="C1082" s="4"/>
    </row>
    <row r="1083" spans="3:3">
      <c r="C1083" s="4"/>
    </row>
    <row r="1084" spans="3:3">
      <c r="C1084" s="4"/>
    </row>
    <row r="1085" spans="3:3">
      <c r="C1085" s="4"/>
    </row>
    <row r="1086" spans="3:3">
      <c r="C1086" s="4"/>
    </row>
    <row r="1087" spans="3:3">
      <c r="C1087" s="4"/>
    </row>
    <row r="1088" spans="3:3">
      <c r="C1088" s="4"/>
    </row>
    <row r="1089" spans="3:3">
      <c r="C1089" s="4"/>
    </row>
    <row r="1090" spans="3:3">
      <c r="C1090" s="4"/>
    </row>
    <row r="1091" spans="3:3">
      <c r="C1091" s="4"/>
    </row>
    <row r="1092" spans="3:3">
      <c r="C1092" s="4"/>
    </row>
    <row r="1093" spans="3:3">
      <c r="C1093" s="4"/>
    </row>
    <row r="1094" spans="3:3">
      <c r="C1094" s="4"/>
    </row>
    <row r="1095" spans="3:3">
      <c r="C1095" s="4"/>
    </row>
    <row r="1096" spans="3:3">
      <c r="C1096" s="4"/>
    </row>
    <row r="1097" spans="3:3">
      <c r="C1097" s="4"/>
    </row>
    <row r="1098" spans="3:3">
      <c r="C1098" s="4"/>
    </row>
    <row r="1099" spans="3:3">
      <c r="C1099" s="4"/>
    </row>
    <row r="1100" spans="3:3">
      <c r="C1100" s="4"/>
    </row>
    <row r="1101" spans="3:3">
      <c r="C1101" s="4"/>
    </row>
    <row r="1102" spans="3:3">
      <c r="C1102" s="4"/>
    </row>
    <row r="1103" spans="3:3">
      <c r="C1103" s="4"/>
    </row>
    <row r="1104" spans="3:3">
      <c r="C1104" s="4"/>
    </row>
    <row r="1105" spans="3:3">
      <c r="C1105" s="4"/>
    </row>
    <row r="1106" spans="3:3">
      <c r="C1106" s="4"/>
    </row>
    <row r="1107" spans="3:3">
      <c r="C1107" s="4"/>
    </row>
    <row r="1108" spans="3:3">
      <c r="C1108" s="4"/>
    </row>
    <row r="1109" spans="3:3">
      <c r="C1109" s="4"/>
    </row>
    <row r="1110" spans="3:3">
      <c r="C1110" s="4"/>
    </row>
    <row r="1111" spans="3:3">
      <c r="C1111" s="4"/>
    </row>
    <row r="1112" spans="3:3">
      <c r="C1112" s="4"/>
    </row>
    <row r="1113" spans="3:3">
      <c r="C1113" s="4"/>
    </row>
    <row r="1114" spans="3:3">
      <c r="C1114" s="4"/>
    </row>
    <row r="1115" spans="3:3">
      <c r="C1115" s="4"/>
    </row>
    <row r="1116" spans="3:3">
      <c r="C1116" s="4"/>
    </row>
    <row r="1117" spans="3:3">
      <c r="C1117" s="4"/>
    </row>
    <row r="1118" spans="3:3">
      <c r="C1118" s="4"/>
    </row>
    <row r="1119" spans="3:3">
      <c r="C1119" s="4"/>
    </row>
    <row r="1120" spans="3:3">
      <c r="C1120" s="4"/>
    </row>
    <row r="1121" spans="3:3">
      <c r="C1121" s="4"/>
    </row>
    <row r="1122" spans="3:3">
      <c r="C1122" s="4"/>
    </row>
    <row r="1123" spans="3:3">
      <c r="C1123" s="4"/>
    </row>
    <row r="1124" spans="3:3">
      <c r="C1124" s="4"/>
    </row>
    <row r="1125" spans="3:3">
      <c r="C1125" s="4"/>
    </row>
    <row r="1126" spans="3:3">
      <c r="C1126" s="4"/>
    </row>
    <row r="1127" spans="3:3">
      <c r="C1127" s="4"/>
    </row>
    <row r="1128" spans="3:3">
      <c r="C1128" s="4"/>
    </row>
    <row r="1129" spans="3:3">
      <c r="C1129" s="4"/>
    </row>
    <row r="1130" spans="3:3">
      <c r="C1130" s="4"/>
    </row>
    <row r="1131" spans="3:3">
      <c r="C1131" s="4"/>
    </row>
    <row r="1132" spans="3:3">
      <c r="C1132" s="4"/>
    </row>
    <row r="1133" spans="3:3">
      <c r="C1133" s="4"/>
    </row>
    <row r="1134" spans="3:3">
      <c r="C1134" s="4"/>
    </row>
    <row r="1135" spans="3:3">
      <c r="C1135" s="4"/>
    </row>
    <row r="1136" spans="3:3">
      <c r="C1136" s="4"/>
    </row>
    <row r="1137" spans="3:3">
      <c r="C1137" s="4"/>
    </row>
    <row r="1138" spans="3:3">
      <c r="C1138" s="4"/>
    </row>
    <row r="1139" spans="3:3">
      <c r="C1139" s="4"/>
    </row>
    <row r="1140" spans="3:3">
      <c r="C1140" s="4"/>
    </row>
    <row r="1141" spans="3:3">
      <c r="C1141" s="4"/>
    </row>
    <row r="1142" spans="3:3">
      <c r="C1142" s="4"/>
    </row>
    <row r="1143" spans="3:3">
      <c r="C1143" s="4"/>
    </row>
    <row r="1144" spans="3:3">
      <c r="C1144" s="4"/>
    </row>
    <row r="1145" spans="3:3">
      <c r="C1145" s="4"/>
    </row>
    <row r="1146" spans="3:3">
      <c r="C1146" s="4"/>
    </row>
    <row r="1147" spans="3:3">
      <c r="C1147" s="4"/>
    </row>
    <row r="1148" spans="3:3">
      <c r="C1148" s="4"/>
    </row>
    <row r="1149" spans="3:3">
      <c r="C1149" s="4"/>
    </row>
    <row r="1150" spans="3:3">
      <c r="C1150" s="4"/>
    </row>
    <row r="1151" spans="3:3">
      <c r="C1151" s="4"/>
    </row>
    <row r="1152" spans="3:3">
      <c r="C1152" s="4"/>
    </row>
    <row r="1153" spans="3:3">
      <c r="C1153" s="4"/>
    </row>
    <row r="1154" spans="3:3">
      <c r="C1154" s="4"/>
    </row>
    <row r="1155" spans="3:3">
      <c r="C1155" s="4"/>
    </row>
    <row r="1156" spans="3:3">
      <c r="C1156" s="4"/>
    </row>
    <row r="1157" spans="3:3">
      <c r="C1157" s="4"/>
    </row>
    <row r="1158" spans="3:3">
      <c r="C1158" s="4"/>
    </row>
    <row r="1159" spans="3:3">
      <c r="C1159" s="4"/>
    </row>
    <row r="1160" spans="3:3">
      <c r="C1160" s="4"/>
    </row>
    <row r="1161" spans="3:3">
      <c r="C1161" s="4"/>
    </row>
    <row r="1162" spans="3:3">
      <c r="C1162" s="4"/>
    </row>
    <row r="1163" spans="3:3">
      <c r="C1163" s="4"/>
    </row>
    <row r="1164" spans="3:3">
      <c r="C1164" s="4"/>
    </row>
    <row r="1165" spans="3:3">
      <c r="C1165" s="4"/>
    </row>
    <row r="1166" spans="3:3">
      <c r="C1166" s="4"/>
    </row>
    <row r="1167" spans="3:3">
      <c r="C1167" s="4"/>
    </row>
    <row r="1168" spans="3:3">
      <c r="C1168" s="4"/>
    </row>
    <row r="1169" spans="3:3">
      <c r="C1169" s="4"/>
    </row>
    <row r="1170" spans="3:3">
      <c r="C1170" s="4"/>
    </row>
    <row r="1171" spans="3:3">
      <c r="C1171" s="4"/>
    </row>
    <row r="1172" spans="3:3">
      <c r="C1172" s="4"/>
    </row>
    <row r="1173" spans="3:3">
      <c r="C1173" s="4"/>
    </row>
    <row r="1174" spans="3:3">
      <c r="C1174" s="4"/>
    </row>
    <row r="1175" spans="3:3">
      <c r="C1175" s="4"/>
    </row>
    <row r="1176" spans="3:3">
      <c r="C1176" s="4"/>
    </row>
    <row r="1177" spans="3:3">
      <c r="C1177" s="4"/>
    </row>
    <row r="1178" spans="3:3">
      <c r="C1178" s="4"/>
    </row>
    <row r="1179" spans="3:3">
      <c r="C1179" s="4"/>
    </row>
    <row r="1180" spans="3:3">
      <c r="C1180" s="4"/>
    </row>
    <row r="1181" spans="3:3">
      <c r="C1181" s="4"/>
    </row>
    <row r="1182" spans="3:3">
      <c r="C1182" s="4"/>
    </row>
    <row r="1183" spans="3:3">
      <c r="C1183" s="4"/>
    </row>
    <row r="1184" spans="3:3">
      <c r="C1184" s="4"/>
    </row>
    <row r="1185" spans="3:3">
      <c r="C1185" s="4"/>
    </row>
    <row r="1186" spans="3:3">
      <c r="C1186" s="4"/>
    </row>
    <row r="1187" spans="3:3">
      <c r="C1187" s="4"/>
    </row>
    <row r="1188" spans="3:3">
      <c r="C1188" s="4"/>
    </row>
    <row r="1189" spans="3:3">
      <c r="C1189" s="4"/>
    </row>
    <row r="1190" spans="3:3">
      <c r="C1190" s="4"/>
    </row>
    <row r="1191" spans="3:3">
      <c r="C1191" s="4"/>
    </row>
    <row r="1192" spans="3:3">
      <c r="C1192" s="4"/>
    </row>
    <row r="1193" spans="3:3">
      <c r="C1193" s="4"/>
    </row>
    <row r="1194" spans="3:3">
      <c r="C1194" s="4"/>
    </row>
    <row r="1195" spans="3:3">
      <c r="C1195" s="4"/>
    </row>
    <row r="1196" spans="3:3">
      <c r="C1196" s="4"/>
    </row>
    <row r="1197" spans="3:3">
      <c r="C1197" s="4"/>
    </row>
    <row r="1198" spans="3:3">
      <c r="C1198" s="4"/>
    </row>
    <row r="1199" spans="3:3">
      <c r="C1199" s="4"/>
    </row>
    <row r="1200" spans="3:3">
      <c r="C1200" s="4"/>
    </row>
    <row r="1201" spans="3:3">
      <c r="C1201" s="4"/>
    </row>
    <row r="1202" spans="3:3">
      <c r="C1202" s="4"/>
    </row>
    <row r="1203" spans="3:3">
      <c r="C1203" s="4"/>
    </row>
    <row r="1204" spans="3:3">
      <c r="C1204" s="4"/>
    </row>
    <row r="1205" spans="3:3">
      <c r="C1205" s="4"/>
    </row>
    <row r="1206" spans="3:3">
      <c r="C1206" s="4"/>
    </row>
    <row r="1207" spans="3:3">
      <c r="C1207" s="4"/>
    </row>
    <row r="1208" spans="3:3">
      <c r="C1208" s="4"/>
    </row>
    <row r="1209" spans="3:3">
      <c r="C1209" s="4"/>
    </row>
    <row r="1210" spans="3:3">
      <c r="C1210" s="4"/>
    </row>
    <row r="1211" spans="3:3">
      <c r="C1211" s="4"/>
    </row>
    <row r="1212" spans="3:3">
      <c r="C1212" s="4"/>
    </row>
    <row r="1213" spans="3:3">
      <c r="C1213" s="4"/>
    </row>
    <row r="1214" spans="3:3">
      <c r="C1214" s="4"/>
    </row>
    <row r="1215" spans="3:3">
      <c r="C1215" s="4"/>
    </row>
    <row r="1216" spans="3:3">
      <c r="C1216" s="4"/>
    </row>
    <row r="1217" spans="3:3">
      <c r="C1217" s="4"/>
    </row>
    <row r="1218" spans="3:3">
      <c r="C1218" s="4"/>
    </row>
    <row r="1219" spans="3:3">
      <c r="C1219" s="4"/>
    </row>
    <row r="1220" spans="3:3">
      <c r="C1220" s="4"/>
    </row>
    <row r="1221" spans="3:3">
      <c r="C1221" s="4"/>
    </row>
    <row r="1222" spans="3:3">
      <c r="C1222" s="4"/>
    </row>
    <row r="1223" spans="3:3">
      <c r="C1223" s="4"/>
    </row>
    <row r="1224" spans="3:3">
      <c r="C1224" s="4"/>
    </row>
    <row r="1225" spans="3:3">
      <c r="C1225" s="4"/>
    </row>
    <row r="1226" spans="3:3">
      <c r="C1226" s="4"/>
    </row>
    <row r="1227" spans="3:3">
      <c r="C1227" s="4"/>
    </row>
    <row r="1228" spans="3:3">
      <c r="C1228" s="4"/>
    </row>
    <row r="1229" spans="3:3">
      <c r="C1229" s="4"/>
    </row>
    <row r="1230" spans="3:3">
      <c r="C1230" s="4"/>
    </row>
    <row r="1231" spans="3:3">
      <c r="C1231" s="4"/>
    </row>
    <row r="1232" spans="3:3">
      <c r="C1232" s="4"/>
    </row>
    <row r="1233" spans="3:3">
      <c r="C1233" s="4"/>
    </row>
    <row r="1234" spans="3:3">
      <c r="C1234" s="4"/>
    </row>
    <row r="1235" spans="3:3">
      <c r="C1235" s="4"/>
    </row>
    <row r="1236" spans="3:3">
      <c r="C1236" s="4"/>
    </row>
    <row r="1237" spans="3:3">
      <c r="C1237" s="4"/>
    </row>
    <row r="1238" spans="3:3">
      <c r="C1238" s="4"/>
    </row>
    <row r="1239" spans="3:3">
      <c r="C1239" s="4"/>
    </row>
    <row r="1240" spans="3:3">
      <c r="C1240" s="4"/>
    </row>
    <row r="1241" spans="3:3">
      <c r="C1241" s="4"/>
    </row>
    <row r="1242" spans="3:3">
      <c r="C1242" s="4"/>
    </row>
    <row r="1243" spans="3:3">
      <c r="C1243" s="4"/>
    </row>
    <row r="1244" spans="3:3">
      <c r="C1244" s="4"/>
    </row>
    <row r="1245" spans="3:3">
      <c r="C1245" s="4"/>
    </row>
    <row r="1246" spans="3:3">
      <c r="C1246" s="4"/>
    </row>
    <row r="1247" spans="3:3">
      <c r="C1247" s="4"/>
    </row>
    <row r="1248" spans="3:3">
      <c r="C1248" s="4"/>
    </row>
    <row r="1249" spans="3:3">
      <c r="C1249" s="4"/>
    </row>
    <row r="1250" spans="3:3">
      <c r="C1250" s="4"/>
    </row>
    <row r="1251" spans="3:3">
      <c r="C1251" s="4"/>
    </row>
    <row r="1252" spans="3:3">
      <c r="C1252" s="4"/>
    </row>
    <row r="1253" spans="3:3">
      <c r="C1253" s="4"/>
    </row>
    <row r="1254" spans="3:3">
      <c r="C1254" s="4"/>
    </row>
    <row r="1255" spans="3:3">
      <c r="C1255" s="4"/>
    </row>
    <row r="1256" spans="3:3">
      <c r="C1256" s="4"/>
    </row>
    <row r="1257" spans="3:3">
      <c r="C1257" s="4"/>
    </row>
    <row r="1258" spans="3:3">
      <c r="C1258" s="4"/>
    </row>
    <row r="1259" spans="3:3">
      <c r="C1259" s="4"/>
    </row>
    <row r="1260" spans="3:3">
      <c r="C1260" s="4"/>
    </row>
    <row r="1261" spans="3:3">
      <c r="C1261" s="4"/>
    </row>
    <row r="1262" spans="3:3">
      <c r="C1262" s="4"/>
    </row>
    <row r="1263" spans="3:3">
      <c r="C1263" s="4"/>
    </row>
    <row r="1264" spans="3:3">
      <c r="C1264" s="4"/>
    </row>
    <row r="1265" spans="3:3">
      <c r="C1265" s="4"/>
    </row>
    <row r="1266" spans="3:3">
      <c r="C1266" s="4"/>
    </row>
    <row r="1267" spans="3:3">
      <c r="C1267" s="4"/>
    </row>
    <row r="1268" spans="3:3">
      <c r="C1268" s="4"/>
    </row>
    <row r="1269" spans="3:3">
      <c r="C1269" s="4"/>
    </row>
    <row r="1270" spans="3:3">
      <c r="C1270" s="4"/>
    </row>
    <row r="1271" spans="3:3">
      <c r="C1271" s="4"/>
    </row>
    <row r="1272" spans="3:3">
      <c r="C1272" s="4"/>
    </row>
    <row r="1273" spans="3:3">
      <c r="C1273" s="4"/>
    </row>
    <row r="1274" spans="3:3">
      <c r="C1274" s="4"/>
    </row>
    <row r="1275" spans="3:3">
      <c r="C1275" s="4"/>
    </row>
    <row r="1276" spans="3:3">
      <c r="C1276" s="4"/>
    </row>
    <row r="1277" spans="3:3">
      <c r="C1277" s="4"/>
    </row>
    <row r="1278" spans="3:3">
      <c r="C1278" s="4"/>
    </row>
    <row r="1279" spans="3:3">
      <c r="C1279" s="4"/>
    </row>
    <row r="1280" spans="3:3">
      <c r="C1280" s="4"/>
    </row>
    <row r="1281" spans="3:3">
      <c r="C1281" s="4"/>
    </row>
    <row r="1282" spans="3:3">
      <c r="C1282" s="4"/>
    </row>
    <row r="1283" spans="3:3">
      <c r="C1283" s="4"/>
    </row>
    <row r="1284" spans="3:3">
      <c r="C1284" s="4"/>
    </row>
    <row r="1285" spans="3:3">
      <c r="C1285" s="4"/>
    </row>
    <row r="1286" spans="3:3">
      <c r="C1286" s="4"/>
    </row>
    <row r="1287" spans="3:3">
      <c r="C1287" s="4"/>
    </row>
    <row r="1288" spans="3:3">
      <c r="C1288" s="4"/>
    </row>
    <row r="1289" spans="3:3">
      <c r="C1289" s="4"/>
    </row>
    <row r="1290" spans="3:3">
      <c r="C1290" s="4"/>
    </row>
    <row r="1291" spans="3:3">
      <c r="C1291" s="4"/>
    </row>
    <row r="1292" spans="3:3">
      <c r="C1292" s="4"/>
    </row>
    <row r="1293" spans="3:3">
      <c r="C1293" s="4"/>
    </row>
    <row r="1294" spans="3:3">
      <c r="C1294" s="4"/>
    </row>
    <row r="1295" spans="3:3">
      <c r="C1295" s="4"/>
    </row>
    <row r="1296" spans="3:3">
      <c r="C1296" s="4"/>
    </row>
    <row r="1297" spans="3:3">
      <c r="C1297" s="4"/>
    </row>
    <row r="1298" spans="3:3">
      <c r="C1298" s="4"/>
    </row>
    <row r="1299" spans="3:3">
      <c r="C1299" s="4"/>
    </row>
    <row r="1300" spans="3:3">
      <c r="C1300" s="4"/>
    </row>
    <row r="1301" spans="3:3">
      <c r="C1301" s="4"/>
    </row>
    <row r="1302" spans="3:3">
      <c r="C1302" s="4"/>
    </row>
    <row r="1303" spans="3:3">
      <c r="C1303" s="4"/>
    </row>
    <row r="1304" spans="3:3">
      <c r="C1304" s="4"/>
    </row>
    <row r="1305" spans="3:3">
      <c r="C1305" s="4"/>
    </row>
    <row r="1306" spans="3:3">
      <c r="C1306" s="4"/>
    </row>
    <row r="1307" spans="3:3">
      <c r="C1307" s="4"/>
    </row>
    <row r="1308" spans="3:3">
      <c r="C1308" s="4"/>
    </row>
    <row r="1309" spans="3:3">
      <c r="C1309" s="4"/>
    </row>
    <row r="1310" spans="3:3">
      <c r="C1310" s="4"/>
    </row>
    <row r="1311" spans="3:3">
      <c r="C1311" s="4"/>
    </row>
    <row r="1312" spans="3:3">
      <c r="C1312" s="4"/>
    </row>
    <row r="1313" spans="3:3">
      <c r="C1313" s="4"/>
    </row>
    <row r="1314" spans="3:3">
      <c r="C1314" s="4"/>
    </row>
    <row r="1315" spans="3:3">
      <c r="C1315" s="4"/>
    </row>
    <row r="1316" spans="3:3">
      <c r="C1316" s="4"/>
    </row>
    <row r="1317" spans="3:3">
      <c r="C1317" s="4"/>
    </row>
    <row r="1318" spans="3:3">
      <c r="C1318" s="4"/>
    </row>
    <row r="1319" spans="3:3">
      <c r="C1319" s="4"/>
    </row>
    <row r="1320" spans="3:3">
      <c r="C1320" s="4"/>
    </row>
    <row r="1321" spans="3:3">
      <c r="C1321" s="4"/>
    </row>
    <row r="1322" spans="3:3">
      <c r="C1322" s="4"/>
    </row>
    <row r="1323" spans="3:3">
      <c r="C1323" s="4"/>
    </row>
    <row r="1324" spans="3:3">
      <c r="C1324" s="4"/>
    </row>
    <row r="1325" spans="3:3">
      <c r="C1325" s="4"/>
    </row>
    <row r="1326" spans="3:3">
      <c r="C1326" s="4"/>
    </row>
    <row r="1327" spans="3:3">
      <c r="C1327" s="4"/>
    </row>
    <row r="1328" spans="3:3">
      <c r="C1328" s="4"/>
    </row>
    <row r="1329" spans="3:3">
      <c r="C1329" s="4"/>
    </row>
    <row r="1330" spans="3:3">
      <c r="C1330" s="4"/>
    </row>
    <row r="1331" spans="3:3">
      <c r="C1331" s="4"/>
    </row>
    <row r="1332" spans="3:3">
      <c r="C1332" s="4"/>
    </row>
    <row r="1333" spans="3:3">
      <c r="C1333" s="4"/>
    </row>
    <row r="1334" spans="3:3">
      <c r="C1334" s="4"/>
    </row>
    <row r="1335" spans="3:3">
      <c r="C1335" s="4"/>
    </row>
    <row r="1336" spans="3:3">
      <c r="C1336" s="4"/>
    </row>
    <row r="1337" spans="3:3">
      <c r="C1337" s="4"/>
    </row>
    <row r="1338" spans="3:3">
      <c r="C1338" s="4"/>
    </row>
    <row r="1339" spans="3:3">
      <c r="C1339" s="4"/>
    </row>
    <row r="1340" spans="3:3">
      <c r="C1340" s="4"/>
    </row>
    <row r="1341" spans="3:3">
      <c r="C1341" s="4"/>
    </row>
    <row r="1342" spans="3:3">
      <c r="C1342" s="4"/>
    </row>
    <row r="1343" spans="3:3">
      <c r="C1343" s="4"/>
    </row>
    <row r="1344" spans="3:3">
      <c r="C1344" s="4"/>
    </row>
    <row r="1345" spans="3:3">
      <c r="C1345" s="4"/>
    </row>
    <row r="1346" spans="3:3">
      <c r="C1346" s="4"/>
    </row>
    <row r="1347" spans="3:3">
      <c r="C1347" s="4"/>
    </row>
    <row r="1348" spans="3:3">
      <c r="C1348" s="4"/>
    </row>
    <row r="1349" spans="3:3">
      <c r="C1349" s="4"/>
    </row>
    <row r="1350" spans="3:3">
      <c r="C1350" s="4"/>
    </row>
    <row r="1351" spans="3:3">
      <c r="C1351" s="4"/>
    </row>
    <row r="1352" spans="3:3">
      <c r="C1352" s="4"/>
    </row>
    <row r="1353" spans="3:3">
      <c r="C1353" s="4"/>
    </row>
    <row r="1354" spans="3:3">
      <c r="C1354" s="4"/>
    </row>
    <row r="1355" spans="3:3">
      <c r="C1355" s="4"/>
    </row>
    <row r="1356" spans="3:3">
      <c r="C1356" s="4"/>
    </row>
    <row r="1357" spans="3:3">
      <c r="C1357" s="4"/>
    </row>
    <row r="1358" spans="3:3">
      <c r="C1358" s="4"/>
    </row>
    <row r="1359" spans="3:3">
      <c r="C1359" s="4"/>
    </row>
    <row r="1360" spans="3:3">
      <c r="C1360" s="4"/>
    </row>
    <row r="1361" spans="3:3">
      <c r="C1361" s="4"/>
    </row>
    <row r="1362" spans="3:3">
      <c r="C1362" s="4"/>
    </row>
    <row r="1363" spans="3:3">
      <c r="C1363" s="4"/>
    </row>
    <row r="1364" spans="3:3">
      <c r="C1364" s="4"/>
    </row>
    <row r="1365" spans="3:3">
      <c r="C1365" s="4"/>
    </row>
    <row r="1366" spans="3:3">
      <c r="C1366" s="4"/>
    </row>
    <row r="1367" spans="3:3">
      <c r="C1367" s="4"/>
    </row>
    <row r="1368" spans="3:3">
      <c r="C1368" s="4"/>
    </row>
    <row r="1369" spans="3:3">
      <c r="C1369" s="4"/>
    </row>
    <row r="1370" spans="3:3">
      <c r="C1370" s="4"/>
    </row>
    <row r="1371" spans="3:3">
      <c r="C1371" s="4"/>
    </row>
    <row r="1372" spans="3:3">
      <c r="C1372" s="4"/>
    </row>
    <row r="1373" spans="3:3">
      <c r="C1373" s="4"/>
    </row>
    <row r="1374" spans="3:3">
      <c r="C1374" s="4"/>
    </row>
    <row r="1375" spans="3:3">
      <c r="C1375" s="4"/>
    </row>
    <row r="1376" spans="3:3">
      <c r="C1376" s="4"/>
    </row>
    <row r="1377" spans="3:3">
      <c r="C1377" s="4"/>
    </row>
    <row r="1378" spans="3:3">
      <c r="C1378" s="4"/>
    </row>
    <row r="1379" spans="3:3">
      <c r="C1379" s="4"/>
    </row>
    <row r="1380" spans="3:3">
      <c r="C1380" s="4"/>
    </row>
    <row r="1381" spans="3:3">
      <c r="C1381" s="4"/>
    </row>
    <row r="1382" spans="3:3">
      <c r="C1382" s="4"/>
    </row>
    <row r="1383" spans="3:3">
      <c r="C1383" s="4"/>
    </row>
    <row r="1384" spans="3:3">
      <c r="C1384" s="4"/>
    </row>
    <row r="1385" spans="3:3">
      <c r="C1385" s="4"/>
    </row>
    <row r="1386" spans="3:3">
      <c r="C1386" s="4"/>
    </row>
    <row r="1387" spans="3:3">
      <c r="C1387" s="4"/>
    </row>
    <row r="1388" spans="3:3">
      <c r="C1388" s="4"/>
    </row>
    <row r="1389" spans="3:3">
      <c r="C1389" s="4"/>
    </row>
    <row r="1390" spans="3:3">
      <c r="C1390" s="4"/>
    </row>
    <row r="1391" spans="3:3">
      <c r="C1391" s="4"/>
    </row>
    <row r="1392" spans="3:3">
      <c r="C1392" s="4"/>
    </row>
    <row r="1393" spans="3:3">
      <c r="C1393" s="4"/>
    </row>
    <row r="1394" spans="3:3">
      <c r="C1394" s="4"/>
    </row>
    <row r="1395" spans="3:3">
      <c r="C1395" s="4"/>
    </row>
    <row r="1396" spans="3:3">
      <c r="C1396" s="4"/>
    </row>
    <row r="1397" spans="3:3">
      <c r="C1397" s="4"/>
    </row>
    <row r="1398" spans="3:3">
      <c r="C1398" s="4"/>
    </row>
    <row r="1399" spans="3:3">
      <c r="C1399" s="4"/>
    </row>
    <row r="1400" spans="3:3">
      <c r="C1400" s="4"/>
    </row>
    <row r="1401" spans="3:3">
      <c r="C1401" s="4"/>
    </row>
    <row r="1402" spans="3:3">
      <c r="C1402" s="4"/>
    </row>
    <row r="1403" spans="3:3">
      <c r="C1403" s="4"/>
    </row>
    <row r="1404" spans="3:3">
      <c r="C1404" s="4"/>
    </row>
    <row r="1405" spans="3:3">
      <c r="C1405" s="4"/>
    </row>
    <row r="1406" spans="3:3">
      <c r="C1406" s="4"/>
    </row>
    <row r="1407" spans="3:3">
      <c r="C1407" s="4"/>
    </row>
    <row r="1408" spans="3:3">
      <c r="C1408" s="4"/>
    </row>
    <row r="1409" spans="3:3">
      <c r="C1409" s="4"/>
    </row>
    <row r="1410" spans="3:3">
      <c r="C1410" s="4"/>
    </row>
    <row r="1411" spans="3:3">
      <c r="C1411" s="4"/>
    </row>
    <row r="1412" spans="3:3">
      <c r="C1412" s="4"/>
    </row>
    <row r="1413" spans="3:3">
      <c r="C1413" s="4"/>
    </row>
    <row r="1414" spans="3:3">
      <c r="C1414" s="4"/>
    </row>
    <row r="1415" spans="3:3">
      <c r="C1415" s="4"/>
    </row>
    <row r="1416" spans="3:3">
      <c r="C1416" s="4"/>
    </row>
    <row r="1417" spans="3:3">
      <c r="C1417" s="4"/>
    </row>
    <row r="1418" spans="3:3">
      <c r="C1418" s="4"/>
    </row>
    <row r="1419" spans="3:3">
      <c r="C1419" s="4"/>
    </row>
    <row r="1420" spans="3:3">
      <c r="C1420" s="4"/>
    </row>
    <row r="1421" spans="3:3">
      <c r="C1421" s="4"/>
    </row>
    <row r="1422" spans="3:3">
      <c r="C1422" s="4"/>
    </row>
    <row r="1423" spans="3:3">
      <c r="C1423" s="4"/>
    </row>
    <row r="1424" spans="3:3">
      <c r="C1424" s="4"/>
    </row>
    <row r="1425" spans="3:3">
      <c r="C1425" s="4"/>
    </row>
    <row r="1426" spans="3:3">
      <c r="C1426" s="4"/>
    </row>
    <row r="1427" spans="3:3">
      <c r="C1427" s="4"/>
    </row>
    <row r="1428" spans="3:3">
      <c r="C1428" s="4"/>
    </row>
    <row r="1429" spans="3:3">
      <c r="C1429" s="4"/>
    </row>
    <row r="1430" spans="3:3">
      <c r="C1430" s="4"/>
    </row>
    <row r="1431" spans="3:3">
      <c r="C1431" s="4"/>
    </row>
    <row r="1432" spans="3:3">
      <c r="C1432" s="4"/>
    </row>
    <row r="1433" spans="3:3">
      <c r="C1433" s="4"/>
    </row>
    <row r="1434" spans="3:3">
      <c r="C1434" s="4"/>
    </row>
    <row r="1435" spans="3:3">
      <c r="C1435" s="4"/>
    </row>
    <row r="1436" spans="3:3">
      <c r="C1436" s="4"/>
    </row>
    <row r="1437" spans="3:3">
      <c r="C1437" s="4"/>
    </row>
    <row r="1438" spans="3:3">
      <c r="C1438" s="4"/>
    </row>
    <row r="1439" spans="3:3">
      <c r="C1439" s="4"/>
    </row>
    <row r="1440" spans="3:3">
      <c r="C1440" s="4"/>
    </row>
    <row r="1441" spans="3:3">
      <c r="C1441" s="4"/>
    </row>
    <row r="1442" spans="3:3">
      <c r="C1442" s="4"/>
    </row>
    <row r="1443" spans="3:3">
      <c r="C1443" s="4"/>
    </row>
    <row r="1444" spans="3:3">
      <c r="C1444" s="4"/>
    </row>
    <row r="1445" spans="3:3">
      <c r="C1445" s="4"/>
    </row>
    <row r="1446" spans="3:3">
      <c r="C1446" s="4"/>
    </row>
    <row r="1447" spans="3:3">
      <c r="C1447" s="4"/>
    </row>
    <row r="1448" spans="3:3">
      <c r="C1448" s="4"/>
    </row>
    <row r="1449" spans="3:3">
      <c r="C1449" s="4"/>
    </row>
    <row r="1450" spans="3:3">
      <c r="C1450" s="4"/>
    </row>
    <row r="1451" spans="3:3">
      <c r="C1451" s="4"/>
    </row>
    <row r="1452" spans="3:3">
      <c r="C1452" s="4"/>
    </row>
    <row r="1453" spans="3:3">
      <c r="C1453" s="4"/>
    </row>
    <row r="1454" spans="3:3">
      <c r="C1454" s="4"/>
    </row>
    <row r="1455" spans="3:3">
      <c r="C1455" s="4"/>
    </row>
    <row r="1456" spans="3:3">
      <c r="C1456" s="4"/>
    </row>
    <row r="1457" spans="3:3">
      <c r="C1457" s="4"/>
    </row>
    <row r="1458" spans="3:3">
      <c r="C1458" s="4"/>
    </row>
    <row r="1459" spans="3:3">
      <c r="C1459" s="4"/>
    </row>
    <row r="1460" spans="3:3">
      <c r="C1460" s="4"/>
    </row>
    <row r="1461" spans="3:3">
      <c r="C1461" s="4"/>
    </row>
    <row r="1462" spans="3:3">
      <c r="C1462" s="4"/>
    </row>
    <row r="1463" spans="3:3">
      <c r="C1463" s="4"/>
    </row>
    <row r="1464" spans="3:3">
      <c r="C1464" s="4"/>
    </row>
    <row r="1465" spans="3:3">
      <c r="C1465" s="4"/>
    </row>
    <row r="1466" spans="3:3">
      <c r="C1466" s="4"/>
    </row>
    <row r="1467" spans="3:3">
      <c r="C1467" s="4"/>
    </row>
    <row r="1468" spans="3:3">
      <c r="C1468" s="4"/>
    </row>
    <row r="1469" spans="3:3">
      <c r="C1469" s="4"/>
    </row>
    <row r="1470" spans="3:3">
      <c r="C1470" s="4"/>
    </row>
    <row r="1471" spans="3:3">
      <c r="C1471" s="4"/>
    </row>
    <row r="1472" spans="3:3">
      <c r="C1472" s="4"/>
    </row>
    <row r="1473" spans="3:3">
      <c r="C1473" s="4"/>
    </row>
    <row r="1474" spans="3:3">
      <c r="C1474" s="4"/>
    </row>
    <row r="1475" spans="3:3">
      <c r="C1475" s="4"/>
    </row>
    <row r="1476" spans="3:3">
      <c r="C1476" s="4"/>
    </row>
    <row r="1477" spans="3:3">
      <c r="C1477" s="4"/>
    </row>
    <row r="1478" spans="3:3">
      <c r="C1478" s="4"/>
    </row>
    <row r="1479" spans="3:3">
      <c r="C1479" s="4"/>
    </row>
    <row r="1480" spans="3:3">
      <c r="C1480" s="4"/>
    </row>
    <row r="1481" spans="3:3">
      <c r="C1481" s="4"/>
    </row>
    <row r="1482" spans="3:3">
      <c r="C1482" s="4"/>
    </row>
    <row r="1483" spans="3:3">
      <c r="C1483" s="4"/>
    </row>
    <row r="1484" spans="3:3">
      <c r="C1484" s="4"/>
    </row>
    <row r="1485" spans="3:3">
      <c r="C1485" s="4"/>
    </row>
    <row r="1486" spans="3:3">
      <c r="C1486" s="4"/>
    </row>
    <row r="1487" spans="3:3">
      <c r="C1487" s="4"/>
    </row>
    <row r="1488" spans="3:3">
      <c r="C1488" s="4"/>
    </row>
    <row r="1489" spans="3:3">
      <c r="C1489" s="4"/>
    </row>
    <row r="1490" spans="3:3">
      <c r="C1490" s="4"/>
    </row>
    <row r="1491" spans="3:3">
      <c r="C1491" s="4"/>
    </row>
    <row r="1492" spans="3:3">
      <c r="C1492" s="4"/>
    </row>
    <row r="1493" spans="3:3">
      <c r="C1493" s="4"/>
    </row>
    <row r="1494" spans="3:3">
      <c r="C1494" s="4"/>
    </row>
    <row r="1495" spans="3:3">
      <c r="C1495" s="4"/>
    </row>
    <row r="1496" spans="3:3">
      <c r="C1496" s="4"/>
    </row>
    <row r="1497" spans="3:3">
      <c r="C1497" s="4"/>
    </row>
    <row r="1498" spans="3:3">
      <c r="C1498" s="4"/>
    </row>
    <row r="1499" spans="3:3">
      <c r="C1499" s="4"/>
    </row>
    <row r="1500" spans="3:3">
      <c r="C1500" s="4"/>
    </row>
    <row r="1501" spans="3:3">
      <c r="C1501" s="4"/>
    </row>
    <row r="1502" spans="3:3">
      <c r="C1502" s="4"/>
    </row>
    <row r="1503" spans="3:3">
      <c r="C1503" s="4"/>
    </row>
    <row r="1504" spans="3:3">
      <c r="C1504" s="4"/>
    </row>
    <row r="1505" spans="3:3">
      <c r="C1505" s="4"/>
    </row>
    <row r="1506" spans="3:3">
      <c r="C1506" s="4"/>
    </row>
    <row r="1507" spans="3:3">
      <c r="C1507" s="4"/>
    </row>
    <row r="1508" spans="3:3">
      <c r="C1508" s="4"/>
    </row>
    <row r="1509" spans="3:3">
      <c r="C1509" s="4"/>
    </row>
    <row r="1510" spans="3:3">
      <c r="C1510" s="4"/>
    </row>
    <row r="1511" spans="3:3">
      <c r="C1511" s="4"/>
    </row>
    <row r="1512" spans="3:3">
      <c r="C1512" s="4"/>
    </row>
    <row r="1513" spans="3:3">
      <c r="C1513" s="4"/>
    </row>
    <row r="1514" spans="3:3">
      <c r="C1514" s="4"/>
    </row>
    <row r="1515" spans="3:3">
      <c r="C1515" s="4"/>
    </row>
    <row r="1516" spans="3:3">
      <c r="C1516" s="4"/>
    </row>
    <row r="1517" spans="3:3">
      <c r="C1517" s="4"/>
    </row>
    <row r="1518" spans="3:3">
      <c r="C1518" s="4"/>
    </row>
    <row r="1519" spans="3:3">
      <c r="C1519" s="4"/>
    </row>
    <row r="1520" spans="3:3">
      <c r="C1520" s="4"/>
    </row>
    <row r="1521" spans="3:3">
      <c r="C1521" s="4"/>
    </row>
    <row r="1522" spans="3:3">
      <c r="C1522" s="4"/>
    </row>
    <row r="1523" spans="3:3">
      <c r="C1523" s="4"/>
    </row>
    <row r="1524" spans="3:3">
      <c r="C1524" s="4"/>
    </row>
    <row r="1525" spans="3:3">
      <c r="C1525" s="4"/>
    </row>
    <row r="1526" spans="3:3">
      <c r="C1526" s="4"/>
    </row>
    <row r="1527" spans="3:3">
      <c r="C1527" s="4"/>
    </row>
    <row r="1528" spans="3:3">
      <c r="C1528" s="4"/>
    </row>
    <row r="1529" spans="3:3">
      <c r="C1529" s="4"/>
    </row>
    <row r="1530" spans="3:3">
      <c r="C1530" s="4"/>
    </row>
    <row r="1531" spans="3:3">
      <c r="C1531" s="4"/>
    </row>
    <row r="1532" spans="3:3">
      <c r="C1532" s="4"/>
    </row>
    <row r="1533" spans="3:3">
      <c r="C1533" s="4"/>
    </row>
    <row r="1534" spans="3:3">
      <c r="C1534" s="4"/>
    </row>
    <row r="1535" spans="3:3">
      <c r="C1535" s="4"/>
    </row>
    <row r="1536" spans="3:3">
      <c r="C1536" s="4"/>
    </row>
    <row r="1537" spans="3:3">
      <c r="C1537" s="4"/>
    </row>
    <row r="1538" spans="3:3">
      <c r="C1538" s="4"/>
    </row>
    <row r="1539" spans="3:3">
      <c r="C1539" s="4"/>
    </row>
    <row r="1540" spans="3:3">
      <c r="C1540" s="4"/>
    </row>
    <row r="1541" spans="3:3">
      <c r="C1541" s="4"/>
    </row>
    <row r="1542" spans="3:3">
      <c r="C1542" s="4"/>
    </row>
    <row r="1543" spans="3:3">
      <c r="C1543" s="4"/>
    </row>
    <row r="1544" spans="3:3">
      <c r="C1544" s="4"/>
    </row>
    <row r="1545" spans="3:3">
      <c r="C1545" s="4"/>
    </row>
    <row r="1546" spans="3:3">
      <c r="C1546" s="4"/>
    </row>
    <row r="1547" spans="3:3">
      <c r="C1547" s="4"/>
    </row>
    <row r="1548" spans="3:3">
      <c r="C1548" s="4"/>
    </row>
    <row r="1549" spans="3:3">
      <c r="C1549" s="4"/>
    </row>
    <row r="1550" spans="3:3">
      <c r="C1550" s="4"/>
    </row>
    <row r="1551" spans="3:3">
      <c r="C1551" s="4"/>
    </row>
    <row r="1552" spans="3:3">
      <c r="C1552" s="4"/>
    </row>
    <row r="1553" spans="3:3">
      <c r="C1553" s="4"/>
    </row>
    <row r="1554" spans="3:3">
      <c r="C1554" s="4"/>
    </row>
    <row r="1555" spans="3:3">
      <c r="C1555" s="4"/>
    </row>
    <row r="1556" spans="3:3">
      <c r="C1556" s="4"/>
    </row>
    <row r="1557" spans="3:3">
      <c r="C1557" s="4"/>
    </row>
    <row r="1558" spans="3:3">
      <c r="C1558" s="4"/>
    </row>
    <row r="1559" spans="3:3">
      <c r="C1559" s="4"/>
    </row>
    <row r="1560" spans="3:3">
      <c r="C1560" s="4"/>
    </row>
    <row r="1561" spans="3:3">
      <c r="C1561" s="4"/>
    </row>
    <row r="1562" spans="3:3">
      <c r="C1562" s="4"/>
    </row>
    <row r="1563" spans="3:3">
      <c r="C1563" s="4"/>
    </row>
    <row r="1564" spans="3:3">
      <c r="C1564" s="4"/>
    </row>
    <row r="1565" spans="3:3">
      <c r="C1565" s="4"/>
    </row>
    <row r="1566" spans="3:3">
      <c r="C1566" s="4"/>
    </row>
    <row r="1567" spans="3:3">
      <c r="C1567" s="4"/>
    </row>
    <row r="1568" spans="3:3">
      <c r="C1568" s="4"/>
    </row>
    <row r="1569" spans="3:3">
      <c r="C1569" s="4"/>
    </row>
    <row r="1570" spans="3:3">
      <c r="C1570" s="4"/>
    </row>
    <row r="1571" spans="3:3">
      <c r="C1571" s="4"/>
    </row>
    <row r="1572" spans="3:3">
      <c r="C1572" s="4"/>
    </row>
    <row r="1573" spans="3:3">
      <c r="C1573" s="4"/>
    </row>
    <row r="1574" spans="3:3">
      <c r="C1574" s="4"/>
    </row>
    <row r="1575" spans="3:3">
      <c r="C1575" s="4"/>
    </row>
    <row r="1576" spans="3:3">
      <c r="C1576" s="4"/>
    </row>
    <row r="1577" spans="3:3">
      <c r="C1577" s="4"/>
    </row>
    <row r="1578" spans="3:3">
      <c r="C1578" s="4"/>
    </row>
    <row r="1579" spans="3:3">
      <c r="C1579" s="4"/>
    </row>
    <row r="1580" spans="3:3">
      <c r="C1580" s="4"/>
    </row>
    <row r="1581" spans="3:3">
      <c r="C1581" s="4"/>
    </row>
    <row r="1582" spans="3:3">
      <c r="C1582" s="4"/>
    </row>
    <row r="1583" spans="3:3">
      <c r="C1583" s="4"/>
    </row>
    <row r="1584" spans="3:3">
      <c r="C1584" s="4"/>
    </row>
    <row r="1585" spans="3:3">
      <c r="C1585" s="4"/>
    </row>
    <row r="1586" spans="3:3">
      <c r="C1586" s="4"/>
    </row>
    <row r="1587" spans="3:3">
      <c r="C1587" s="4"/>
    </row>
    <row r="1588" spans="3:3">
      <c r="C1588" s="4"/>
    </row>
    <row r="1589" spans="3:3">
      <c r="C1589" s="4"/>
    </row>
    <row r="1590" spans="3:3">
      <c r="C1590" s="4"/>
    </row>
    <row r="1591" spans="3:3">
      <c r="C1591" s="4"/>
    </row>
    <row r="1592" spans="3:3">
      <c r="C1592" s="4"/>
    </row>
    <row r="1593" spans="3:3">
      <c r="C1593" s="4"/>
    </row>
    <row r="1594" spans="3:3">
      <c r="C1594" s="4"/>
    </row>
    <row r="1595" spans="3:3">
      <c r="C1595" s="4"/>
    </row>
    <row r="1596" spans="3:3">
      <c r="C1596" s="4"/>
    </row>
    <row r="1597" spans="3:3">
      <c r="C1597" s="4"/>
    </row>
    <row r="1598" spans="3:3">
      <c r="C1598" s="4"/>
    </row>
    <row r="1599" spans="3:3">
      <c r="C1599" s="4"/>
    </row>
    <row r="1600" spans="3:3">
      <c r="C1600" s="4"/>
    </row>
    <row r="1601" spans="3:3">
      <c r="C1601" s="4"/>
    </row>
    <row r="1602" spans="3:3">
      <c r="C1602" s="4"/>
    </row>
    <row r="1603" spans="3:3">
      <c r="C1603" s="4"/>
    </row>
    <row r="1604" spans="3:3">
      <c r="C1604" s="4"/>
    </row>
    <row r="1605" spans="3:3">
      <c r="C1605" s="4"/>
    </row>
    <row r="1606" spans="3:3">
      <c r="C1606" s="4"/>
    </row>
    <row r="1607" spans="3:3">
      <c r="C1607" s="4"/>
    </row>
    <row r="1608" spans="3:3">
      <c r="C1608" s="4"/>
    </row>
    <row r="1609" spans="3:3">
      <c r="C1609" s="4"/>
    </row>
    <row r="1610" spans="3:3">
      <c r="C1610" s="4"/>
    </row>
    <row r="1611" spans="3:3">
      <c r="C1611" s="4"/>
    </row>
    <row r="1612" spans="3:3">
      <c r="C1612" s="4"/>
    </row>
    <row r="1613" spans="3:3">
      <c r="C1613" s="4"/>
    </row>
    <row r="1614" spans="3:3">
      <c r="C1614" s="4"/>
    </row>
    <row r="1615" spans="3:3">
      <c r="C1615" s="4"/>
    </row>
    <row r="1616" spans="3:3">
      <c r="C1616" s="4"/>
    </row>
    <row r="1617" spans="3:3">
      <c r="C1617" s="4"/>
    </row>
    <row r="1618" spans="3:3">
      <c r="C1618" s="4"/>
    </row>
    <row r="1619" spans="3:3">
      <c r="C1619" s="4"/>
    </row>
    <row r="1620" spans="3:3">
      <c r="C1620" s="4"/>
    </row>
    <row r="1621" spans="3:3">
      <c r="C1621" s="4"/>
    </row>
    <row r="1622" spans="3:3">
      <c r="C1622" s="4"/>
    </row>
    <row r="1623" spans="3:3">
      <c r="C1623" s="4"/>
    </row>
    <row r="1624" spans="3:3">
      <c r="C1624" s="4"/>
    </row>
    <row r="1625" spans="3:3">
      <c r="C1625" s="4"/>
    </row>
    <row r="1626" spans="3:3">
      <c r="C1626" s="4"/>
    </row>
    <row r="1627" spans="3:3">
      <c r="C1627" s="4"/>
    </row>
    <row r="1628" spans="3:3">
      <c r="C1628" s="4"/>
    </row>
    <row r="1629" spans="3:3">
      <c r="C1629" s="4"/>
    </row>
    <row r="1630" spans="3:3">
      <c r="C1630" s="4"/>
    </row>
    <row r="1631" spans="3:3">
      <c r="C1631" s="4"/>
    </row>
    <row r="1632" spans="3:3">
      <c r="C1632" s="4"/>
    </row>
    <row r="1633" spans="3:3">
      <c r="C1633" s="4"/>
    </row>
    <row r="1634" spans="3:3">
      <c r="C1634" s="4"/>
    </row>
    <row r="1635" spans="3:3">
      <c r="C1635" s="4"/>
    </row>
    <row r="1636" spans="3:3">
      <c r="C1636" s="4"/>
    </row>
    <row r="1637" spans="3:3">
      <c r="C1637" s="4"/>
    </row>
    <row r="1638" spans="3:3">
      <c r="C1638" s="4"/>
    </row>
    <row r="1639" spans="3:3">
      <c r="C1639" s="4"/>
    </row>
    <row r="1640" spans="3:3">
      <c r="C1640" s="4"/>
    </row>
    <row r="1641" spans="3:3">
      <c r="C1641" s="4"/>
    </row>
    <row r="1642" spans="3:3">
      <c r="C1642" s="4"/>
    </row>
    <row r="1643" spans="3:3">
      <c r="C1643" s="4"/>
    </row>
    <row r="1644" spans="3:3">
      <c r="C1644" s="4"/>
    </row>
    <row r="1645" spans="3:3">
      <c r="C1645" s="4"/>
    </row>
    <row r="1646" spans="3:3">
      <c r="C1646" s="4"/>
    </row>
    <row r="1647" spans="3:3">
      <c r="C1647" s="4"/>
    </row>
    <row r="1648" spans="3:3">
      <c r="C1648" s="4"/>
    </row>
    <row r="1649" spans="3:3">
      <c r="C1649" s="4"/>
    </row>
    <row r="1650" spans="3:3">
      <c r="C1650" s="4"/>
    </row>
    <row r="1651" spans="3:3">
      <c r="C1651" s="4"/>
    </row>
    <row r="1652" spans="3:3">
      <c r="C1652" s="4"/>
    </row>
    <row r="1653" spans="3:3">
      <c r="C1653" s="4"/>
    </row>
    <row r="1654" spans="3:3">
      <c r="C1654" s="4"/>
    </row>
    <row r="1655" spans="3:3">
      <c r="C1655" s="4"/>
    </row>
    <row r="1656" spans="3:3">
      <c r="C1656" s="4"/>
    </row>
    <row r="1657" spans="3:3">
      <c r="C1657" s="4"/>
    </row>
    <row r="1658" spans="3:3">
      <c r="C1658" s="4"/>
    </row>
    <row r="1659" spans="3:3">
      <c r="C1659" s="4"/>
    </row>
    <row r="1660" spans="3:3">
      <c r="C1660" s="4"/>
    </row>
    <row r="1661" spans="3:3">
      <c r="C1661" s="4"/>
    </row>
    <row r="1662" spans="3:3">
      <c r="C1662" s="4"/>
    </row>
    <row r="1663" spans="3:3">
      <c r="C1663" s="4"/>
    </row>
    <row r="1664" spans="3:3">
      <c r="C1664" s="4"/>
    </row>
    <row r="1665" spans="3:3">
      <c r="C1665" s="4"/>
    </row>
    <row r="1666" spans="3:3">
      <c r="C1666" s="4"/>
    </row>
    <row r="1667" spans="3:3">
      <c r="C1667" s="4"/>
    </row>
    <row r="1668" spans="3:3">
      <c r="C1668" s="4"/>
    </row>
    <row r="1669" spans="3:3">
      <c r="C1669" s="4"/>
    </row>
    <row r="1670" spans="3:3">
      <c r="C1670" s="4"/>
    </row>
    <row r="1671" spans="3:3">
      <c r="C1671" s="4"/>
    </row>
    <row r="1672" spans="3:3">
      <c r="C1672" s="4"/>
    </row>
    <row r="1673" spans="3:3">
      <c r="C1673" s="4"/>
    </row>
    <row r="1674" spans="3:3">
      <c r="C1674" s="4"/>
    </row>
    <row r="1675" spans="3:3">
      <c r="C1675" s="4"/>
    </row>
    <row r="1676" spans="3:3">
      <c r="C1676" s="4"/>
    </row>
    <row r="1677" spans="3:3">
      <c r="C1677" s="4"/>
    </row>
    <row r="1678" spans="3:3">
      <c r="C1678" s="4"/>
    </row>
    <row r="1679" spans="3:3">
      <c r="C1679" s="4"/>
    </row>
    <row r="1680" spans="3:3">
      <c r="C1680" s="4"/>
    </row>
    <row r="1681" spans="3:3">
      <c r="C1681" s="4"/>
    </row>
    <row r="1682" spans="3:3">
      <c r="C1682" s="4"/>
    </row>
    <row r="1683" spans="3:3">
      <c r="C1683" s="4"/>
    </row>
    <row r="1684" spans="3:3">
      <c r="C1684" s="4"/>
    </row>
    <row r="1685" spans="3:3">
      <c r="C1685" s="4"/>
    </row>
    <row r="1686" spans="3:3">
      <c r="C1686" s="4"/>
    </row>
    <row r="1687" spans="3:3">
      <c r="C1687" s="4"/>
    </row>
    <row r="1688" spans="3:3">
      <c r="C1688" s="4"/>
    </row>
    <row r="1689" spans="3:3">
      <c r="C1689" s="4"/>
    </row>
    <row r="1690" spans="3:3">
      <c r="C1690" s="4"/>
    </row>
    <row r="1691" spans="3:3">
      <c r="C1691" s="4"/>
    </row>
    <row r="1692" spans="3:3">
      <c r="C1692" s="4"/>
    </row>
    <row r="1693" spans="3:3">
      <c r="C1693" s="4"/>
    </row>
    <row r="1694" spans="3:3">
      <c r="C1694" s="4"/>
    </row>
    <row r="1695" spans="3:3">
      <c r="C1695" s="4"/>
    </row>
    <row r="1696" spans="3:3">
      <c r="C1696" s="4"/>
    </row>
    <row r="1697" spans="3:3">
      <c r="C1697" s="4"/>
    </row>
    <row r="1698" spans="3:3">
      <c r="C1698" s="4"/>
    </row>
    <row r="1699" spans="3:3">
      <c r="C1699" s="4"/>
    </row>
    <row r="1700" spans="3:3">
      <c r="C1700" s="4"/>
    </row>
    <row r="1701" spans="3:3">
      <c r="C1701" s="4"/>
    </row>
    <row r="1702" spans="3:3">
      <c r="C1702" s="4"/>
    </row>
    <row r="1703" spans="3:3">
      <c r="C1703" s="4"/>
    </row>
    <row r="1704" spans="3:3">
      <c r="C1704" s="4"/>
    </row>
    <row r="1705" spans="3:3">
      <c r="C1705" s="4"/>
    </row>
    <row r="1706" spans="3:3">
      <c r="C1706" s="4"/>
    </row>
    <row r="1707" spans="3:3">
      <c r="C1707" s="4"/>
    </row>
    <row r="1708" spans="3:3">
      <c r="C1708" s="4"/>
    </row>
    <row r="1709" spans="3:3">
      <c r="C1709" s="4"/>
    </row>
    <row r="1710" spans="3:3">
      <c r="C1710" s="4"/>
    </row>
    <row r="1711" spans="3:3">
      <c r="C1711" s="4"/>
    </row>
    <row r="1712" spans="3:3">
      <c r="C1712" s="4"/>
    </row>
    <row r="1713" spans="3:3">
      <c r="C1713" s="4"/>
    </row>
    <row r="1714" spans="3:3">
      <c r="C1714" s="4"/>
    </row>
    <row r="1715" spans="3:3">
      <c r="C1715" s="4"/>
    </row>
    <row r="1716" spans="3:3">
      <c r="C1716" s="4"/>
    </row>
    <row r="1717" spans="3:3">
      <c r="C1717" s="4"/>
    </row>
    <row r="1718" spans="3:3">
      <c r="C1718" s="4"/>
    </row>
    <row r="1719" spans="3:3">
      <c r="C1719" s="4"/>
    </row>
    <row r="1720" spans="3:3">
      <c r="C1720" s="4"/>
    </row>
    <row r="1721" spans="3:3">
      <c r="C1721" s="4"/>
    </row>
    <row r="1722" spans="3:3">
      <c r="C1722" s="4"/>
    </row>
    <row r="1723" spans="3:3">
      <c r="C1723" s="4"/>
    </row>
    <row r="1724" spans="3:3">
      <c r="C1724" s="4"/>
    </row>
    <row r="1725" spans="3:3">
      <c r="C1725" s="4"/>
    </row>
    <row r="1726" spans="3:3">
      <c r="C1726" s="4"/>
    </row>
    <row r="1727" spans="3:3">
      <c r="C1727" s="4"/>
    </row>
    <row r="1728" spans="3:3">
      <c r="C1728" s="4"/>
    </row>
    <row r="1729" spans="3:3">
      <c r="C1729" s="4"/>
    </row>
    <row r="1730" spans="3:3">
      <c r="C1730" s="4"/>
    </row>
    <row r="1731" spans="3:3">
      <c r="C1731" s="4"/>
    </row>
    <row r="1732" spans="3:3">
      <c r="C1732" s="4"/>
    </row>
    <row r="1733" spans="3:3">
      <c r="C1733" s="4"/>
    </row>
    <row r="1734" spans="3:3">
      <c r="C1734" s="4"/>
    </row>
    <row r="1735" spans="3:3">
      <c r="C1735" s="4"/>
    </row>
    <row r="1736" spans="3:3">
      <c r="C1736" s="4"/>
    </row>
    <row r="1737" spans="3:3">
      <c r="C1737" s="4"/>
    </row>
    <row r="1738" spans="3:3">
      <c r="C1738" s="4"/>
    </row>
    <row r="1739" spans="3:3">
      <c r="C1739" s="4"/>
    </row>
    <row r="1740" spans="3:3">
      <c r="C1740" s="4"/>
    </row>
    <row r="1741" spans="3:3">
      <c r="C1741" s="4"/>
    </row>
    <row r="1742" spans="3:3">
      <c r="C1742" s="4"/>
    </row>
    <row r="1743" spans="3:3">
      <c r="C1743" s="4"/>
    </row>
    <row r="1744" spans="3:3">
      <c r="C1744" s="4"/>
    </row>
    <row r="1745" spans="3:3">
      <c r="C1745" s="4"/>
    </row>
    <row r="1746" spans="3:3">
      <c r="C1746" s="4"/>
    </row>
    <row r="1747" spans="3:3">
      <c r="C1747" s="4"/>
    </row>
    <row r="1748" spans="3:3">
      <c r="C1748" s="4"/>
    </row>
    <row r="1749" spans="3:3">
      <c r="C1749" s="4"/>
    </row>
    <row r="1750" spans="3:3">
      <c r="C1750" s="4"/>
    </row>
    <row r="1751" spans="3:3">
      <c r="C1751" s="4"/>
    </row>
    <row r="1752" spans="3:3">
      <c r="C1752" s="4"/>
    </row>
    <row r="1753" spans="3:3">
      <c r="C1753" s="4"/>
    </row>
    <row r="1754" spans="3:3">
      <c r="C1754" s="4"/>
    </row>
    <row r="1755" spans="3:3">
      <c r="C1755" s="4"/>
    </row>
    <row r="1756" spans="3:3">
      <c r="C1756" s="4"/>
    </row>
    <row r="1757" spans="3:3">
      <c r="C1757" s="4"/>
    </row>
    <row r="1758" spans="3:3">
      <c r="C1758" s="4"/>
    </row>
    <row r="1759" spans="3:3">
      <c r="C1759" s="4"/>
    </row>
    <row r="1760" spans="3:3">
      <c r="C1760" s="4"/>
    </row>
    <row r="1761" spans="3:3">
      <c r="C1761" s="4"/>
    </row>
    <row r="1762" spans="3:3">
      <c r="C1762" s="4"/>
    </row>
    <row r="1763" spans="3:3">
      <c r="C1763" s="4"/>
    </row>
    <row r="1764" spans="3:3">
      <c r="C1764" s="4"/>
    </row>
    <row r="1765" spans="3:3">
      <c r="C1765" s="4"/>
    </row>
    <row r="1766" spans="3:3">
      <c r="C1766" s="4"/>
    </row>
    <row r="1767" spans="3:3">
      <c r="C1767" s="4"/>
    </row>
    <row r="1768" spans="3:3">
      <c r="C1768" s="4"/>
    </row>
    <row r="1769" spans="3:3">
      <c r="C1769" s="4"/>
    </row>
    <row r="1770" spans="3:3">
      <c r="C1770" s="4"/>
    </row>
    <row r="1771" spans="3:3">
      <c r="C1771" s="4"/>
    </row>
    <row r="1772" spans="3:3">
      <c r="C1772" s="4"/>
    </row>
    <row r="1773" spans="3:3">
      <c r="C1773" s="4"/>
    </row>
    <row r="1774" spans="3:3">
      <c r="C1774" s="4"/>
    </row>
    <row r="1775" spans="3:3">
      <c r="C1775" s="4"/>
    </row>
    <row r="1776" spans="3:3">
      <c r="C1776" s="4"/>
    </row>
    <row r="1777" spans="3:3">
      <c r="C1777" s="4"/>
    </row>
    <row r="1778" spans="3:3">
      <c r="C1778" s="4"/>
    </row>
    <row r="1779" spans="3:3">
      <c r="C1779" s="4"/>
    </row>
    <row r="1780" spans="3:3">
      <c r="C1780" s="4"/>
    </row>
    <row r="1781" spans="3:3">
      <c r="C1781" s="4"/>
    </row>
    <row r="1782" spans="3:3">
      <c r="C1782" s="4"/>
    </row>
    <row r="1783" spans="3:3">
      <c r="C1783" s="4"/>
    </row>
    <row r="1784" spans="3:3">
      <c r="C1784" s="4"/>
    </row>
    <row r="1785" spans="3:3">
      <c r="C1785" s="4"/>
    </row>
    <row r="1786" spans="3:3">
      <c r="C1786" s="4"/>
    </row>
    <row r="1787" spans="3:3">
      <c r="C1787" s="4"/>
    </row>
    <row r="1788" spans="3:3">
      <c r="C1788" s="4"/>
    </row>
    <row r="1789" spans="3:3">
      <c r="C1789" s="4"/>
    </row>
    <row r="1790" spans="3:3">
      <c r="C1790" s="4"/>
    </row>
    <row r="1791" spans="3:3">
      <c r="C1791" s="4"/>
    </row>
    <row r="1792" spans="3:3">
      <c r="C1792" s="4"/>
    </row>
    <row r="1793" spans="3:3">
      <c r="C1793" s="4"/>
    </row>
    <row r="1794" spans="3:3">
      <c r="C1794" s="4"/>
    </row>
    <row r="1795" spans="3:3">
      <c r="C1795" s="4"/>
    </row>
    <row r="1796" spans="3:3">
      <c r="C1796" s="4"/>
    </row>
    <row r="1797" spans="3:3">
      <c r="C1797" s="4"/>
    </row>
    <row r="1798" spans="3:3">
      <c r="C1798" s="4"/>
    </row>
    <row r="1799" spans="3:3">
      <c r="C1799" s="4"/>
    </row>
    <row r="1800" spans="3:3">
      <c r="C1800" s="4"/>
    </row>
    <row r="1801" spans="3:3">
      <c r="C1801" s="4"/>
    </row>
    <row r="1802" spans="3:3">
      <c r="C1802" s="4"/>
    </row>
    <row r="1803" spans="3:3">
      <c r="C1803" s="4"/>
    </row>
    <row r="1804" spans="3:3">
      <c r="C1804" s="4"/>
    </row>
    <row r="1805" spans="3:3">
      <c r="C1805" s="4"/>
    </row>
    <row r="1806" spans="3:3">
      <c r="C1806" s="4"/>
    </row>
    <row r="1807" spans="3:3">
      <c r="C1807" s="4"/>
    </row>
    <row r="1808" spans="3:3">
      <c r="C1808" s="4"/>
    </row>
    <row r="1809" spans="3:3">
      <c r="C1809" s="4"/>
    </row>
    <row r="1810" spans="3:3">
      <c r="C1810" s="4"/>
    </row>
    <row r="1811" spans="3:3">
      <c r="C1811" s="4"/>
    </row>
    <row r="1812" spans="3:3">
      <c r="C1812" s="4"/>
    </row>
    <row r="1813" spans="3:3">
      <c r="C1813" s="4"/>
    </row>
    <row r="1814" spans="3:3">
      <c r="C1814" s="4"/>
    </row>
    <row r="1815" spans="3:3">
      <c r="C1815" s="4"/>
    </row>
    <row r="1816" spans="3:3">
      <c r="C1816" s="4"/>
    </row>
    <row r="1817" spans="3:3">
      <c r="C1817" s="4"/>
    </row>
    <row r="1818" spans="3:3">
      <c r="C1818" s="4"/>
    </row>
    <row r="1819" spans="3:3">
      <c r="C1819" s="4"/>
    </row>
    <row r="1820" spans="3:3">
      <c r="C1820" s="4"/>
    </row>
    <row r="1821" spans="3:3">
      <c r="C1821" s="4"/>
    </row>
    <row r="1822" spans="3:3">
      <c r="C1822" s="4"/>
    </row>
    <row r="1823" spans="3:3">
      <c r="C1823" s="4"/>
    </row>
    <row r="1824" spans="3:3">
      <c r="C1824" s="4"/>
    </row>
    <row r="1825" spans="3:3">
      <c r="C1825" s="4"/>
    </row>
    <row r="1826" spans="3:3">
      <c r="C1826" s="4"/>
    </row>
    <row r="1827" spans="3:3">
      <c r="C1827" s="4"/>
    </row>
    <row r="1828" spans="3:3">
      <c r="C1828" s="4"/>
    </row>
  </sheetData>
  <mergeCells count="1768">
    <mergeCell ref="AN183:AN184"/>
    <mergeCell ref="AN185:AN186"/>
    <mergeCell ref="AP183:AP184"/>
    <mergeCell ref="AP185:AP186"/>
    <mergeCell ref="K283:K284"/>
    <mergeCell ref="L283:L284"/>
    <mergeCell ref="M283:M284"/>
    <mergeCell ref="AN235:AN236"/>
    <mergeCell ref="AP235:AP236"/>
    <mergeCell ref="AN283:AN284"/>
    <mergeCell ref="AP283:AP284"/>
    <mergeCell ref="AN176:AN177"/>
    <mergeCell ref="AP93:AP94"/>
    <mergeCell ref="AP176:AP177"/>
    <mergeCell ref="K183:K184"/>
    <mergeCell ref="L183:L184"/>
    <mergeCell ref="M183:M184"/>
    <mergeCell ref="K185:K186"/>
    <mergeCell ref="L185:L186"/>
    <mergeCell ref="M185:M186"/>
    <mergeCell ref="Z125:AB125"/>
    <mergeCell ref="Z126:AB126"/>
    <mergeCell ref="Z127:AB127"/>
    <mergeCell ref="Z128:AB128"/>
    <mergeCell ref="Z129:AB129"/>
    <mergeCell ref="Z130:AB130"/>
    <mergeCell ref="Z131:AB131"/>
    <mergeCell ref="Z132:AB132"/>
    <mergeCell ref="AK123:AK132"/>
    <mergeCell ref="AL123:AL132"/>
    <mergeCell ref="AO123:AO132"/>
    <mergeCell ref="Z122:AB122"/>
    <mergeCell ref="L235:L236"/>
    <mergeCell ref="M235:M236"/>
    <mergeCell ref="Z663:AB663"/>
    <mergeCell ref="AG663:AG672"/>
    <mergeCell ref="AH663:AH672"/>
    <mergeCell ref="AJ663:AJ672"/>
    <mergeCell ref="AK663:AK672"/>
    <mergeCell ref="AL663:AL672"/>
    <mergeCell ref="AM663:AM672"/>
    <mergeCell ref="AO663:AO672"/>
    <mergeCell ref="AQ663:AQ672"/>
    <mergeCell ref="AR663:AR672"/>
    <mergeCell ref="Z657:AB657"/>
    <mergeCell ref="Z658:AB658"/>
    <mergeCell ref="Z659:AB659"/>
    <mergeCell ref="Z660:AB660"/>
    <mergeCell ref="Z661:AB661"/>
    <mergeCell ref="Z662:AB662"/>
    <mergeCell ref="Z643:AB643"/>
    <mergeCell ref="AG643:AG652"/>
    <mergeCell ref="AH643:AH652"/>
    <mergeCell ref="AJ643:AJ652"/>
    <mergeCell ref="AK643:AK652"/>
    <mergeCell ref="AL643:AL652"/>
    <mergeCell ref="AM643:AM652"/>
    <mergeCell ref="AO643:AO652"/>
    <mergeCell ref="AQ643:AQ652"/>
    <mergeCell ref="AR643:AR652"/>
    <mergeCell ref="Z637:AB637"/>
    <mergeCell ref="Z638:AB638"/>
    <mergeCell ref="Z639:AB639"/>
    <mergeCell ref="Z640:AB640"/>
    <mergeCell ref="AS663:AS672"/>
    <mergeCell ref="AU663:AU672"/>
    <mergeCell ref="AV663:AV672"/>
    <mergeCell ref="AW663:AW672"/>
    <mergeCell ref="AX663:AX672"/>
    <mergeCell ref="Z664:AB664"/>
    <mergeCell ref="Z665:AB665"/>
    <mergeCell ref="Z666:AB666"/>
    <mergeCell ref="Z667:AB667"/>
    <mergeCell ref="Z668:AB668"/>
    <mergeCell ref="Z669:AB669"/>
    <mergeCell ref="Z670:AB670"/>
    <mergeCell ref="Z671:AB671"/>
    <mergeCell ref="Z672:AB672"/>
    <mergeCell ref="Z653:AB653"/>
    <mergeCell ref="AG653:AG662"/>
    <mergeCell ref="AH653:AH662"/>
    <mergeCell ref="AJ653:AJ662"/>
    <mergeCell ref="AK653:AK662"/>
    <mergeCell ref="AL653:AL662"/>
    <mergeCell ref="AM653:AM662"/>
    <mergeCell ref="AO653:AO662"/>
    <mergeCell ref="AQ653:AQ662"/>
    <mergeCell ref="AR653:AR662"/>
    <mergeCell ref="AS653:AS662"/>
    <mergeCell ref="AU653:AU662"/>
    <mergeCell ref="AV653:AV662"/>
    <mergeCell ref="AW653:AW662"/>
    <mergeCell ref="AX653:AX662"/>
    <mergeCell ref="Z654:AB654"/>
    <mergeCell ref="Z655:AB655"/>
    <mergeCell ref="Z656:AB656"/>
    <mergeCell ref="AS643:AS652"/>
    <mergeCell ref="AU643:AU652"/>
    <mergeCell ref="AV643:AV652"/>
    <mergeCell ref="AW643:AW652"/>
    <mergeCell ref="AX643:AX652"/>
    <mergeCell ref="Z644:AB644"/>
    <mergeCell ref="Z645:AB645"/>
    <mergeCell ref="Z646:AB646"/>
    <mergeCell ref="Z647:AB647"/>
    <mergeCell ref="Z648:AB648"/>
    <mergeCell ref="Z649:AB649"/>
    <mergeCell ref="Z650:AB650"/>
    <mergeCell ref="Z651:AB651"/>
    <mergeCell ref="Z652:AB652"/>
    <mergeCell ref="Z633:AB633"/>
    <mergeCell ref="AG633:AG642"/>
    <mergeCell ref="AH633:AH642"/>
    <mergeCell ref="AJ633:AJ642"/>
    <mergeCell ref="AK633:AK642"/>
    <mergeCell ref="AL633:AL642"/>
    <mergeCell ref="AM633:AM642"/>
    <mergeCell ref="AO633:AO642"/>
    <mergeCell ref="AQ633:AQ642"/>
    <mergeCell ref="AR633:AR642"/>
    <mergeCell ref="AS633:AS642"/>
    <mergeCell ref="AU633:AU642"/>
    <mergeCell ref="AV633:AV642"/>
    <mergeCell ref="AW633:AW642"/>
    <mergeCell ref="AX633:AX642"/>
    <mergeCell ref="Z634:AB634"/>
    <mergeCell ref="Z635:AB635"/>
    <mergeCell ref="Z636:AB636"/>
    <mergeCell ref="Z641:AB641"/>
    <mergeCell ref="Z642:AB642"/>
    <mergeCell ref="Z623:AB623"/>
    <mergeCell ref="AG623:AG632"/>
    <mergeCell ref="AH623:AH632"/>
    <mergeCell ref="AJ623:AJ632"/>
    <mergeCell ref="AK623:AK632"/>
    <mergeCell ref="AL623:AL632"/>
    <mergeCell ref="AM623:AM632"/>
    <mergeCell ref="AO623:AO632"/>
    <mergeCell ref="AQ623:AQ632"/>
    <mergeCell ref="AR623:AR632"/>
    <mergeCell ref="AS623:AS632"/>
    <mergeCell ref="AU623:AU632"/>
    <mergeCell ref="AV623:AV632"/>
    <mergeCell ref="AW623:AW632"/>
    <mergeCell ref="AX623:AX632"/>
    <mergeCell ref="Z624:AB624"/>
    <mergeCell ref="Z625:AB625"/>
    <mergeCell ref="Z626:AB626"/>
    <mergeCell ref="Z627:AB627"/>
    <mergeCell ref="Z628:AB628"/>
    <mergeCell ref="Z629:AB629"/>
    <mergeCell ref="Z630:AB630"/>
    <mergeCell ref="Z631:AB631"/>
    <mergeCell ref="Z632:AB632"/>
    <mergeCell ref="Z613:AB613"/>
    <mergeCell ref="AG613:AG622"/>
    <mergeCell ref="AH613:AH622"/>
    <mergeCell ref="AJ613:AJ622"/>
    <mergeCell ref="AK613:AK622"/>
    <mergeCell ref="AL613:AL622"/>
    <mergeCell ref="AM613:AM622"/>
    <mergeCell ref="AO613:AO622"/>
    <mergeCell ref="AQ613:AQ622"/>
    <mergeCell ref="AR613:AR622"/>
    <mergeCell ref="AS613:AS622"/>
    <mergeCell ref="AU613:AU622"/>
    <mergeCell ref="AV613:AV622"/>
    <mergeCell ref="AW613:AW622"/>
    <mergeCell ref="AX613:AX622"/>
    <mergeCell ref="Z614:AB614"/>
    <mergeCell ref="Z615:AB615"/>
    <mergeCell ref="Z616:AB616"/>
    <mergeCell ref="Z617:AB617"/>
    <mergeCell ref="Z618:AB618"/>
    <mergeCell ref="Z619:AB619"/>
    <mergeCell ref="Z620:AB620"/>
    <mergeCell ref="Z621:AB621"/>
    <mergeCell ref="Z622:AB622"/>
    <mergeCell ref="AO603:AO612"/>
    <mergeCell ref="AQ603:AQ612"/>
    <mergeCell ref="AR603:AR612"/>
    <mergeCell ref="AS603:AS612"/>
    <mergeCell ref="AU603:AU612"/>
    <mergeCell ref="AV603:AV612"/>
    <mergeCell ref="AW603:AW612"/>
    <mergeCell ref="AX603:AX612"/>
    <mergeCell ref="Z604:AB604"/>
    <mergeCell ref="Z605:AB605"/>
    <mergeCell ref="Z606:AB606"/>
    <mergeCell ref="Z607:AB607"/>
    <mergeCell ref="Z608:AB608"/>
    <mergeCell ref="Z609:AB609"/>
    <mergeCell ref="Z610:AB610"/>
    <mergeCell ref="Z611:AB611"/>
    <mergeCell ref="Z612:AB612"/>
    <mergeCell ref="AQ583:AQ592"/>
    <mergeCell ref="AR583:AR592"/>
    <mergeCell ref="AS583:AS592"/>
    <mergeCell ref="AU583:AU592"/>
    <mergeCell ref="AV583:AV592"/>
    <mergeCell ref="AW583:AW592"/>
    <mergeCell ref="AX583:AX592"/>
    <mergeCell ref="Z584:AB584"/>
    <mergeCell ref="Z585:AB585"/>
    <mergeCell ref="Z586:AB586"/>
    <mergeCell ref="Z587:AB587"/>
    <mergeCell ref="Z588:AB588"/>
    <mergeCell ref="Z589:AB589"/>
    <mergeCell ref="Z590:AB590"/>
    <mergeCell ref="Z591:AB591"/>
    <mergeCell ref="Z592:AB592"/>
    <mergeCell ref="Z593:AB593"/>
    <mergeCell ref="AG593:AG602"/>
    <mergeCell ref="AH593:AH602"/>
    <mergeCell ref="AJ593:AJ602"/>
    <mergeCell ref="AK593:AK602"/>
    <mergeCell ref="AL593:AL602"/>
    <mergeCell ref="AM593:AM602"/>
    <mergeCell ref="AO593:AO602"/>
    <mergeCell ref="AQ593:AQ602"/>
    <mergeCell ref="AR593:AR602"/>
    <mergeCell ref="AS593:AS602"/>
    <mergeCell ref="AU593:AU602"/>
    <mergeCell ref="AV593:AV602"/>
    <mergeCell ref="AW593:AW602"/>
    <mergeCell ref="AX593:AX602"/>
    <mergeCell ref="Z594:AB594"/>
    <mergeCell ref="B583:B592"/>
    <mergeCell ref="B593:B602"/>
    <mergeCell ref="B603:B612"/>
    <mergeCell ref="B613:B622"/>
    <mergeCell ref="B623:B632"/>
    <mergeCell ref="B633:B642"/>
    <mergeCell ref="B643:B652"/>
    <mergeCell ref="B653:B662"/>
    <mergeCell ref="B663:B672"/>
    <mergeCell ref="Z583:AB583"/>
    <mergeCell ref="AG583:AG592"/>
    <mergeCell ref="AH583:AH592"/>
    <mergeCell ref="AJ583:AJ592"/>
    <mergeCell ref="AK583:AK592"/>
    <mergeCell ref="AL583:AL592"/>
    <mergeCell ref="AM583:AM592"/>
    <mergeCell ref="AO583:AO592"/>
    <mergeCell ref="Z595:AB595"/>
    <mergeCell ref="Z596:AB596"/>
    <mergeCell ref="Z597:AB597"/>
    <mergeCell ref="Z598:AB598"/>
    <mergeCell ref="Z599:AB599"/>
    <mergeCell ref="Z600:AB600"/>
    <mergeCell ref="Z601:AB601"/>
    <mergeCell ref="Z602:AB602"/>
    <mergeCell ref="Z603:AB603"/>
    <mergeCell ref="AG603:AG612"/>
    <mergeCell ref="AH603:AH612"/>
    <mergeCell ref="AJ603:AJ612"/>
    <mergeCell ref="AK603:AK612"/>
    <mergeCell ref="AL603:AL612"/>
    <mergeCell ref="AM603:AM612"/>
    <mergeCell ref="AR183:AR192"/>
    <mergeCell ref="AS203:AS212"/>
    <mergeCell ref="AS173:AS182"/>
    <mergeCell ref="AS153:AS162"/>
    <mergeCell ref="AS143:AS152"/>
    <mergeCell ref="AS163:AS172"/>
    <mergeCell ref="AO183:AO192"/>
    <mergeCell ref="AQ183:AQ192"/>
    <mergeCell ref="AH183:AH192"/>
    <mergeCell ref="Z184:AB184"/>
    <mergeCell ref="Z188:AB188"/>
    <mergeCell ref="Z189:AB189"/>
    <mergeCell ref="Z190:AB190"/>
    <mergeCell ref="Z191:AB191"/>
    <mergeCell ref="Z192:AB192"/>
    <mergeCell ref="AM153:AM162"/>
    <mergeCell ref="Z179:AB179"/>
    <mergeCell ref="Z180:AB180"/>
    <mergeCell ref="Z181:AB181"/>
    <mergeCell ref="Z168:AB168"/>
    <mergeCell ref="Z169:AB169"/>
    <mergeCell ref="Z170:AB170"/>
    <mergeCell ref="Z156:AB156"/>
    <mergeCell ref="Z157:AB157"/>
    <mergeCell ref="Z158:AB158"/>
    <mergeCell ref="AQ163:AQ172"/>
    <mergeCell ref="AR163:AR172"/>
    <mergeCell ref="AQ173:AQ182"/>
    <mergeCell ref="AR173:AR182"/>
    <mergeCell ref="AS183:AS192"/>
    <mergeCell ref="AR153:AR162"/>
    <mergeCell ref="AM193:AM202"/>
    <mergeCell ref="AU543:AU552"/>
    <mergeCell ref="AV543:AV552"/>
    <mergeCell ref="AW543:AW552"/>
    <mergeCell ref="Z573:AB573"/>
    <mergeCell ref="AG573:AG582"/>
    <mergeCell ref="AH573:AH582"/>
    <mergeCell ref="AJ573:AJ582"/>
    <mergeCell ref="AK573:AK582"/>
    <mergeCell ref="AL573:AL582"/>
    <mergeCell ref="AM573:AM582"/>
    <mergeCell ref="AO573:AO582"/>
    <mergeCell ref="AQ573:AQ582"/>
    <mergeCell ref="AR573:AR582"/>
    <mergeCell ref="AS573:AS582"/>
    <mergeCell ref="AU573:AU582"/>
    <mergeCell ref="AV573:AV582"/>
    <mergeCell ref="AW573:AW582"/>
    <mergeCell ref="Z571:AB571"/>
    <mergeCell ref="Z572:AB572"/>
    <mergeCell ref="AX573:AX582"/>
    <mergeCell ref="Z574:AB574"/>
    <mergeCell ref="Z575:AB575"/>
    <mergeCell ref="Z576:AB576"/>
    <mergeCell ref="Z577:AB577"/>
    <mergeCell ref="Z578:AB578"/>
    <mergeCell ref="Z579:AB579"/>
    <mergeCell ref="Z580:AB580"/>
    <mergeCell ref="Z581:AB581"/>
    <mergeCell ref="Z582:AB582"/>
    <mergeCell ref="Z563:AB563"/>
    <mergeCell ref="AG563:AG572"/>
    <mergeCell ref="AH563:AH572"/>
    <mergeCell ref="AJ563:AJ572"/>
    <mergeCell ref="AK563:AK572"/>
    <mergeCell ref="AL563:AL572"/>
    <mergeCell ref="AM563:AM572"/>
    <mergeCell ref="AO563:AO572"/>
    <mergeCell ref="AQ563:AQ572"/>
    <mergeCell ref="AR563:AR572"/>
    <mergeCell ref="AS563:AS572"/>
    <mergeCell ref="AU563:AU572"/>
    <mergeCell ref="AV563:AV572"/>
    <mergeCell ref="AW563:AW572"/>
    <mergeCell ref="AX563:AX572"/>
    <mergeCell ref="Z564:AB564"/>
    <mergeCell ref="Z565:AB565"/>
    <mergeCell ref="AX543:AX552"/>
    <mergeCell ref="Z566:AB566"/>
    <mergeCell ref="Z567:AB567"/>
    <mergeCell ref="Z568:AB568"/>
    <mergeCell ref="Z569:AB569"/>
    <mergeCell ref="Z570:AB570"/>
    <mergeCell ref="B553:B562"/>
    <mergeCell ref="AR543:AR552"/>
    <mergeCell ref="AS543:AS552"/>
    <mergeCell ref="Z537:AB537"/>
    <mergeCell ref="Z538:AB538"/>
    <mergeCell ref="Z539:AB539"/>
    <mergeCell ref="Z540:AB540"/>
    <mergeCell ref="Z541:AB541"/>
    <mergeCell ref="Z542:AB542"/>
    <mergeCell ref="B533:B542"/>
    <mergeCell ref="Z533:AB533"/>
    <mergeCell ref="AG533:AG542"/>
    <mergeCell ref="AH533:AH542"/>
    <mergeCell ref="AJ533:AJ542"/>
    <mergeCell ref="AK533:AK542"/>
    <mergeCell ref="AL533:AL542"/>
    <mergeCell ref="Z544:AB544"/>
    <mergeCell ref="Z545:AB545"/>
    <mergeCell ref="Z546:AB546"/>
    <mergeCell ref="Z547:AB547"/>
    <mergeCell ref="Z548:AB548"/>
    <mergeCell ref="Z549:AB549"/>
    <mergeCell ref="Z550:AB550"/>
    <mergeCell ref="Z551:AB551"/>
    <mergeCell ref="Z552:AB552"/>
    <mergeCell ref="AM533:AM542"/>
    <mergeCell ref="AX553:AX562"/>
    <mergeCell ref="Z554:AB554"/>
    <mergeCell ref="Z555:AB555"/>
    <mergeCell ref="Z556:AB556"/>
    <mergeCell ref="Z557:AB557"/>
    <mergeCell ref="Z558:AB558"/>
    <mergeCell ref="Z559:AB559"/>
    <mergeCell ref="Z560:AB560"/>
    <mergeCell ref="Z561:AB561"/>
    <mergeCell ref="Z562:AB562"/>
    <mergeCell ref="Z553:AB553"/>
    <mergeCell ref="AG553:AG562"/>
    <mergeCell ref="AH553:AH562"/>
    <mergeCell ref="AJ553:AJ562"/>
    <mergeCell ref="AK553:AK562"/>
    <mergeCell ref="AL553:AL562"/>
    <mergeCell ref="AM553:AM562"/>
    <mergeCell ref="AO553:AO562"/>
    <mergeCell ref="AW553:AW562"/>
    <mergeCell ref="AQ553:AQ562"/>
    <mergeCell ref="AR553:AR562"/>
    <mergeCell ref="AS553:AS562"/>
    <mergeCell ref="AU553:AU562"/>
    <mergeCell ref="AV553:AV562"/>
    <mergeCell ref="B523:B532"/>
    <mergeCell ref="Z523:AB523"/>
    <mergeCell ref="AG523:AG532"/>
    <mergeCell ref="AH523:AH532"/>
    <mergeCell ref="AJ523:AJ532"/>
    <mergeCell ref="AK523:AK532"/>
    <mergeCell ref="AL523:AL532"/>
    <mergeCell ref="AM523:AM532"/>
    <mergeCell ref="AO523:AO532"/>
    <mergeCell ref="AQ533:AQ542"/>
    <mergeCell ref="AR533:AR542"/>
    <mergeCell ref="AS533:AS542"/>
    <mergeCell ref="B543:B552"/>
    <mergeCell ref="Z543:AB543"/>
    <mergeCell ref="AG543:AG552"/>
    <mergeCell ref="AH543:AH552"/>
    <mergeCell ref="AJ543:AJ552"/>
    <mergeCell ref="AK543:AK552"/>
    <mergeCell ref="AL543:AL552"/>
    <mergeCell ref="AM543:AM552"/>
    <mergeCell ref="AO543:AO552"/>
    <mergeCell ref="AQ543:AQ552"/>
    <mergeCell ref="AO533:AO542"/>
    <mergeCell ref="AX533:AX542"/>
    <mergeCell ref="Z534:AB534"/>
    <mergeCell ref="Z535:AB535"/>
    <mergeCell ref="Z536:AB536"/>
    <mergeCell ref="AQ523:AQ532"/>
    <mergeCell ref="AR523:AR532"/>
    <mergeCell ref="AS523:AS532"/>
    <mergeCell ref="AX523:AX532"/>
    <mergeCell ref="Z524:AB524"/>
    <mergeCell ref="Z525:AB525"/>
    <mergeCell ref="Z526:AB526"/>
    <mergeCell ref="Z527:AB527"/>
    <mergeCell ref="Z528:AB528"/>
    <mergeCell ref="Z529:AB529"/>
    <mergeCell ref="Z530:AB530"/>
    <mergeCell ref="Z531:AB531"/>
    <mergeCell ref="Z532:AB532"/>
    <mergeCell ref="AU523:AU532"/>
    <mergeCell ref="AV523:AV532"/>
    <mergeCell ref="AW523:AW532"/>
    <mergeCell ref="AU533:AU542"/>
    <mergeCell ref="AV533:AV542"/>
    <mergeCell ref="AW533:AW542"/>
    <mergeCell ref="AS513:AS522"/>
    <mergeCell ref="AU513:AU522"/>
    <mergeCell ref="AV513:AV522"/>
    <mergeCell ref="AW513:AW522"/>
    <mergeCell ref="AX513:AX522"/>
    <mergeCell ref="Z514:AB514"/>
    <mergeCell ref="Z515:AB515"/>
    <mergeCell ref="Z516:AB516"/>
    <mergeCell ref="Z517:AB517"/>
    <mergeCell ref="Z518:AB518"/>
    <mergeCell ref="Z519:AB519"/>
    <mergeCell ref="Z522:AB522"/>
    <mergeCell ref="B513:B522"/>
    <mergeCell ref="Z513:AB513"/>
    <mergeCell ref="AG513:AG522"/>
    <mergeCell ref="AH513:AH522"/>
    <mergeCell ref="AJ513:AJ522"/>
    <mergeCell ref="AK513:AK522"/>
    <mergeCell ref="AL513:AL522"/>
    <mergeCell ref="AM513:AM522"/>
    <mergeCell ref="AO513:AO522"/>
    <mergeCell ref="Z520:AB520"/>
    <mergeCell ref="Z521:AB521"/>
    <mergeCell ref="AQ513:AQ522"/>
    <mergeCell ref="AR513:AR522"/>
    <mergeCell ref="AS503:AS512"/>
    <mergeCell ref="AU503:AU512"/>
    <mergeCell ref="AV503:AV512"/>
    <mergeCell ref="Z495:AB495"/>
    <mergeCell ref="Z496:AB496"/>
    <mergeCell ref="Z497:AB497"/>
    <mergeCell ref="Z498:AB498"/>
    <mergeCell ref="Z499:AB499"/>
    <mergeCell ref="Z500:AB500"/>
    <mergeCell ref="Z501:AB501"/>
    <mergeCell ref="Z502:AB502"/>
    <mergeCell ref="B493:B502"/>
    <mergeCell ref="Z493:AB493"/>
    <mergeCell ref="AG493:AG502"/>
    <mergeCell ref="AH493:AH502"/>
    <mergeCell ref="AJ493:AJ502"/>
    <mergeCell ref="AK493:AK502"/>
    <mergeCell ref="AL493:AL502"/>
    <mergeCell ref="B503:B512"/>
    <mergeCell ref="Z503:AB503"/>
    <mergeCell ref="AG503:AG512"/>
    <mergeCell ref="AH503:AH512"/>
    <mergeCell ref="AJ503:AJ512"/>
    <mergeCell ref="AK503:AK512"/>
    <mergeCell ref="AL503:AL512"/>
    <mergeCell ref="AM503:AM512"/>
    <mergeCell ref="AO503:AO512"/>
    <mergeCell ref="AW503:AW512"/>
    <mergeCell ref="AX503:AX512"/>
    <mergeCell ref="Z504:AB504"/>
    <mergeCell ref="Z505:AB505"/>
    <mergeCell ref="Z506:AB506"/>
    <mergeCell ref="Z507:AB507"/>
    <mergeCell ref="Z508:AB508"/>
    <mergeCell ref="Z509:AB509"/>
    <mergeCell ref="Z510:AB510"/>
    <mergeCell ref="Z511:AB511"/>
    <mergeCell ref="Z512:AB512"/>
    <mergeCell ref="B483:B492"/>
    <mergeCell ref="Z483:AB483"/>
    <mergeCell ref="AG483:AG492"/>
    <mergeCell ref="AH483:AH492"/>
    <mergeCell ref="AJ483:AJ492"/>
    <mergeCell ref="AK483:AK492"/>
    <mergeCell ref="AL483:AL492"/>
    <mergeCell ref="AM483:AM492"/>
    <mergeCell ref="AO483:AO492"/>
    <mergeCell ref="AQ493:AQ502"/>
    <mergeCell ref="AR493:AR502"/>
    <mergeCell ref="AS493:AS502"/>
    <mergeCell ref="AU493:AU502"/>
    <mergeCell ref="AV493:AV502"/>
    <mergeCell ref="AW493:AW502"/>
    <mergeCell ref="AX493:AX502"/>
    <mergeCell ref="Z494:AB494"/>
    <mergeCell ref="AM493:AM502"/>
    <mergeCell ref="AO493:AO502"/>
    <mergeCell ref="AQ503:AQ512"/>
    <mergeCell ref="AR503:AR512"/>
    <mergeCell ref="AM473:AM482"/>
    <mergeCell ref="AO473:AO482"/>
    <mergeCell ref="AQ483:AQ492"/>
    <mergeCell ref="AR483:AR492"/>
    <mergeCell ref="AS483:AS492"/>
    <mergeCell ref="AU483:AU492"/>
    <mergeCell ref="AV483:AV492"/>
    <mergeCell ref="AW483:AW492"/>
    <mergeCell ref="AX483:AX492"/>
    <mergeCell ref="Z484:AB484"/>
    <mergeCell ref="Z485:AB485"/>
    <mergeCell ref="Z486:AB486"/>
    <mergeCell ref="Z487:AB487"/>
    <mergeCell ref="Z488:AB488"/>
    <mergeCell ref="Z489:AB489"/>
    <mergeCell ref="Z490:AB490"/>
    <mergeCell ref="Z491:AB491"/>
    <mergeCell ref="Z492:AB492"/>
    <mergeCell ref="B463:B472"/>
    <mergeCell ref="Z463:AB463"/>
    <mergeCell ref="AG463:AG472"/>
    <mergeCell ref="AH463:AH472"/>
    <mergeCell ref="AJ463:AJ472"/>
    <mergeCell ref="AK463:AK472"/>
    <mergeCell ref="AL463:AL472"/>
    <mergeCell ref="AM463:AM472"/>
    <mergeCell ref="AO463:AO472"/>
    <mergeCell ref="AQ473:AQ482"/>
    <mergeCell ref="AR473:AR482"/>
    <mergeCell ref="AS473:AS482"/>
    <mergeCell ref="AU473:AU482"/>
    <mergeCell ref="AV473:AV482"/>
    <mergeCell ref="AW473:AW482"/>
    <mergeCell ref="AX473:AX482"/>
    <mergeCell ref="Z474:AB474"/>
    <mergeCell ref="Z475:AB475"/>
    <mergeCell ref="Z476:AB476"/>
    <mergeCell ref="Z477:AB477"/>
    <mergeCell ref="Z478:AB478"/>
    <mergeCell ref="Z479:AB479"/>
    <mergeCell ref="Z480:AB480"/>
    <mergeCell ref="Z481:AB481"/>
    <mergeCell ref="Z482:AB482"/>
    <mergeCell ref="B473:B482"/>
    <mergeCell ref="Z473:AB473"/>
    <mergeCell ref="AG473:AG482"/>
    <mergeCell ref="AH473:AH482"/>
    <mergeCell ref="AJ473:AJ482"/>
    <mergeCell ref="AK473:AK482"/>
    <mergeCell ref="AL473:AL482"/>
    <mergeCell ref="AM453:AM462"/>
    <mergeCell ref="AO453:AO462"/>
    <mergeCell ref="AQ463:AQ472"/>
    <mergeCell ref="AR463:AR472"/>
    <mergeCell ref="AS463:AS472"/>
    <mergeCell ref="AU463:AU472"/>
    <mergeCell ref="AV463:AV472"/>
    <mergeCell ref="AW463:AW472"/>
    <mergeCell ref="AX463:AX472"/>
    <mergeCell ref="Z464:AB464"/>
    <mergeCell ref="Z465:AB465"/>
    <mergeCell ref="Z466:AB466"/>
    <mergeCell ref="Z467:AB467"/>
    <mergeCell ref="Z468:AB468"/>
    <mergeCell ref="Z469:AB469"/>
    <mergeCell ref="Z470:AB470"/>
    <mergeCell ref="Z471:AB471"/>
    <mergeCell ref="Z472:AB472"/>
    <mergeCell ref="B443:B452"/>
    <mergeCell ref="Z443:AB443"/>
    <mergeCell ref="AG443:AG452"/>
    <mergeCell ref="AH443:AH452"/>
    <mergeCell ref="AJ443:AJ452"/>
    <mergeCell ref="AK443:AK452"/>
    <mergeCell ref="AL443:AL452"/>
    <mergeCell ref="AM443:AM452"/>
    <mergeCell ref="AO443:AO452"/>
    <mergeCell ref="AQ453:AQ462"/>
    <mergeCell ref="AR453:AR462"/>
    <mergeCell ref="AS453:AS462"/>
    <mergeCell ref="AU453:AU462"/>
    <mergeCell ref="AV453:AV462"/>
    <mergeCell ref="AW453:AW462"/>
    <mergeCell ref="AX453:AX462"/>
    <mergeCell ref="Z454:AB454"/>
    <mergeCell ref="Z455:AB455"/>
    <mergeCell ref="Z456:AB456"/>
    <mergeCell ref="Z457:AB457"/>
    <mergeCell ref="Z458:AB458"/>
    <mergeCell ref="Z459:AB459"/>
    <mergeCell ref="Z460:AB460"/>
    <mergeCell ref="Z461:AB461"/>
    <mergeCell ref="Z462:AB462"/>
    <mergeCell ref="B453:B462"/>
    <mergeCell ref="Z453:AB453"/>
    <mergeCell ref="AG453:AG462"/>
    <mergeCell ref="AH453:AH462"/>
    <mergeCell ref="AJ453:AJ462"/>
    <mergeCell ref="AK453:AK462"/>
    <mergeCell ref="AL453:AL462"/>
    <mergeCell ref="AQ443:AQ452"/>
    <mergeCell ref="AR443:AR452"/>
    <mergeCell ref="AS443:AS452"/>
    <mergeCell ref="AU443:AU452"/>
    <mergeCell ref="AV443:AV452"/>
    <mergeCell ref="AW443:AW452"/>
    <mergeCell ref="AX443:AX452"/>
    <mergeCell ref="Z444:AB444"/>
    <mergeCell ref="Z445:AB445"/>
    <mergeCell ref="Z446:AB446"/>
    <mergeCell ref="Z447:AB447"/>
    <mergeCell ref="Z448:AB448"/>
    <mergeCell ref="Z449:AB449"/>
    <mergeCell ref="Z450:AB450"/>
    <mergeCell ref="Z451:AB451"/>
    <mergeCell ref="Z452:AB452"/>
    <mergeCell ref="AQ433:AQ442"/>
    <mergeCell ref="AR433:AR442"/>
    <mergeCell ref="AS433:AS442"/>
    <mergeCell ref="AU433:AU442"/>
    <mergeCell ref="AV433:AV442"/>
    <mergeCell ref="AW433:AW442"/>
    <mergeCell ref="AX433:AX442"/>
    <mergeCell ref="Z434:AB434"/>
    <mergeCell ref="Z435:AB435"/>
    <mergeCell ref="Z436:AB436"/>
    <mergeCell ref="Z437:AB437"/>
    <mergeCell ref="Z438:AB438"/>
    <mergeCell ref="Z439:AB439"/>
    <mergeCell ref="Z440:AB440"/>
    <mergeCell ref="Z441:AB441"/>
    <mergeCell ref="Z442:AB442"/>
    <mergeCell ref="B433:B442"/>
    <mergeCell ref="Z433:AB433"/>
    <mergeCell ref="AG433:AG442"/>
    <mergeCell ref="AH433:AH442"/>
    <mergeCell ref="AJ433:AJ442"/>
    <mergeCell ref="AK433:AK442"/>
    <mergeCell ref="AL433:AL442"/>
    <mergeCell ref="AM433:AM442"/>
    <mergeCell ref="AO433:AO442"/>
    <mergeCell ref="AQ423:AQ432"/>
    <mergeCell ref="AR423:AR432"/>
    <mergeCell ref="AS423:AS432"/>
    <mergeCell ref="AU423:AU432"/>
    <mergeCell ref="AV423:AV432"/>
    <mergeCell ref="AW423:AW432"/>
    <mergeCell ref="AX423:AX432"/>
    <mergeCell ref="Z424:AB424"/>
    <mergeCell ref="Z425:AB425"/>
    <mergeCell ref="Z426:AB426"/>
    <mergeCell ref="Z427:AB427"/>
    <mergeCell ref="Z428:AB428"/>
    <mergeCell ref="Z429:AB429"/>
    <mergeCell ref="Z430:AB430"/>
    <mergeCell ref="Z431:AB431"/>
    <mergeCell ref="Z432:AB432"/>
    <mergeCell ref="B423:B432"/>
    <mergeCell ref="Z423:AB423"/>
    <mergeCell ref="AG423:AG432"/>
    <mergeCell ref="AH423:AH432"/>
    <mergeCell ref="AJ423:AJ432"/>
    <mergeCell ref="AK423:AK432"/>
    <mergeCell ref="AL423:AL432"/>
    <mergeCell ref="AM423:AM432"/>
    <mergeCell ref="AO423:AO432"/>
    <mergeCell ref="AQ413:AQ422"/>
    <mergeCell ref="AR413:AR422"/>
    <mergeCell ref="AS413:AS422"/>
    <mergeCell ref="AU413:AU422"/>
    <mergeCell ref="AV413:AV422"/>
    <mergeCell ref="AW413:AW422"/>
    <mergeCell ref="AX413:AX422"/>
    <mergeCell ref="Z414:AB414"/>
    <mergeCell ref="Z415:AB415"/>
    <mergeCell ref="Z416:AB416"/>
    <mergeCell ref="Z417:AB417"/>
    <mergeCell ref="Z418:AB418"/>
    <mergeCell ref="Z419:AB419"/>
    <mergeCell ref="Z420:AB420"/>
    <mergeCell ref="Z421:AB421"/>
    <mergeCell ref="Z422:AB422"/>
    <mergeCell ref="B413:B422"/>
    <mergeCell ref="Z413:AB413"/>
    <mergeCell ref="AG413:AG422"/>
    <mergeCell ref="AH413:AH422"/>
    <mergeCell ref="AJ413:AJ422"/>
    <mergeCell ref="AK413:AK422"/>
    <mergeCell ref="AL413:AL422"/>
    <mergeCell ref="AM413:AM422"/>
    <mergeCell ref="AO413:AO422"/>
    <mergeCell ref="AQ403:AQ412"/>
    <mergeCell ref="AR403:AR412"/>
    <mergeCell ref="AS403:AS412"/>
    <mergeCell ref="AU403:AU412"/>
    <mergeCell ref="AV403:AV412"/>
    <mergeCell ref="AW403:AW412"/>
    <mergeCell ref="AX403:AX412"/>
    <mergeCell ref="Z404:AB404"/>
    <mergeCell ref="Z405:AB405"/>
    <mergeCell ref="Z406:AB406"/>
    <mergeCell ref="Z407:AB407"/>
    <mergeCell ref="Z408:AB408"/>
    <mergeCell ref="Z409:AB409"/>
    <mergeCell ref="Z410:AB410"/>
    <mergeCell ref="Z411:AB411"/>
    <mergeCell ref="Z412:AB412"/>
    <mergeCell ref="B403:B412"/>
    <mergeCell ref="Z403:AB403"/>
    <mergeCell ref="AG403:AG412"/>
    <mergeCell ref="AH403:AH412"/>
    <mergeCell ref="AJ403:AJ412"/>
    <mergeCell ref="AK403:AK412"/>
    <mergeCell ref="AL403:AL412"/>
    <mergeCell ref="AM403:AM412"/>
    <mergeCell ref="AO403:AO412"/>
    <mergeCell ref="AQ393:AQ402"/>
    <mergeCell ref="AR393:AR402"/>
    <mergeCell ref="AS393:AS402"/>
    <mergeCell ref="AU393:AU402"/>
    <mergeCell ref="AV393:AV402"/>
    <mergeCell ref="AW393:AW402"/>
    <mergeCell ref="AX393:AX402"/>
    <mergeCell ref="Z394:AB394"/>
    <mergeCell ref="Z395:AB395"/>
    <mergeCell ref="Z396:AB396"/>
    <mergeCell ref="Z397:AB397"/>
    <mergeCell ref="Z398:AB398"/>
    <mergeCell ref="Z399:AB399"/>
    <mergeCell ref="Z400:AB400"/>
    <mergeCell ref="Z401:AB401"/>
    <mergeCell ref="Z402:AB402"/>
    <mergeCell ref="B393:B402"/>
    <mergeCell ref="Z393:AB393"/>
    <mergeCell ref="AG393:AG402"/>
    <mergeCell ref="AH393:AH402"/>
    <mergeCell ref="AJ393:AJ402"/>
    <mergeCell ref="AK393:AK402"/>
    <mergeCell ref="AL393:AL402"/>
    <mergeCell ref="AM393:AM402"/>
    <mergeCell ref="AO393:AO402"/>
    <mergeCell ref="AQ383:AQ392"/>
    <mergeCell ref="AR383:AR392"/>
    <mergeCell ref="AS383:AS392"/>
    <mergeCell ref="AU383:AU392"/>
    <mergeCell ref="AV383:AV392"/>
    <mergeCell ref="AW383:AW392"/>
    <mergeCell ref="AX383:AX392"/>
    <mergeCell ref="Z384:AB384"/>
    <mergeCell ref="Z385:AB385"/>
    <mergeCell ref="Z386:AB386"/>
    <mergeCell ref="Z387:AB387"/>
    <mergeCell ref="Z388:AB388"/>
    <mergeCell ref="Z389:AB389"/>
    <mergeCell ref="Z390:AB390"/>
    <mergeCell ref="Z391:AB391"/>
    <mergeCell ref="Z392:AB392"/>
    <mergeCell ref="B383:B392"/>
    <mergeCell ref="Z383:AB383"/>
    <mergeCell ref="AG383:AG392"/>
    <mergeCell ref="AH383:AH392"/>
    <mergeCell ref="AJ383:AJ392"/>
    <mergeCell ref="AK383:AK392"/>
    <mergeCell ref="AL383:AL392"/>
    <mergeCell ref="AM383:AM392"/>
    <mergeCell ref="AO383:AO392"/>
    <mergeCell ref="AQ373:AQ382"/>
    <mergeCell ref="AR373:AR382"/>
    <mergeCell ref="AS373:AS382"/>
    <mergeCell ref="AU373:AU382"/>
    <mergeCell ref="AV373:AV382"/>
    <mergeCell ref="AW373:AW382"/>
    <mergeCell ref="AX373:AX382"/>
    <mergeCell ref="Z374:AB374"/>
    <mergeCell ref="Z375:AB375"/>
    <mergeCell ref="Z376:AB376"/>
    <mergeCell ref="Z377:AB377"/>
    <mergeCell ref="Z378:AB378"/>
    <mergeCell ref="Z379:AB379"/>
    <mergeCell ref="Z380:AB380"/>
    <mergeCell ref="Z381:AB381"/>
    <mergeCell ref="Z382:AB382"/>
    <mergeCell ref="B373:B382"/>
    <mergeCell ref="Z373:AB373"/>
    <mergeCell ref="AG373:AG382"/>
    <mergeCell ref="AH373:AH382"/>
    <mergeCell ref="AJ373:AJ382"/>
    <mergeCell ref="AK373:AK382"/>
    <mergeCell ref="AL373:AL382"/>
    <mergeCell ref="AM373:AM382"/>
    <mergeCell ref="AO373:AO382"/>
    <mergeCell ref="AQ363:AQ372"/>
    <mergeCell ref="AR363:AR372"/>
    <mergeCell ref="AS363:AS372"/>
    <mergeCell ref="AU363:AU372"/>
    <mergeCell ref="AV363:AV372"/>
    <mergeCell ref="AW363:AW372"/>
    <mergeCell ref="AX363:AX372"/>
    <mergeCell ref="Z364:AB364"/>
    <mergeCell ref="Z365:AB365"/>
    <mergeCell ref="Z366:AB366"/>
    <mergeCell ref="Z367:AB367"/>
    <mergeCell ref="Z368:AB368"/>
    <mergeCell ref="Z369:AB369"/>
    <mergeCell ref="Z370:AB370"/>
    <mergeCell ref="Z371:AB371"/>
    <mergeCell ref="Z372:AB372"/>
    <mergeCell ref="B363:B372"/>
    <mergeCell ref="Z363:AB363"/>
    <mergeCell ref="AG363:AG372"/>
    <mergeCell ref="AH363:AH372"/>
    <mergeCell ref="AJ363:AJ372"/>
    <mergeCell ref="AK363:AK372"/>
    <mergeCell ref="AL363:AL372"/>
    <mergeCell ref="AM363:AM372"/>
    <mergeCell ref="AO363:AO372"/>
    <mergeCell ref="AQ353:AQ362"/>
    <mergeCell ref="AR353:AR362"/>
    <mergeCell ref="AS353:AS362"/>
    <mergeCell ref="AU353:AU362"/>
    <mergeCell ref="AV353:AV362"/>
    <mergeCell ref="AW353:AW362"/>
    <mergeCell ref="AX353:AX362"/>
    <mergeCell ref="Z354:AB354"/>
    <mergeCell ref="Z355:AB355"/>
    <mergeCell ref="Z356:AB356"/>
    <mergeCell ref="Z357:AB357"/>
    <mergeCell ref="Z358:AB358"/>
    <mergeCell ref="Z359:AB359"/>
    <mergeCell ref="Z360:AB360"/>
    <mergeCell ref="Z361:AB361"/>
    <mergeCell ref="Z362:AB362"/>
    <mergeCell ref="Z343:AB343"/>
    <mergeCell ref="AG343:AG352"/>
    <mergeCell ref="AH343:AH352"/>
    <mergeCell ref="AJ343:AJ352"/>
    <mergeCell ref="AK343:AK352"/>
    <mergeCell ref="AL343:AL352"/>
    <mergeCell ref="B353:B362"/>
    <mergeCell ref="Z353:AB353"/>
    <mergeCell ref="AG353:AG362"/>
    <mergeCell ref="AH353:AH362"/>
    <mergeCell ref="AJ353:AJ362"/>
    <mergeCell ref="AK353:AK362"/>
    <mergeCell ref="AL353:AL362"/>
    <mergeCell ref="Z344:AB344"/>
    <mergeCell ref="Z345:AB345"/>
    <mergeCell ref="Z346:AB346"/>
    <mergeCell ref="Z347:AB347"/>
    <mergeCell ref="Z348:AB348"/>
    <mergeCell ref="Z349:AB349"/>
    <mergeCell ref="Z350:AB350"/>
    <mergeCell ref="Z351:AB351"/>
    <mergeCell ref="Z352:AB352"/>
    <mergeCell ref="AR323:AR332"/>
    <mergeCell ref="AS323:AS332"/>
    <mergeCell ref="AU323:AU332"/>
    <mergeCell ref="AV323:AV332"/>
    <mergeCell ref="AW323:AW332"/>
    <mergeCell ref="AQ343:AQ352"/>
    <mergeCell ref="AR343:AR352"/>
    <mergeCell ref="AS343:AS352"/>
    <mergeCell ref="AU343:AU352"/>
    <mergeCell ref="AV343:AV352"/>
    <mergeCell ref="AW343:AW352"/>
    <mergeCell ref="AX333:AX342"/>
    <mergeCell ref="AX343:AX352"/>
    <mergeCell ref="B343:B352"/>
    <mergeCell ref="AM343:AM352"/>
    <mergeCell ref="AO343:AO352"/>
    <mergeCell ref="AQ333:AQ342"/>
    <mergeCell ref="AR333:AR342"/>
    <mergeCell ref="AS333:AS342"/>
    <mergeCell ref="AU333:AU342"/>
    <mergeCell ref="AV333:AV342"/>
    <mergeCell ref="AW333:AW342"/>
    <mergeCell ref="AX323:AX332"/>
    <mergeCell ref="Z324:AB324"/>
    <mergeCell ref="Z325:AB325"/>
    <mergeCell ref="Z326:AB326"/>
    <mergeCell ref="Z327:AB327"/>
    <mergeCell ref="Z328:AB328"/>
    <mergeCell ref="Z329:AB329"/>
    <mergeCell ref="Z334:AB334"/>
    <mergeCell ref="Z335:AB335"/>
    <mergeCell ref="Z336:AB336"/>
    <mergeCell ref="AM323:AM332"/>
    <mergeCell ref="AO323:AO332"/>
    <mergeCell ref="Z333:AB333"/>
    <mergeCell ref="AG333:AG342"/>
    <mergeCell ref="AH333:AH342"/>
    <mergeCell ref="AJ333:AJ342"/>
    <mergeCell ref="AQ313:AQ322"/>
    <mergeCell ref="AM333:AM342"/>
    <mergeCell ref="AO333:AO342"/>
    <mergeCell ref="AQ323:AQ332"/>
    <mergeCell ref="Z337:AB337"/>
    <mergeCell ref="Z338:AB338"/>
    <mergeCell ref="Z339:AB339"/>
    <mergeCell ref="Z340:AB340"/>
    <mergeCell ref="B333:B342"/>
    <mergeCell ref="AK333:AK342"/>
    <mergeCell ref="AL333:AL342"/>
    <mergeCell ref="AR313:AR322"/>
    <mergeCell ref="AS313:AS322"/>
    <mergeCell ref="AU313:AU322"/>
    <mergeCell ref="AV313:AV322"/>
    <mergeCell ref="AW313:AW322"/>
    <mergeCell ref="AX313:AX322"/>
    <mergeCell ref="Z314:AB314"/>
    <mergeCell ref="Z315:AB315"/>
    <mergeCell ref="Z316:AB316"/>
    <mergeCell ref="Z317:AB317"/>
    <mergeCell ref="Z318:AB318"/>
    <mergeCell ref="Z319:AB319"/>
    <mergeCell ref="Z320:AB320"/>
    <mergeCell ref="Z321:AB321"/>
    <mergeCell ref="Z322:AB322"/>
    <mergeCell ref="B313:B322"/>
    <mergeCell ref="Z313:AB313"/>
    <mergeCell ref="AG313:AG322"/>
    <mergeCell ref="AH313:AH322"/>
    <mergeCell ref="AJ313:AJ322"/>
    <mergeCell ref="AK313:AK322"/>
    <mergeCell ref="AL313:AL322"/>
    <mergeCell ref="AM313:AM322"/>
    <mergeCell ref="AO313:AO322"/>
    <mergeCell ref="AQ303:AQ312"/>
    <mergeCell ref="AR303:AR312"/>
    <mergeCell ref="AS303:AS312"/>
    <mergeCell ref="AU303:AU312"/>
    <mergeCell ref="AV303:AV312"/>
    <mergeCell ref="AW303:AW312"/>
    <mergeCell ref="AX303:AX312"/>
    <mergeCell ref="Z304:AB304"/>
    <mergeCell ref="Z305:AB305"/>
    <mergeCell ref="Z306:AB306"/>
    <mergeCell ref="Z307:AB307"/>
    <mergeCell ref="Z308:AB308"/>
    <mergeCell ref="Z309:AB309"/>
    <mergeCell ref="Z310:AB310"/>
    <mergeCell ref="Z311:AB311"/>
    <mergeCell ref="Z312:AB312"/>
    <mergeCell ref="B303:B312"/>
    <mergeCell ref="Z303:AB303"/>
    <mergeCell ref="AG303:AG312"/>
    <mergeCell ref="AH303:AH312"/>
    <mergeCell ref="AJ303:AJ312"/>
    <mergeCell ref="AK303:AK312"/>
    <mergeCell ref="AL303:AL312"/>
    <mergeCell ref="AM303:AM312"/>
    <mergeCell ref="AO303:AO312"/>
    <mergeCell ref="AQ293:AQ302"/>
    <mergeCell ref="AR293:AR302"/>
    <mergeCell ref="AS293:AS302"/>
    <mergeCell ref="AU293:AU302"/>
    <mergeCell ref="AV293:AV302"/>
    <mergeCell ref="AW293:AW302"/>
    <mergeCell ref="AX293:AX302"/>
    <mergeCell ref="Z294:AB294"/>
    <mergeCell ref="Z295:AB295"/>
    <mergeCell ref="Z296:AB296"/>
    <mergeCell ref="Z297:AB297"/>
    <mergeCell ref="Z298:AB298"/>
    <mergeCell ref="Z299:AB299"/>
    <mergeCell ref="Z300:AB300"/>
    <mergeCell ref="Z301:AB301"/>
    <mergeCell ref="Z302:AB302"/>
    <mergeCell ref="B293:B302"/>
    <mergeCell ref="Z293:AB293"/>
    <mergeCell ref="AG293:AG302"/>
    <mergeCell ref="AH293:AH302"/>
    <mergeCell ref="AJ293:AJ302"/>
    <mergeCell ref="AK293:AK302"/>
    <mergeCell ref="AL293:AL302"/>
    <mergeCell ref="AM293:AM302"/>
    <mergeCell ref="AO293:AO302"/>
    <mergeCell ref="AQ283:AQ292"/>
    <mergeCell ref="AR283:AR292"/>
    <mergeCell ref="AS283:AS292"/>
    <mergeCell ref="AU283:AU292"/>
    <mergeCell ref="AV283:AV292"/>
    <mergeCell ref="AW283:AW292"/>
    <mergeCell ref="AX283:AX292"/>
    <mergeCell ref="Z284:AB284"/>
    <mergeCell ref="Z285:AB285"/>
    <mergeCell ref="Z286:AB286"/>
    <mergeCell ref="Z287:AB287"/>
    <mergeCell ref="Z288:AB288"/>
    <mergeCell ref="Z289:AB289"/>
    <mergeCell ref="Z290:AB290"/>
    <mergeCell ref="Z291:AB291"/>
    <mergeCell ref="Z292:AB292"/>
    <mergeCell ref="B283:B292"/>
    <mergeCell ref="Z283:AB283"/>
    <mergeCell ref="AG283:AG292"/>
    <mergeCell ref="AH283:AH292"/>
    <mergeCell ref="AJ283:AJ292"/>
    <mergeCell ref="AK283:AK292"/>
    <mergeCell ref="AL283:AL292"/>
    <mergeCell ref="AM283:AM292"/>
    <mergeCell ref="AO283:AO292"/>
    <mergeCell ref="AQ273:AQ282"/>
    <mergeCell ref="AR273:AR282"/>
    <mergeCell ref="AS273:AS282"/>
    <mergeCell ref="AU273:AU282"/>
    <mergeCell ref="AV273:AV282"/>
    <mergeCell ref="AW273:AW282"/>
    <mergeCell ref="AX273:AX282"/>
    <mergeCell ref="Z274:AB274"/>
    <mergeCell ref="Z275:AB275"/>
    <mergeCell ref="Z276:AB276"/>
    <mergeCell ref="Z277:AB277"/>
    <mergeCell ref="Z278:AB278"/>
    <mergeCell ref="Z279:AB279"/>
    <mergeCell ref="Z280:AB280"/>
    <mergeCell ref="Z281:AB281"/>
    <mergeCell ref="Z282:AB282"/>
    <mergeCell ref="B273:B282"/>
    <mergeCell ref="Z273:AB273"/>
    <mergeCell ref="AG273:AG282"/>
    <mergeCell ref="AH273:AH282"/>
    <mergeCell ref="AJ273:AJ282"/>
    <mergeCell ref="AK273:AK282"/>
    <mergeCell ref="AL273:AL282"/>
    <mergeCell ref="AM273:AM282"/>
    <mergeCell ref="AO273:AO282"/>
    <mergeCell ref="AQ263:AQ272"/>
    <mergeCell ref="AR263:AR272"/>
    <mergeCell ref="AS263:AS272"/>
    <mergeCell ref="AU263:AU272"/>
    <mergeCell ref="AV263:AV272"/>
    <mergeCell ref="AW263:AW272"/>
    <mergeCell ref="AX263:AX272"/>
    <mergeCell ref="Z264:AB264"/>
    <mergeCell ref="Z265:AB265"/>
    <mergeCell ref="Z266:AB266"/>
    <mergeCell ref="Z267:AB267"/>
    <mergeCell ref="Z268:AB268"/>
    <mergeCell ref="Z269:AB269"/>
    <mergeCell ref="Z270:AB270"/>
    <mergeCell ref="Z271:AB271"/>
    <mergeCell ref="Z272:AB272"/>
    <mergeCell ref="B263:B272"/>
    <mergeCell ref="Z263:AB263"/>
    <mergeCell ref="AG263:AG272"/>
    <mergeCell ref="AH263:AH272"/>
    <mergeCell ref="AJ263:AJ272"/>
    <mergeCell ref="AK263:AK272"/>
    <mergeCell ref="AL263:AL272"/>
    <mergeCell ref="AM263:AM272"/>
    <mergeCell ref="AO263:AO272"/>
    <mergeCell ref="AQ253:AQ262"/>
    <mergeCell ref="AR253:AR262"/>
    <mergeCell ref="AS253:AS262"/>
    <mergeCell ref="AU253:AU262"/>
    <mergeCell ref="AV253:AV262"/>
    <mergeCell ref="AW253:AW262"/>
    <mergeCell ref="AX253:AX262"/>
    <mergeCell ref="Z254:AB254"/>
    <mergeCell ref="Z255:AB255"/>
    <mergeCell ref="Z256:AB256"/>
    <mergeCell ref="Z257:AB257"/>
    <mergeCell ref="Z258:AB258"/>
    <mergeCell ref="Z259:AB259"/>
    <mergeCell ref="Z260:AB260"/>
    <mergeCell ref="Z261:AB261"/>
    <mergeCell ref="Z262:AB262"/>
    <mergeCell ref="B253:B262"/>
    <mergeCell ref="Z253:AB253"/>
    <mergeCell ref="AG253:AG262"/>
    <mergeCell ref="AH253:AH262"/>
    <mergeCell ref="AJ253:AJ262"/>
    <mergeCell ref="AK253:AK262"/>
    <mergeCell ref="AL253:AL262"/>
    <mergeCell ref="AM253:AM262"/>
    <mergeCell ref="AO253:AO262"/>
    <mergeCell ref="AQ243:AQ252"/>
    <mergeCell ref="AR243:AR252"/>
    <mergeCell ref="AS243:AS252"/>
    <mergeCell ref="AU243:AU252"/>
    <mergeCell ref="AV243:AV252"/>
    <mergeCell ref="AW243:AW252"/>
    <mergeCell ref="AX243:AX252"/>
    <mergeCell ref="Z244:AB244"/>
    <mergeCell ref="Z245:AB245"/>
    <mergeCell ref="Z246:AB246"/>
    <mergeCell ref="Z247:AB247"/>
    <mergeCell ref="Z248:AB248"/>
    <mergeCell ref="Z249:AB249"/>
    <mergeCell ref="Z250:AB250"/>
    <mergeCell ref="Z251:AB251"/>
    <mergeCell ref="Z252:AB252"/>
    <mergeCell ref="B243:B252"/>
    <mergeCell ref="Z243:AB243"/>
    <mergeCell ref="AG243:AG252"/>
    <mergeCell ref="AH243:AH252"/>
    <mergeCell ref="AJ243:AJ252"/>
    <mergeCell ref="AK243:AK252"/>
    <mergeCell ref="AL243:AL252"/>
    <mergeCell ref="AM243:AM252"/>
    <mergeCell ref="AO243:AO252"/>
    <mergeCell ref="AV213:AV222"/>
    <mergeCell ref="AW213:AW222"/>
    <mergeCell ref="AX213:AX222"/>
    <mergeCell ref="AV223:AV232"/>
    <mergeCell ref="AW223:AW232"/>
    <mergeCell ref="AX223:AX232"/>
    <mergeCell ref="B233:B242"/>
    <mergeCell ref="Z233:AB233"/>
    <mergeCell ref="AG233:AG242"/>
    <mergeCell ref="AH233:AH242"/>
    <mergeCell ref="AJ233:AJ242"/>
    <mergeCell ref="AK233:AK242"/>
    <mergeCell ref="AL233:AL242"/>
    <mergeCell ref="AO223:AO232"/>
    <mergeCell ref="AQ233:AQ242"/>
    <mergeCell ref="AR233:AR242"/>
    <mergeCell ref="AS233:AS242"/>
    <mergeCell ref="AL223:AL232"/>
    <mergeCell ref="AM223:AM232"/>
    <mergeCell ref="AR213:AR222"/>
    <mergeCell ref="AS213:AS222"/>
    <mergeCell ref="AQ223:AQ232"/>
    <mergeCell ref="AR223:AR232"/>
    <mergeCell ref="AS223:AS232"/>
    <mergeCell ref="AU223:AU232"/>
    <mergeCell ref="AH213:AH222"/>
    <mergeCell ref="AU213:AU219"/>
    <mergeCell ref="F235:F236"/>
    <mergeCell ref="G235:G236"/>
    <mergeCell ref="H235:H236"/>
    <mergeCell ref="I235:I236"/>
    <mergeCell ref="K235:K236"/>
    <mergeCell ref="AU203:AU212"/>
    <mergeCell ref="AU233:AU242"/>
    <mergeCell ref="AV233:AV242"/>
    <mergeCell ref="AW233:AW242"/>
    <mergeCell ref="AX233:AX242"/>
    <mergeCell ref="Z234:AB234"/>
    <mergeCell ref="Z235:AB235"/>
    <mergeCell ref="Z236:AB236"/>
    <mergeCell ref="Z237:AB237"/>
    <mergeCell ref="Z238:AB238"/>
    <mergeCell ref="Z239:AB239"/>
    <mergeCell ref="Z240:AB240"/>
    <mergeCell ref="Z241:AB241"/>
    <mergeCell ref="Z242:AB242"/>
    <mergeCell ref="Z230:AB230"/>
    <mergeCell ref="Z231:AB231"/>
    <mergeCell ref="Z232:AB232"/>
    <mergeCell ref="Z214:AB214"/>
    <mergeCell ref="Z215:AB215"/>
    <mergeCell ref="Z216:AB216"/>
    <mergeCell ref="Z217:AB217"/>
    <mergeCell ref="Z218:AB218"/>
    <mergeCell ref="AV203:AV212"/>
    <mergeCell ref="AW203:AW212"/>
    <mergeCell ref="AX203:AX212"/>
    <mergeCell ref="Z227:AB227"/>
    <mergeCell ref="Z228:AB228"/>
    <mergeCell ref="Z229:AB229"/>
    <mergeCell ref="Z219:AB219"/>
    <mergeCell ref="Z220:AB220"/>
    <mergeCell ref="Z221:AB221"/>
    <mergeCell ref="Z222:AB222"/>
    <mergeCell ref="AU123:AU132"/>
    <mergeCell ref="AV123:AV132"/>
    <mergeCell ref="AW123:AW132"/>
    <mergeCell ref="AX123:AX132"/>
    <mergeCell ref="AU133:AU142"/>
    <mergeCell ref="AV133:AV142"/>
    <mergeCell ref="AW133:AW142"/>
    <mergeCell ref="AX133:AX142"/>
    <mergeCell ref="AU143:AU152"/>
    <mergeCell ref="AV143:AV152"/>
    <mergeCell ref="AW143:AW152"/>
    <mergeCell ref="AX143:AX152"/>
    <mergeCell ref="AU183:AU192"/>
    <mergeCell ref="AV183:AV192"/>
    <mergeCell ref="AW183:AW192"/>
    <mergeCell ref="AX183:AX192"/>
    <mergeCell ref="AU173:AU182"/>
    <mergeCell ref="AX173:AX182"/>
    <mergeCell ref="AU153:AU162"/>
    <mergeCell ref="AV153:AV162"/>
    <mergeCell ref="AW153:AW162"/>
    <mergeCell ref="AV163:AV172"/>
    <mergeCell ref="AW163:AW172"/>
    <mergeCell ref="AX163:AX172"/>
    <mergeCell ref="AW23:AW32"/>
    <mergeCell ref="AW33:AW42"/>
    <mergeCell ref="AW43:AW52"/>
    <mergeCell ref="AW53:AW62"/>
    <mergeCell ref="AW63:AW72"/>
    <mergeCell ref="AW73:AW82"/>
    <mergeCell ref="AX1:AX2"/>
    <mergeCell ref="AX3:AX12"/>
    <mergeCell ref="AX13:AX22"/>
    <mergeCell ref="AX23:AX32"/>
    <mergeCell ref="AX33:AX42"/>
    <mergeCell ref="AW83:AW92"/>
    <mergeCell ref="AW93:AW102"/>
    <mergeCell ref="AU53:AU62"/>
    <mergeCell ref="AV53:AV62"/>
    <mergeCell ref="AU63:AU72"/>
    <mergeCell ref="AV63:AV72"/>
    <mergeCell ref="AU73:AU82"/>
    <mergeCell ref="AV73:AV82"/>
    <mergeCell ref="AU83:AU92"/>
    <mergeCell ref="AV83:AV92"/>
    <mergeCell ref="AU93:AU102"/>
    <mergeCell ref="AV93:AV102"/>
    <mergeCell ref="AU3:AU12"/>
    <mergeCell ref="AV3:AV12"/>
    <mergeCell ref="AU13:AU22"/>
    <mergeCell ref="AV13:AV22"/>
    <mergeCell ref="AU23:AU32"/>
    <mergeCell ref="AU33:AU42"/>
    <mergeCell ref="AV33:AV42"/>
    <mergeCell ref="AX43:AX52"/>
    <mergeCell ref="AX53:AX62"/>
    <mergeCell ref="AX63:AX72"/>
    <mergeCell ref="AX73:AX82"/>
    <mergeCell ref="AX83:AX92"/>
    <mergeCell ref="AX93:AX102"/>
    <mergeCell ref="AU193:AU202"/>
    <mergeCell ref="AV193:AV202"/>
    <mergeCell ref="AW193:AW202"/>
    <mergeCell ref="AX193:AX202"/>
    <mergeCell ref="AS193:AS202"/>
    <mergeCell ref="Z194:AB194"/>
    <mergeCell ref="Z195:AB195"/>
    <mergeCell ref="Z196:AB196"/>
    <mergeCell ref="Z197:AB197"/>
    <mergeCell ref="Z198:AB198"/>
    <mergeCell ref="Z199:AB199"/>
    <mergeCell ref="Z200:AB200"/>
    <mergeCell ref="AV173:AV182"/>
    <mergeCell ref="AW173:AW182"/>
    <mergeCell ref="Z202:AB202"/>
    <mergeCell ref="AK193:AK202"/>
    <mergeCell ref="AL193:AL202"/>
    <mergeCell ref="AO193:AO202"/>
    <mergeCell ref="AQ193:AQ202"/>
    <mergeCell ref="AR193:AR202"/>
    <mergeCell ref="AK183:AK192"/>
    <mergeCell ref="AL183:AL192"/>
    <mergeCell ref="AQ153:AQ162"/>
    <mergeCell ref="AU163:AU172"/>
    <mergeCell ref="Z185:AB185"/>
    <mergeCell ref="Z186:AB186"/>
    <mergeCell ref="Z187:AB187"/>
    <mergeCell ref="AS103:AS112"/>
    <mergeCell ref="AU43:AU52"/>
    <mergeCell ref="AV43:AV52"/>
    <mergeCell ref="AU103:AU112"/>
    <mergeCell ref="AV103:AV112"/>
    <mergeCell ref="AW103:AW112"/>
    <mergeCell ref="AX103:AX112"/>
    <mergeCell ref="AU113:AU122"/>
    <mergeCell ref="AV113:AV122"/>
    <mergeCell ref="AW113:AW122"/>
    <mergeCell ref="AX113:AX122"/>
    <mergeCell ref="AO163:AO172"/>
    <mergeCell ref="AO173:AO182"/>
    <mergeCell ref="Z204:AB204"/>
    <mergeCell ref="Z205:AB205"/>
    <mergeCell ref="Z203:AB203"/>
    <mergeCell ref="AG203:AG212"/>
    <mergeCell ref="AH203:AH212"/>
    <mergeCell ref="AJ203:AJ212"/>
    <mergeCell ref="AM203:AM212"/>
    <mergeCell ref="Z206:AB206"/>
    <mergeCell ref="Z207:AB207"/>
    <mergeCell ref="Z208:AB208"/>
    <mergeCell ref="Z209:AB209"/>
    <mergeCell ref="Z210:AB210"/>
    <mergeCell ref="Z211:AB211"/>
    <mergeCell ref="AQ203:AQ212"/>
    <mergeCell ref="AR203:AR212"/>
    <mergeCell ref="AG193:AG202"/>
    <mergeCell ref="AH193:AH202"/>
    <mergeCell ref="AJ193:AJ202"/>
    <mergeCell ref="AX153:AX162"/>
    <mergeCell ref="AM183:AM192"/>
    <mergeCell ref="B163:B172"/>
    <mergeCell ref="Z163:AB163"/>
    <mergeCell ref="AG163:AG172"/>
    <mergeCell ref="AH163:AH172"/>
    <mergeCell ref="AJ163:AJ172"/>
    <mergeCell ref="AM163:AM172"/>
    <mergeCell ref="Z182:AB182"/>
    <mergeCell ref="AK173:AK182"/>
    <mergeCell ref="AL173:AL182"/>
    <mergeCell ref="Z164:AB164"/>
    <mergeCell ref="Z165:AB165"/>
    <mergeCell ref="Z166:AB166"/>
    <mergeCell ref="Z167:AB167"/>
    <mergeCell ref="AJ183:AJ192"/>
    <mergeCell ref="B173:B182"/>
    <mergeCell ref="Z173:AB173"/>
    <mergeCell ref="AG173:AG182"/>
    <mergeCell ref="AH173:AH182"/>
    <mergeCell ref="AJ173:AJ182"/>
    <mergeCell ref="AM173:AM182"/>
    <mergeCell ref="Z174:AB174"/>
    <mergeCell ref="Z175:AB175"/>
    <mergeCell ref="Z176:AB176"/>
    <mergeCell ref="Z177:AB177"/>
    <mergeCell ref="Z178:AB178"/>
    <mergeCell ref="K176:K177"/>
    <mergeCell ref="L176:L177"/>
    <mergeCell ref="M176:M177"/>
    <mergeCell ref="AR143:AR152"/>
    <mergeCell ref="Z140:AB140"/>
    <mergeCell ref="Z141:AB141"/>
    <mergeCell ref="AK133:AK142"/>
    <mergeCell ref="AL133:AL142"/>
    <mergeCell ref="AO133:AO142"/>
    <mergeCell ref="AQ133:AQ142"/>
    <mergeCell ref="Z106:AB106"/>
    <mergeCell ref="Z107:AB107"/>
    <mergeCell ref="AS113:AS122"/>
    <mergeCell ref="Z114:AB114"/>
    <mergeCell ref="Z115:AB115"/>
    <mergeCell ref="B113:B122"/>
    <mergeCell ref="Z113:AB113"/>
    <mergeCell ref="AG113:AG122"/>
    <mergeCell ref="AH123:AH132"/>
    <mergeCell ref="AJ123:AJ132"/>
    <mergeCell ref="AM123:AM132"/>
    <mergeCell ref="B133:B142"/>
    <mergeCell ref="Z133:AB133"/>
    <mergeCell ref="AG133:AG142"/>
    <mergeCell ref="AH133:AH142"/>
    <mergeCell ref="AJ133:AJ142"/>
    <mergeCell ref="AM133:AM142"/>
    <mergeCell ref="B123:B132"/>
    <mergeCell ref="Z119:AB119"/>
    <mergeCell ref="Z120:AB120"/>
    <mergeCell ref="Z121:AB121"/>
    <mergeCell ref="AK113:AK122"/>
    <mergeCell ref="AL113:AL122"/>
    <mergeCell ref="Z116:AB116"/>
    <mergeCell ref="Z117:AB117"/>
    <mergeCell ref="Z118:AB118"/>
    <mergeCell ref="AS133:AS142"/>
    <mergeCell ref="Z134:AB134"/>
    <mergeCell ref="AR103:AR112"/>
    <mergeCell ref="AS123:AS132"/>
    <mergeCell ref="Z124:AB124"/>
    <mergeCell ref="AS93:AS102"/>
    <mergeCell ref="Z94:AB94"/>
    <mergeCell ref="Z95:AB95"/>
    <mergeCell ref="Z96:AB96"/>
    <mergeCell ref="Z97:AB97"/>
    <mergeCell ref="Z98:AB98"/>
    <mergeCell ref="Z99:AB99"/>
    <mergeCell ref="Z100:AB100"/>
    <mergeCell ref="Z101:AB101"/>
    <mergeCell ref="Z102:AB102"/>
    <mergeCell ref="AK93:AK102"/>
    <mergeCell ref="AL93:AL102"/>
    <mergeCell ref="AO93:AO102"/>
    <mergeCell ref="AQ93:AQ102"/>
    <mergeCell ref="AR93:AR102"/>
    <mergeCell ref="AQ123:AQ132"/>
    <mergeCell ref="AR123:AR132"/>
    <mergeCell ref="Z123:AB123"/>
    <mergeCell ref="AG123:AG132"/>
    <mergeCell ref="B93:B102"/>
    <mergeCell ref="Z93:AB93"/>
    <mergeCell ref="AG93:AG102"/>
    <mergeCell ref="AH93:AH102"/>
    <mergeCell ref="AJ93:AJ102"/>
    <mergeCell ref="AM93:AM102"/>
    <mergeCell ref="K93:K94"/>
    <mergeCell ref="L93:L94"/>
    <mergeCell ref="M93:M94"/>
    <mergeCell ref="AN93:AN94"/>
    <mergeCell ref="AS83:AS92"/>
    <mergeCell ref="Z84:AB84"/>
    <mergeCell ref="Z85:AB85"/>
    <mergeCell ref="Z86:AB86"/>
    <mergeCell ref="Z87:AB87"/>
    <mergeCell ref="Z88:AB88"/>
    <mergeCell ref="Z89:AB89"/>
    <mergeCell ref="Z90:AB90"/>
    <mergeCell ref="Z91:AB91"/>
    <mergeCell ref="Z92:AB92"/>
    <mergeCell ref="AK83:AK92"/>
    <mergeCell ref="AL83:AL92"/>
    <mergeCell ref="AO83:AO92"/>
    <mergeCell ref="AQ83:AQ92"/>
    <mergeCell ref="AR83:AR92"/>
    <mergeCell ref="B83:B92"/>
    <mergeCell ref="Z83:AB83"/>
    <mergeCell ref="AG83:AG92"/>
    <mergeCell ref="AH83:AH92"/>
    <mergeCell ref="AJ83:AJ92"/>
    <mergeCell ref="AM83:AM92"/>
    <mergeCell ref="B63:B72"/>
    <mergeCell ref="Z63:AB63"/>
    <mergeCell ref="AG63:AG72"/>
    <mergeCell ref="AH63:AH72"/>
    <mergeCell ref="AJ63:AJ72"/>
    <mergeCell ref="AM63:AM72"/>
    <mergeCell ref="AS73:AS82"/>
    <mergeCell ref="Z74:AB74"/>
    <mergeCell ref="Z75:AB75"/>
    <mergeCell ref="Z76:AB76"/>
    <mergeCell ref="Z77:AB77"/>
    <mergeCell ref="Z78:AB78"/>
    <mergeCell ref="Z79:AB79"/>
    <mergeCell ref="Z80:AB80"/>
    <mergeCell ref="Z81:AB81"/>
    <mergeCell ref="Z82:AB82"/>
    <mergeCell ref="AK73:AK82"/>
    <mergeCell ref="AL73:AL82"/>
    <mergeCell ref="AO73:AO82"/>
    <mergeCell ref="AQ73:AQ82"/>
    <mergeCell ref="AR73:AR82"/>
    <mergeCell ref="B73:B82"/>
    <mergeCell ref="Z73:AB73"/>
    <mergeCell ref="AG73:AG82"/>
    <mergeCell ref="AH73:AH82"/>
    <mergeCell ref="AJ73:AJ82"/>
    <mergeCell ref="AM73:AM82"/>
    <mergeCell ref="AS63:AS72"/>
    <mergeCell ref="Z64:AB64"/>
    <mergeCell ref="Z65:AB65"/>
    <mergeCell ref="Z66:AB66"/>
    <mergeCell ref="Z67:AB67"/>
    <mergeCell ref="AR63:AR72"/>
    <mergeCell ref="AQ23:AQ32"/>
    <mergeCell ref="AR23:AR32"/>
    <mergeCell ref="AQ33:AQ42"/>
    <mergeCell ref="AR33:AR42"/>
    <mergeCell ref="Z48:AB48"/>
    <mergeCell ref="Z49:AB49"/>
    <mergeCell ref="Z50:AB50"/>
    <mergeCell ref="Z51:AB51"/>
    <mergeCell ref="Z52:AB52"/>
    <mergeCell ref="AK43:AK52"/>
    <mergeCell ref="AL43:AL52"/>
    <mergeCell ref="AO43:AO52"/>
    <mergeCell ref="AQ43:AQ52"/>
    <mergeCell ref="AR43:AR52"/>
    <mergeCell ref="Z27:AB27"/>
    <mergeCell ref="Z28:AB28"/>
    <mergeCell ref="Z26:AB26"/>
    <mergeCell ref="Z34:AB34"/>
    <mergeCell ref="Z35:AB35"/>
    <mergeCell ref="Z36:AB36"/>
    <mergeCell ref="Z37:AB37"/>
    <mergeCell ref="AO63:AO72"/>
    <mergeCell ref="AQ63:AQ72"/>
    <mergeCell ref="AN25:AN26"/>
    <mergeCell ref="AP25:AP26"/>
    <mergeCell ref="B53:B62"/>
    <mergeCell ref="AS53:AS62"/>
    <mergeCell ref="Z54:AB54"/>
    <mergeCell ref="Z55:AB55"/>
    <mergeCell ref="Z56:AB56"/>
    <mergeCell ref="Z57:AB57"/>
    <mergeCell ref="Z58:AB58"/>
    <mergeCell ref="Z59:AB59"/>
    <mergeCell ref="Z60:AB60"/>
    <mergeCell ref="Z61:AB61"/>
    <mergeCell ref="Z62:AB62"/>
    <mergeCell ref="AK53:AK62"/>
    <mergeCell ref="AL53:AL62"/>
    <mergeCell ref="AO53:AO62"/>
    <mergeCell ref="AQ53:AQ62"/>
    <mergeCell ref="AR53:AR62"/>
    <mergeCell ref="Z53:AB53"/>
    <mergeCell ref="AG53:AG62"/>
    <mergeCell ref="AH53:AH62"/>
    <mergeCell ref="AJ53:AJ62"/>
    <mergeCell ref="AM53:AM62"/>
    <mergeCell ref="B33:B42"/>
    <mergeCell ref="Z33:AB33"/>
    <mergeCell ref="AG33:AG42"/>
    <mergeCell ref="AH33:AH42"/>
    <mergeCell ref="AJ33:AJ42"/>
    <mergeCell ref="AM33:AM42"/>
    <mergeCell ref="Z38:AB38"/>
    <mergeCell ref="Z39:AB39"/>
    <mergeCell ref="Z40:AB40"/>
    <mergeCell ref="Z41:AB41"/>
    <mergeCell ref="Z42:AB42"/>
    <mergeCell ref="AK33:AK42"/>
    <mergeCell ref="B43:B52"/>
    <mergeCell ref="Z43:AB43"/>
    <mergeCell ref="AG43:AG52"/>
    <mergeCell ref="AH43:AH52"/>
    <mergeCell ref="AJ43:AJ52"/>
    <mergeCell ref="AM43:AM52"/>
    <mergeCell ref="AS43:AS52"/>
    <mergeCell ref="Z44:AB44"/>
    <mergeCell ref="Z45:AB45"/>
    <mergeCell ref="Z46:AB46"/>
    <mergeCell ref="Z47:AB47"/>
    <mergeCell ref="CL2:CO2"/>
    <mergeCell ref="Y1:Y2"/>
    <mergeCell ref="AS1:AS2"/>
    <mergeCell ref="E1:E2"/>
    <mergeCell ref="F1:F2"/>
    <mergeCell ref="G1:G2"/>
    <mergeCell ref="B1:B2"/>
    <mergeCell ref="B23:B32"/>
    <mergeCell ref="Z23:AB23"/>
    <mergeCell ref="AG23:AG32"/>
    <mergeCell ref="AH23:AH32"/>
    <mergeCell ref="AJ23:AJ32"/>
    <mergeCell ref="Z24:AB24"/>
    <mergeCell ref="Z25:AB25"/>
    <mergeCell ref="Z20:AB20"/>
    <mergeCell ref="B13:B22"/>
    <mergeCell ref="Z29:AB29"/>
    <mergeCell ref="Z30:AB30"/>
    <mergeCell ref="Z31:AB31"/>
    <mergeCell ref="Z32:AB32"/>
    <mergeCell ref="AS33:AS42"/>
    <mergeCell ref="AS23:AS32"/>
    <mergeCell ref="AV1:AV2"/>
    <mergeCell ref="AM1:AM2"/>
    <mergeCell ref="L1:L2"/>
    <mergeCell ref="M1:M2"/>
    <mergeCell ref="D1:D2"/>
    <mergeCell ref="S1:S2"/>
    <mergeCell ref="T1:T2"/>
    <mergeCell ref="X1:X2"/>
    <mergeCell ref="AK23:AK32"/>
    <mergeCell ref="B3:B12"/>
    <mergeCell ref="N1:N2"/>
    <mergeCell ref="J1:J2"/>
    <mergeCell ref="Z21:AB21"/>
    <mergeCell ref="C1:C2"/>
    <mergeCell ref="R1:R2"/>
    <mergeCell ref="U1:U2"/>
    <mergeCell ref="V1:V2"/>
    <mergeCell ref="W1:W2"/>
    <mergeCell ref="H1:H2"/>
    <mergeCell ref="I1:I2"/>
    <mergeCell ref="O1:O2"/>
    <mergeCell ref="P1:P2"/>
    <mergeCell ref="K1:K2"/>
    <mergeCell ref="Q1:Q2"/>
    <mergeCell ref="Z3:AB3"/>
    <mergeCell ref="F25:F26"/>
    <mergeCell ref="G25:G26"/>
    <mergeCell ref="H25:H26"/>
    <mergeCell ref="I25:I26"/>
    <mergeCell ref="K25:K26"/>
    <mergeCell ref="L25:L26"/>
    <mergeCell ref="M25:M26"/>
    <mergeCell ref="AV23:AV32"/>
    <mergeCell ref="Z16:AB16"/>
    <mergeCell ref="Z19:AB19"/>
    <mergeCell ref="CQ2:CR2"/>
    <mergeCell ref="Z10:AB10"/>
    <mergeCell ref="Z11:AB11"/>
    <mergeCell ref="Z12:AB12"/>
    <mergeCell ref="AD1:AD2"/>
    <mergeCell ref="CD2:CJ2"/>
    <mergeCell ref="Z5:AB5"/>
    <mergeCell ref="Z6:AB6"/>
    <mergeCell ref="Z7:AB7"/>
    <mergeCell ref="Z8:AB8"/>
    <mergeCell ref="Z9:AB9"/>
    <mergeCell ref="AL3:AL12"/>
    <mergeCell ref="AN1:AN2"/>
    <mergeCell ref="AO1:AO2"/>
    <mergeCell ref="AO3:AO12"/>
    <mergeCell ref="AQ3:AQ12"/>
    <mergeCell ref="AR3:AR12"/>
    <mergeCell ref="AS3:AS12"/>
    <mergeCell ref="AJ3:AJ12"/>
    <mergeCell ref="AT1:AT2"/>
    <mergeCell ref="AK1:AK2"/>
    <mergeCell ref="AL1:AL2"/>
    <mergeCell ref="AP1:AP2"/>
    <mergeCell ref="AQ1:AQ2"/>
    <mergeCell ref="AR1:AR2"/>
    <mergeCell ref="AU1:AU2"/>
    <mergeCell ref="AW3:AW12"/>
    <mergeCell ref="AW13:AW22"/>
    <mergeCell ref="AW1:AW2"/>
    <mergeCell ref="AM3:AM12"/>
    <mergeCell ref="AC1:AC2"/>
    <mergeCell ref="Z1:AB1"/>
    <mergeCell ref="AJ1:AJ2"/>
    <mergeCell ref="AH3:AH12"/>
    <mergeCell ref="AQ13:AQ22"/>
    <mergeCell ref="AR13:AR22"/>
    <mergeCell ref="AH13:AH22"/>
    <mergeCell ref="AJ13:AJ22"/>
    <mergeCell ref="AK13:AK22"/>
    <mergeCell ref="AL13:AL22"/>
    <mergeCell ref="AO13:AO22"/>
    <mergeCell ref="AM13:AM22"/>
    <mergeCell ref="AE1:AE2"/>
    <mergeCell ref="AF1:AF2"/>
    <mergeCell ref="AG1:AG2"/>
    <mergeCell ref="AH1:AH2"/>
    <mergeCell ref="AI1:AI2"/>
    <mergeCell ref="Z4:AB4"/>
    <mergeCell ref="AG13:AG22"/>
    <mergeCell ref="Z13:AB13"/>
    <mergeCell ref="Z14:AB14"/>
    <mergeCell ref="Z17:AB17"/>
    <mergeCell ref="Z18:AB18"/>
    <mergeCell ref="AK3:AK12"/>
    <mergeCell ref="AG3:AG12"/>
    <mergeCell ref="Z22:AB22"/>
    <mergeCell ref="AS13:AS22"/>
    <mergeCell ref="Z15:AB15"/>
    <mergeCell ref="AQ213:AQ222"/>
    <mergeCell ref="AR133:AR142"/>
    <mergeCell ref="Z212:AB212"/>
    <mergeCell ref="AK203:AK212"/>
    <mergeCell ref="AL23:AL32"/>
    <mergeCell ref="AO23:AO32"/>
    <mergeCell ref="AM23:AM32"/>
    <mergeCell ref="AL33:AL42"/>
    <mergeCell ref="AO33:AO42"/>
    <mergeCell ref="AO113:AO122"/>
    <mergeCell ref="AL213:AL222"/>
    <mergeCell ref="Z142:AB142"/>
    <mergeCell ref="Z144:AB144"/>
    <mergeCell ref="Z145:AB145"/>
    <mergeCell ref="Z146:AB146"/>
    <mergeCell ref="AQ113:AQ122"/>
    <mergeCell ref="AR113:AR122"/>
    <mergeCell ref="AH113:AH122"/>
    <mergeCell ref="AJ113:AJ122"/>
    <mergeCell ref="Z151:AB151"/>
    <mergeCell ref="AQ143:AQ152"/>
    <mergeCell ref="AM113:AM122"/>
    <mergeCell ref="AQ103:AQ112"/>
    <mergeCell ref="Z68:AB68"/>
    <mergeCell ref="Z69:AB69"/>
    <mergeCell ref="Z70:AB70"/>
    <mergeCell ref="Z71:AB71"/>
    <mergeCell ref="Z72:AB72"/>
    <mergeCell ref="AK63:AK72"/>
    <mergeCell ref="AL63:AL72"/>
    <mergeCell ref="B573:B582"/>
    <mergeCell ref="AL203:AL212"/>
    <mergeCell ref="AO203:AO212"/>
    <mergeCell ref="AO213:AO222"/>
    <mergeCell ref="AM233:AM242"/>
    <mergeCell ref="AO233:AO242"/>
    <mergeCell ref="AM353:AM362"/>
    <mergeCell ref="AO353:AO362"/>
    <mergeCell ref="Z341:AB341"/>
    <mergeCell ref="Z342:AB342"/>
    <mergeCell ref="B203:B212"/>
    <mergeCell ref="B213:B222"/>
    <mergeCell ref="Z213:AB213"/>
    <mergeCell ref="AG213:AG222"/>
    <mergeCell ref="AJ213:AJ222"/>
    <mergeCell ref="AK213:AK222"/>
    <mergeCell ref="B193:B202"/>
    <mergeCell ref="Z193:AB193"/>
    <mergeCell ref="Z224:AB224"/>
    <mergeCell ref="Z225:AB225"/>
    <mergeCell ref="Z226:AB226"/>
    <mergeCell ref="AM213:AM222"/>
    <mergeCell ref="Z330:AB330"/>
    <mergeCell ref="Z331:AB331"/>
    <mergeCell ref="Z332:AB332"/>
    <mergeCell ref="B323:B332"/>
    <mergeCell ref="Z323:AB323"/>
    <mergeCell ref="AG323:AG332"/>
    <mergeCell ref="AH323:AH332"/>
    <mergeCell ref="AJ323:AJ332"/>
    <mergeCell ref="AK323:AK332"/>
    <mergeCell ref="AL323:AL332"/>
    <mergeCell ref="B103:B112"/>
    <mergeCell ref="B143:B152"/>
    <mergeCell ref="Z143:AB143"/>
    <mergeCell ref="AG143:AG152"/>
    <mergeCell ref="AH143:AH152"/>
    <mergeCell ref="AJ143:AJ152"/>
    <mergeCell ref="AM143:AM152"/>
    <mergeCell ref="Z154:AB154"/>
    <mergeCell ref="Z155:AB155"/>
    <mergeCell ref="Z108:AB108"/>
    <mergeCell ref="Z109:AB109"/>
    <mergeCell ref="Z110:AB110"/>
    <mergeCell ref="Z111:AB111"/>
    <mergeCell ref="Z112:AB112"/>
    <mergeCell ref="AK103:AK112"/>
    <mergeCell ref="AL103:AL112"/>
    <mergeCell ref="AO153:AO162"/>
    <mergeCell ref="Z150:AB150"/>
    <mergeCell ref="Z159:AB159"/>
    <mergeCell ref="Z103:AB103"/>
    <mergeCell ref="AG103:AG112"/>
    <mergeCell ref="AH103:AH112"/>
    <mergeCell ref="AJ103:AJ112"/>
    <mergeCell ref="AM103:AM112"/>
    <mergeCell ref="Z135:AB135"/>
    <mergeCell ref="Z136:AB136"/>
    <mergeCell ref="Z137:AB137"/>
    <mergeCell ref="Z138:AB138"/>
    <mergeCell ref="Z139:AB139"/>
    <mergeCell ref="AO103:AO112"/>
    <mergeCell ref="Z104:AB104"/>
    <mergeCell ref="Z105:AB105"/>
    <mergeCell ref="AK153:AK162"/>
    <mergeCell ref="AL153:AL162"/>
    <mergeCell ref="Z148:AB148"/>
    <mergeCell ref="Z149:AB149"/>
    <mergeCell ref="Z201:AB201"/>
    <mergeCell ref="B223:B232"/>
    <mergeCell ref="Z223:AB223"/>
    <mergeCell ref="AG223:AG232"/>
    <mergeCell ref="AH223:AH232"/>
    <mergeCell ref="AJ223:AJ232"/>
    <mergeCell ref="AK223:AK232"/>
    <mergeCell ref="B563:B572"/>
    <mergeCell ref="Z152:AB152"/>
    <mergeCell ref="AK143:AK152"/>
    <mergeCell ref="AL143:AL152"/>
    <mergeCell ref="AO143:AO152"/>
    <mergeCell ref="Z147:AB147"/>
    <mergeCell ref="B153:B162"/>
    <mergeCell ref="Z153:AB153"/>
    <mergeCell ref="AG153:AG162"/>
    <mergeCell ref="AH153:AH162"/>
    <mergeCell ref="AJ153:AJ162"/>
    <mergeCell ref="Z160:AB160"/>
    <mergeCell ref="Z161:AB161"/>
    <mergeCell ref="Z162:AB162"/>
    <mergeCell ref="B183:B192"/>
    <mergeCell ref="Z183:AB183"/>
    <mergeCell ref="AG183:AG192"/>
    <mergeCell ref="Z171:AB171"/>
    <mergeCell ref="Z172:AB172"/>
    <mergeCell ref="AK163:AK172"/>
    <mergeCell ref="AL163:AL172"/>
  </mergeCells>
  <phoneticPr fontId="24" type="noConversion"/>
  <conditionalFormatting sqref="J94">
    <cfRule type="cellIs" dxfId="48" priority="27" operator="equal">
      <formula>"NO"</formula>
    </cfRule>
  </conditionalFormatting>
  <conditionalFormatting sqref="J177">
    <cfRule type="cellIs" dxfId="47" priority="26" operator="equal">
      <formula>"NO"</formula>
    </cfRule>
  </conditionalFormatting>
  <conditionalFormatting sqref="J337">
    <cfRule type="cellIs" dxfId="46" priority="6" operator="equal">
      <formula>"NO"</formula>
    </cfRule>
  </conditionalFormatting>
  <conditionalFormatting sqref="J23:M25 J26">
    <cfRule type="cellIs" dxfId="45" priority="30" operator="equal">
      <formula>"NO"</formula>
    </cfRule>
  </conditionalFormatting>
  <conditionalFormatting sqref="J27:M32">
    <cfRule type="cellIs" dxfId="44" priority="29" operator="equal">
      <formula>"NO"</formula>
    </cfRule>
  </conditionalFormatting>
  <conditionalFormatting sqref="J93:M93 J95:M176">
    <cfRule type="cellIs" dxfId="43" priority="28" operator="equal">
      <formula>"NO"</formula>
    </cfRule>
  </conditionalFormatting>
  <conditionalFormatting sqref="J178:M183 J184 J185:M185 J186:J187">
    <cfRule type="cellIs" dxfId="42" priority="21" operator="equal">
      <formula>"NO"</formula>
    </cfRule>
  </conditionalFormatting>
  <conditionalFormatting sqref="J237:M243 K244:M244">
    <cfRule type="cellIs" dxfId="41" priority="20" operator="equal">
      <formula>"NO"</formula>
    </cfRule>
  </conditionalFormatting>
  <conditionalFormatting sqref="J245:M283 J284">
    <cfRule type="cellIs" dxfId="40" priority="4" operator="equal">
      <formula>"NO"</formula>
    </cfRule>
  </conditionalFormatting>
  <conditionalFormatting sqref="J285:M336">
    <cfRule type="cellIs" dxfId="39" priority="3" operator="equal">
      <formula>"NO"</formula>
    </cfRule>
  </conditionalFormatting>
  <conditionalFormatting sqref="J338:M576">
    <cfRule type="cellIs" dxfId="38" priority="7" operator="equal">
      <formula>"NO"</formula>
    </cfRule>
  </conditionalFormatting>
  <conditionalFormatting sqref="J3:Q22 N23:Q32 J33:Q34 J35 M35:Q40 J36:L36 J37:K37 J38:L38 J39 J40:L40 J41:Q57 J58 N58:Q58 J59:Q74 J75 N75:Q75 J76:Q86 J87 N87:Q87 J88:Q92">
    <cfRule type="cellIs" dxfId="37" priority="162" operator="equal">
      <formula>"NO"</formula>
    </cfRule>
  </conditionalFormatting>
  <conditionalFormatting sqref="J577:Q672">
    <cfRule type="cellIs" dxfId="36" priority="51" operator="equal">
      <formula>"NO"</formula>
    </cfRule>
  </conditionalFormatting>
  <conditionalFormatting sqref="K187:M187 J188:M235 J236">
    <cfRule type="cellIs" dxfId="35" priority="19" operator="equal">
      <formula>"NO"</formula>
    </cfRule>
  </conditionalFormatting>
  <conditionalFormatting sqref="L35">
    <cfRule type="cellIs" dxfId="34" priority="38" operator="equal">
      <formula>"NO"</formula>
    </cfRule>
  </conditionalFormatting>
  <conditionalFormatting sqref="L39">
    <cfRule type="cellIs" dxfId="33" priority="37" operator="equal">
      <formula>"NO"</formula>
    </cfRule>
  </conditionalFormatting>
  <conditionalFormatting sqref="N93:Q576">
    <cfRule type="cellIs" dxfId="32" priority="152" operator="equal">
      <formula>"NO"</formula>
    </cfRule>
  </conditionalFormatting>
  <conditionalFormatting sqref="Z3:AC672">
    <cfRule type="cellIs" dxfId="31" priority="11" operator="equal">
      <formula>"NO"</formula>
    </cfRule>
  </conditionalFormatting>
  <conditionalFormatting sqref="AG3:AK672">
    <cfRule type="cellIs" dxfId="30" priority="54" operator="equal">
      <formula>"NO CUMPLE"</formula>
    </cfRule>
  </conditionalFormatting>
  <conditionalFormatting sqref="AL3:AL672">
    <cfRule type="cellIs" dxfId="29" priority="106" operator="equal">
      <formula>"PENDIENTE"</formula>
    </cfRule>
    <cfRule type="cellIs" dxfId="28" priority="105" operator="equal">
      <formula>"NO HÁBIL"</formula>
    </cfRule>
    <cfRule type="cellIs" dxfId="27" priority="107" operator="equal">
      <formula>"RECHAZADO"</formula>
    </cfRule>
  </conditionalFormatting>
  <conditionalFormatting sqref="AM3:AM672 AQ3:AS672">
    <cfRule type="cellIs" dxfId="26" priority="325" operator="equal">
      <formula>0</formula>
    </cfRule>
  </conditionalFormatting>
  <conditionalFormatting sqref="AN3:AN25 AN27:AN86">
    <cfRule type="cellIs" dxfId="25" priority="36" operator="equal">
      <formula>"SI"</formula>
    </cfRule>
  </conditionalFormatting>
  <conditionalFormatting sqref="AN88:AN93 AN95:AN176">
    <cfRule type="cellIs" dxfId="24" priority="24" operator="equal">
      <formula>"SI"</formula>
    </cfRule>
  </conditionalFormatting>
  <conditionalFormatting sqref="AN178:AN183 AN185 AN187:AN196">
    <cfRule type="cellIs" dxfId="23" priority="16" operator="equal">
      <formula>"SI"</formula>
    </cfRule>
  </conditionalFormatting>
  <conditionalFormatting sqref="AN198 AN200:AN201">
    <cfRule type="cellIs" dxfId="22" priority="17" operator="equal">
      <formula>"SI"</formula>
    </cfRule>
  </conditionalFormatting>
  <conditionalFormatting sqref="AN203:AN235">
    <cfRule type="cellIs" dxfId="21" priority="15" operator="equal">
      <formula>"SI"</formula>
    </cfRule>
  </conditionalFormatting>
  <conditionalFormatting sqref="AN237:AN283 AN285:AN672">
    <cfRule type="cellIs" dxfId="20" priority="2" operator="equal">
      <formula>"SI"</formula>
    </cfRule>
  </conditionalFormatting>
  <conditionalFormatting sqref="AO3:AO182">
    <cfRule type="cellIs" dxfId="19" priority="23" operator="equal">
      <formula>"NO"</formula>
    </cfRule>
  </conditionalFormatting>
  <conditionalFormatting sqref="AO195 AO196:AP196 AO197 AO198:AP198 AO199 AO200:AP201 AO202:AO207">
    <cfRule type="cellIs" dxfId="18" priority="119" operator="equal">
      <formula>"NO"</formula>
    </cfRule>
  </conditionalFormatting>
  <conditionalFormatting sqref="AO183:AP183 AO184 AO185:AP185 AO186 AO187:AP194">
    <cfRule type="cellIs" dxfId="17" priority="117" operator="equal">
      <formula>"NO"</formula>
    </cfRule>
  </conditionalFormatting>
  <conditionalFormatting sqref="AO208:AP223 AO224:AO225 AO226:AP235 AO236">
    <cfRule type="cellIs" dxfId="16" priority="114" operator="equal">
      <formula>"NO"</formula>
    </cfRule>
  </conditionalFormatting>
  <conditionalFormatting sqref="AO237:AP282 AO283:AO289 AO290:AP672">
    <cfRule type="cellIs" dxfId="15" priority="9" operator="equal">
      <formula>"NO"</formula>
    </cfRule>
  </conditionalFormatting>
  <conditionalFormatting sqref="AP3:AP25 AP27:AP86">
    <cfRule type="cellIs" dxfId="14" priority="32" operator="equal">
      <formula>"NO"</formula>
    </cfRule>
  </conditionalFormatting>
  <conditionalFormatting sqref="AP88:AP93 AP95:AP176 AP178:AP182">
    <cfRule type="cellIs" dxfId="13" priority="22" operator="equal">
      <formula>"NO"</formula>
    </cfRule>
  </conditionalFormatting>
  <conditionalFormatting sqref="AP203:AP207">
    <cfRule type="cellIs" dxfId="12" priority="116" operator="equal">
      <formula>"NO"</formula>
    </cfRule>
  </conditionalFormatting>
  <conditionalFormatting sqref="AP283 AP285:AP289">
    <cfRule type="cellIs" dxfId="11" priority="1" operator="equal">
      <formula>"NO"</formula>
    </cfRule>
  </conditionalFormatting>
  <dataValidations count="2">
    <dataValidation type="list" allowBlank="1" showInputMessage="1" showErrorMessage="1" sqref="AP95:AP176 K38:M38 K37 K59:M74 AN27:AN86 K76:M86 AP237:AP283 AN95:AN176 L39 AP200:AP201 J185:M185 AP196 K187:M235 AP198 AO3:AO672 AN200:AN201 J26 J176:M176 AN3:AN25 AN237:AN283 K40:L57 K36:M36 L35:M35 M37 M39:M57 AP203:AP223 AP27:AP86 Z3:AB672 AP3:AP25 J3:M25 K33:M34 J27:M32 J33:J175 K88:M92 K95:K174 K93 L93:M174 AN88:AN93 AP88:AP93 AN187:AN194 K178:M183 J177:J184 AP187:AP194 AN196 AN198 AN178:AN183 AN185 AP178:AP183 AP185 K285:M336 J186:J243 AN203:AN235 AP226:AP235 K237:M283 AN285:AN672 K338:M672 J245:J672 AP285:AP672" xr:uid="{00000000-0002-0000-0300-000000000000}">
      <formula1>VALIDACION</formula1>
    </dataValidation>
    <dataValidation type="list" allowBlank="1" showInputMessage="1" showErrorMessage="1" sqref="AL3:AL672" xr:uid="{00000000-0002-0000-0300-000001000000}">
      <formula1>CALIFICACIONPROP</formula1>
    </dataValidation>
  </dataValidation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rgb="FFFF0000"/>
  </sheetPr>
  <dimension ref="B1:AD282"/>
  <sheetViews>
    <sheetView topLeftCell="A25" zoomScale="50" zoomScaleNormal="50" workbookViewId="0">
      <selection activeCell="A44" sqref="A44:XFD44"/>
    </sheetView>
  </sheetViews>
  <sheetFormatPr baseColWidth="10" defaultColWidth="11.453125" defaultRowHeight="14.5"/>
  <cols>
    <col min="1" max="1" width="2.6328125" style="4" customWidth="1"/>
    <col min="2" max="2" width="11.453125" style="4"/>
    <col min="3" max="3" width="59.36328125" style="4" bestFit="1" customWidth="1"/>
    <col min="4" max="4" width="21.6328125" style="4" customWidth="1"/>
    <col min="5" max="5" width="17.453125" style="4" customWidth="1"/>
    <col min="6" max="6" width="18" style="4" customWidth="1"/>
    <col min="7" max="7" width="17.36328125" style="4" customWidth="1"/>
    <col min="8" max="8" width="18.453125" style="4" customWidth="1"/>
    <col min="9" max="9" width="24.453125" style="4" customWidth="1"/>
    <col min="10" max="10" width="22.1796875" style="4" customWidth="1"/>
    <col min="11" max="12" width="11.453125" style="4" hidden="1" customWidth="1"/>
    <col min="13" max="21" width="11.453125" style="4"/>
    <col min="22" max="23" width="11.453125" style="4" customWidth="1"/>
    <col min="24" max="26" width="11.453125" style="31" customWidth="1"/>
    <col min="27" max="27" width="2.6328125" style="4" customWidth="1"/>
    <col min="28" max="30" width="11.453125" style="31" customWidth="1"/>
    <col min="31" max="34" width="11.453125" style="4" customWidth="1"/>
    <col min="35" max="16384" width="11.453125" style="4"/>
  </cols>
  <sheetData>
    <row r="1" spans="2:22" ht="14.5" customHeight="1" thickBot="1">
      <c r="B1" s="757" t="s">
        <v>157</v>
      </c>
      <c r="C1" s="758"/>
      <c r="D1" s="758"/>
      <c r="E1" s="758"/>
      <c r="F1" s="758"/>
      <c r="G1" s="758"/>
      <c r="H1" s="758"/>
      <c r="I1" s="758"/>
      <c r="J1" s="759"/>
    </row>
    <row r="2" spans="2:22" ht="14.5" customHeight="1">
      <c r="B2" s="760" t="s">
        <v>91</v>
      </c>
      <c r="C2" s="761"/>
      <c r="D2" s="761"/>
      <c r="E2" s="761"/>
      <c r="F2" s="761"/>
      <c r="G2" s="761"/>
      <c r="H2" s="762"/>
      <c r="I2" s="25" t="s">
        <v>92</v>
      </c>
      <c r="J2" s="67">
        <v>3710.5</v>
      </c>
      <c r="N2" s="738" t="e" vm="1">
        <v>#VALUE!</v>
      </c>
      <c r="O2" s="739"/>
      <c r="P2" s="739"/>
      <c r="Q2" s="739"/>
      <c r="R2" s="739"/>
      <c r="S2" s="739"/>
      <c r="T2" s="739"/>
      <c r="U2" s="739"/>
      <c r="V2" s="740"/>
    </row>
    <row r="3" spans="2:22">
      <c r="B3" s="763" t="s">
        <v>118</v>
      </c>
      <c r="C3" s="764"/>
      <c r="D3" s="764"/>
      <c r="E3" s="764"/>
      <c r="F3" s="764"/>
      <c r="G3" s="764"/>
      <c r="H3" s="765"/>
      <c r="I3" s="25" t="s">
        <v>93</v>
      </c>
      <c r="J3" s="32">
        <f>IF(J2="","",100*(J2-INT(J2)))</f>
        <v>50</v>
      </c>
      <c r="N3" s="741"/>
      <c r="O3" s="742"/>
      <c r="P3" s="742"/>
      <c r="Q3" s="742"/>
      <c r="R3" s="742"/>
      <c r="S3" s="742"/>
      <c r="T3" s="742"/>
      <c r="U3" s="742"/>
      <c r="V3" s="743"/>
    </row>
    <row r="4" spans="2:22" ht="14.5" customHeight="1">
      <c r="B4" s="760" t="s">
        <v>107</v>
      </c>
      <c r="C4" s="761"/>
      <c r="D4" s="761"/>
      <c r="E4" s="761"/>
      <c r="F4" s="761"/>
      <c r="G4" s="761"/>
      <c r="H4" s="762"/>
      <c r="I4" s="771">
        <v>1</v>
      </c>
      <c r="J4" s="772"/>
      <c r="N4" s="741"/>
      <c r="O4" s="742"/>
      <c r="P4" s="742"/>
      <c r="Q4" s="742"/>
      <c r="R4" s="742"/>
      <c r="S4" s="742"/>
      <c r="T4" s="742"/>
      <c r="U4" s="742"/>
      <c r="V4" s="743"/>
    </row>
    <row r="5" spans="2:22" ht="14.5" customHeight="1">
      <c r="B5" s="760" t="s">
        <v>119</v>
      </c>
      <c r="C5" s="761"/>
      <c r="D5" s="761"/>
      <c r="E5" s="761"/>
      <c r="F5" s="761"/>
      <c r="G5" s="761"/>
      <c r="H5" s="762"/>
      <c r="I5" s="771" t="s">
        <v>108</v>
      </c>
      <c r="J5" s="772"/>
      <c r="N5" s="741"/>
      <c r="O5" s="742"/>
      <c r="P5" s="742"/>
      <c r="Q5" s="742"/>
      <c r="R5" s="742"/>
      <c r="S5" s="742"/>
      <c r="T5" s="742"/>
      <c r="U5" s="742"/>
      <c r="V5" s="743"/>
    </row>
    <row r="6" spans="2:22" ht="14.5" customHeight="1" thickBot="1">
      <c r="B6" s="766" t="s">
        <v>120</v>
      </c>
      <c r="C6" s="767"/>
      <c r="D6" s="767"/>
      <c r="E6" s="767"/>
      <c r="F6" s="767"/>
      <c r="G6" s="767"/>
      <c r="H6" s="768"/>
      <c r="I6" s="773" t="str">
        <f>IF(J2="","",IF(OR($I$4=1,$I$5="",$I$5="NO APLICA"),IF(AND(J3&gt;=0,J3&lt;=24),"MEDIANA CON VALOR ABSOLUTO",IF(AND(J3&gt;=25,J3&lt;=49),"MEDIA GEOMÉTRICA",IF(AND(J3&gt;=50,J3&lt;=74),"MEDIA ARITMÉTICA ALTA","MEDIA ARITMÉTICA BAJA"))),IF(I5="MEDIANA CON VALOR ABSOLUTO","MEDIA GEOMÉTRICA",IF(I5="MEDIA GEOMÉTRICA","MEDIA ARITMÉTICA ALTA",IF(I5="MEDIA ARITMÉTICA ALTA","MEDIA ARITMÉTICA BAJA",IF(I5="MEDIA ARITMÉTICA BAJA","MEDIANA CON VALOR ABSOLUTO","NO APLICA"))))))</f>
        <v>MEDIA ARITMÉTICA ALTA</v>
      </c>
      <c r="J6" s="774"/>
      <c r="N6" s="741"/>
      <c r="O6" s="742"/>
      <c r="P6" s="742"/>
      <c r="Q6" s="742"/>
      <c r="R6" s="742"/>
      <c r="S6" s="742"/>
      <c r="T6" s="742"/>
      <c r="U6" s="742"/>
      <c r="V6" s="743"/>
    </row>
    <row r="7" spans="2:22" ht="15" thickBot="1">
      <c r="N7" s="741"/>
      <c r="O7" s="742"/>
      <c r="P7" s="742"/>
      <c r="Q7" s="742"/>
      <c r="R7" s="742"/>
      <c r="S7" s="742"/>
      <c r="T7" s="742"/>
      <c r="U7" s="742"/>
      <c r="V7" s="743"/>
    </row>
    <row r="8" spans="2:22">
      <c r="B8" s="757" t="s">
        <v>94</v>
      </c>
      <c r="C8" s="758"/>
      <c r="D8" s="758"/>
      <c r="E8" s="758"/>
      <c r="F8" s="758"/>
      <c r="G8" s="758"/>
      <c r="H8" s="758"/>
      <c r="I8" s="758"/>
      <c r="J8" s="759"/>
      <c r="N8" s="741"/>
      <c r="O8" s="742"/>
      <c r="P8" s="742"/>
      <c r="Q8" s="742"/>
      <c r="R8" s="742"/>
      <c r="S8" s="742"/>
      <c r="T8" s="742"/>
      <c r="U8" s="742"/>
      <c r="V8" s="743"/>
    </row>
    <row r="9" spans="2:22">
      <c r="B9" s="731" t="s">
        <v>95</v>
      </c>
      <c r="C9" s="732"/>
      <c r="D9" s="732"/>
      <c r="E9" s="732"/>
      <c r="F9" s="732"/>
      <c r="G9" s="732"/>
      <c r="H9" s="732"/>
      <c r="I9" s="732"/>
      <c r="J9" s="34">
        <f>COUNT(H33:H99)</f>
        <v>33</v>
      </c>
      <c r="N9" s="741"/>
      <c r="O9" s="742"/>
      <c r="P9" s="742"/>
      <c r="Q9" s="742"/>
      <c r="R9" s="742"/>
      <c r="S9" s="742"/>
      <c r="T9" s="742"/>
      <c r="U9" s="742"/>
      <c r="V9" s="743"/>
    </row>
    <row r="10" spans="2:22">
      <c r="B10" s="731" t="s">
        <v>96</v>
      </c>
      <c r="C10" s="732"/>
      <c r="D10" s="732"/>
      <c r="E10" s="732"/>
      <c r="F10" s="732"/>
      <c r="G10" s="732"/>
      <c r="H10" s="732"/>
      <c r="I10" s="732"/>
      <c r="J10" s="35">
        <f>MIN(H33:H99)</f>
        <v>10894.264800000001</v>
      </c>
      <c r="M10" s="29"/>
      <c r="N10" s="741"/>
      <c r="O10" s="742"/>
      <c r="P10" s="742"/>
      <c r="Q10" s="742"/>
      <c r="R10" s="742"/>
      <c r="S10" s="742"/>
      <c r="T10" s="742"/>
      <c r="U10" s="742"/>
      <c r="V10" s="743"/>
    </row>
    <row r="11" spans="2:22">
      <c r="B11" s="731" t="s">
        <v>97</v>
      </c>
      <c r="C11" s="732"/>
      <c r="D11" s="732"/>
      <c r="E11" s="732"/>
      <c r="F11" s="732"/>
      <c r="G11" s="732"/>
      <c r="H11" s="732"/>
      <c r="I11" s="732"/>
      <c r="J11" s="35">
        <f>MAX(H33:H99)</f>
        <v>27048.273374999997</v>
      </c>
      <c r="N11" s="741"/>
      <c r="O11" s="742"/>
      <c r="P11" s="742"/>
      <c r="Q11" s="742"/>
      <c r="R11" s="742"/>
      <c r="S11" s="742"/>
      <c r="T11" s="742"/>
      <c r="U11" s="742"/>
      <c r="V11" s="743"/>
    </row>
    <row r="12" spans="2:22">
      <c r="B12" s="731" t="s">
        <v>98</v>
      </c>
      <c r="C12" s="732"/>
      <c r="D12" s="732"/>
      <c r="E12" s="732"/>
      <c r="F12" s="732"/>
      <c r="G12" s="732"/>
      <c r="H12" s="732"/>
      <c r="I12" s="732"/>
      <c r="J12" s="35">
        <f>IF(J9=0,0,AVERAGE(H33:H99))</f>
        <v>16162.620828758512</v>
      </c>
      <c r="M12" s="29"/>
      <c r="N12" s="741"/>
      <c r="O12" s="742"/>
      <c r="P12" s="742"/>
      <c r="Q12" s="742"/>
      <c r="R12" s="742"/>
      <c r="S12" s="742"/>
      <c r="T12" s="742"/>
      <c r="U12" s="742"/>
      <c r="V12" s="743"/>
    </row>
    <row r="13" spans="2:22">
      <c r="B13" s="731" t="s">
        <v>99</v>
      </c>
      <c r="C13" s="732"/>
      <c r="D13" s="732"/>
      <c r="E13" s="732"/>
      <c r="F13" s="732"/>
      <c r="G13" s="732"/>
      <c r="H13" s="732"/>
      <c r="I13" s="732"/>
      <c r="J13" s="35">
        <f>IF(J9=0,0,MEDIAN(H33:H99))</f>
        <v>15441.570959999997</v>
      </c>
      <c r="K13" s="53"/>
      <c r="L13" s="29"/>
      <c r="M13" s="29"/>
      <c r="N13" s="741"/>
      <c r="O13" s="742"/>
      <c r="P13" s="742"/>
      <c r="Q13" s="742"/>
      <c r="R13" s="742"/>
      <c r="S13" s="742"/>
      <c r="T13" s="742"/>
      <c r="U13" s="742"/>
      <c r="V13" s="743"/>
    </row>
    <row r="14" spans="2:22" ht="15" thickBot="1">
      <c r="B14" s="769" t="s">
        <v>100</v>
      </c>
      <c r="C14" s="770"/>
      <c r="D14" s="770"/>
      <c r="E14" s="770"/>
      <c r="F14" s="770"/>
      <c r="G14" s="770"/>
      <c r="H14" s="770"/>
      <c r="I14" s="770"/>
      <c r="J14" s="55">
        <v>77.5</v>
      </c>
      <c r="N14" s="741"/>
      <c r="O14" s="742"/>
      <c r="P14" s="742"/>
      <c r="Q14" s="742"/>
      <c r="R14" s="742"/>
      <c r="S14" s="742"/>
      <c r="T14" s="742"/>
      <c r="U14" s="742"/>
      <c r="V14" s="743"/>
    </row>
    <row r="15" spans="2:22" ht="15" thickBot="1">
      <c r="N15" s="741"/>
      <c r="O15" s="742"/>
      <c r="P15" s="742"/>
      <c r="Q15" s="742"/>
      <c r="R15" s="742"/>
      <c r="S15" s="742"/>
      <c r="T15" s="742"/>
      <c r="U15" s="742"/>
      <c r="V15" s="743"/>
    </row>
    <row r="16" spans="2:22">
      <c r="B16" s="757" t="s">
        <v>101</v>
      </c>
      <c r="C16" s="758"/>
      <c r="D16" s="758"/>
      <c r="E16" s="758"/>
      <c r="F16" s="758"/>
      <c r="G16" s="758"/>
      <c r="H16" s="758"/>
      <c r="I16" s="758"/>
      <c r="J16" s="759"/>
      <c r="N16" s="741"/>
      <c r="O16" s="742"/>
      <c r="P16" s="742"/>
      <c r="Q16" s="742"/>
      <c r="R16" s="742"/>
      <c r="S16" s="742"/>
      <c r="T16" s="742"/>
      <c r="U16" s="742"/>
      <c r="V16" s="743"/>
    </row>
    <row r="17" spans="2:30">
      <c r="B17" s="750" t="s">
        <v>102</v>
      </c>
      <c r="C17" s="751"/>
      <c r="D17" s="751"/>
      <c r="E17" s="751"/>
      <c r="F17" s="751"/>
      <c r="G17" s="751"/>
      <c r="H17" s="751"/>
      <c r="I17" s="751"/>
      <c r="J17" s="752"/>
      <c r="N17" s="741"/>
      <c r="O17" s="742"/>
      <c r="P17" s="742"/>
      <c r="Q17" s="742"/>
      <c r="R17" s="742"/>
      <c r="S17" s="742"/>
      <c r="T17" s="742"/>
      <c r="U17" s="742"/>
      <c r="V17" s="743"/>
    </row>
    <row r="18" spans="2:30">
      <c r="B18" s="753" t="s">
        <v>103</v>
      </c>
      <c r="C18" s="754"/>
      <c r="D18" s="754"/>
      <c r="E18" s="754"/>
      <c r="F18" s="754"/>
      <c r="G18" s="754"/>
      <c r="H18" s="754"/>
      <c r="I18" s="754"/>
      <c r="J18" s="34" t="str">
        <f>IF(J9=0,0,IF(MOD(J9,2)=0,"Par","Impar"))</f>
        <v>Impar</v>
      </c>
      <c r="N18" s="741"/>
      <c r="O18" s="742"/>
      <c r="P18" s="742"/>
      <c r="Q18" s="742"/>
      <c r="R18" s="742"/>
      <c r="S18" s="742"/>
      <c r="T18" s="742"/>
      <c r="U18" s="742"/>
      <c r="V18" s="743"/>
    </row>
    <row r="19" spans="2:30">
      <c r="B19" s="755" t="str">
        <f>IF(J18=0,"Registrar Propuestas",IF(J18="Impar","Valor de la Mediana",IF(J18="Par","Valor de la Propuesta Inmediatamente por debajo del Valor de la Mediana")))</f>
        <v>Valor de la Mediana</v>
      </c>
      <c r="C19" s="756"/>
      <c r="D19" s="756"/>
      <c r="E19" s="756"/>
      <c r="F19" s="756"/>
      <c r="G19" s="756"/>
      <c r="H19" s="756"/>
      <c r="I19" s="756"/>
      <c r="J19" s="35">
        <f>IF(J18=0,0,IF(J18="Impar",$J$13,IF(J18="Par",VLOOKUP("MÍNIMO",$Y$33:$Z$99,2,FALSE),"NO APLICA")))</f>
        <v>15441.570959999997</v>
      </c>
      <c r="N19" s="741"/>
      <c r="O19" s="742"/>
      <c r="P19" s="742"/>
      <c r="Q19" s="742"/>
      <c r="R19" s="742"/>
      <c r="S19" s="742"/>
      <c r="T19" s="742"/>
      <c r="U19" s="742"/>
      <c r="V19" s="743"/>
    </row>
    <row r="20" spans="2:30" ht="13.75" customHeight="1">
      <c r="B20" s="750" t="s">
        <v>104</v>
      </c>
      <c r="C20" s="751"/>
      <c r="D20" s="751"/>
      <c r="E20" s="751"/>
      <c r="F20" s="751"/>
      <c r="G20" s="751"/>
      <c r="H20" s="751"/>
      <c r="I20" s="751"/>
      <c r="J20" s="752"/>
      <c r="N20" s="741"/>
      <c r="O20" s="742"/>
      <c r="P20" s="742"/>
      <c r="Q20" s="742"/>
      <c r="R20" s="742"/>
      <c r="S20" s="742"/>
      <c r="T20" s="742"/>
      <c r="U20" s="742"/>
      <c r="V20" s="743"/>
    </row>
    <row r="21" spans="2:30">
      <c r="B21" s="753" t="s">
        <v>151</v>
      </c>
      <c r="C21" s="754"/>
      <c r="D21" s="754"/>
      <c r="E21" s="754"/>
      <c r="F21" s="754"/>
      <c r="G21" s="754"/>
      <c r="H21" s="754"/>
      <c r="I21" s="754"/>
      <c r="J21" s="35">
        <f>IF(J23=0,0,VLOOKUP("MÍNIMO",$AC$33:$AD$99,2,FALSE))</f>
        <v>16024.608540000001</v>
      </c>
      <c r="N21" s="741"/>
      <c r="O21" s="742"/>
      <c r="P21" s="742"/>
      <c r="Q21" s="742"/>
      <c r="R21" s="742"/>
      <c r="S21" s="742"/>
      <c r="T21" s="742"/>
      <c r="U21" s="742"/>
      <c r="V21" s="743"/>
    </row>
    <row r="22" spans="2:30">
      <c r="B22" s="753" t="s">
        <v>150</v>
      </c>
      <c r="C22" s="754"/>
      <c r="D22" s="754"/>
      <c r="E22" s="754"/>
      <c r="F22" s="754"/>
      <c r="G22" s="754"/>
      <c r="H22" s="754"/>
      <c r="I22" s="754"/>
      <c r="J22" s="47">
        <f>IF(J9=0,0,PRODUCT(I33:I99))</f>
        <v>4.1095019661208556E-93</v>
      </c>
      <c r="N22" s="741"/>
      <c r="O22" s="742"/>
      <c r="P22" s="742"/>
      <c r="Q22" s="742"/>
      <c r="R22" s="742"/>
      <c r="S22" s="742"/>
      <c r="T22" s="742"/>
      <c r="U22" s="742"/>
      <c r="V22" s="743"/>
    </row>
    <row r="23" spans="2:30">
      <c r="B23" s="753" t="s">
        <v>146</v>
      </c>
      <c r="C23" s="754"/>
      <c r="D23" s="754"/>
      <c r="E23" s="754"/>
      <c r="F23" s="754"/>
      <c r="G23" s="754"/>
      <c r="H23" s="754"/>
      <c r="I23" s="754"/>
      <c r="J23" s="35">
        <f>IF(J9=0,0,10000000*POWER(J22,1/$J$9))</f>
        <v>15864.188235471169</v>
      </c>
      <c r="N23" s="741"/>
      <c r="O23" s="742"/>
      <c r="P23" s="742"/>
      <c r="Q23" s="742"/>
      <c r="R23" s="742"/>
      <c r="S23" s="742"/>
      <c r="T23" s="742"/>
      <c r="U23" s="742"/>
      <c r="V23" s="743"/>
    </row>
    <row r="24" spans="2:30" ht="14.5" customHeight="1">
      <c r="B24" s="750" t="s">
        <v>105</v>
      </c>
      <c r="C24" s="751"/>
      <c r="D24" s="751"/>
      <c r="E24" s="751"/>
      <c r="F24" s="751"/>
      <c r="G24" s="751"/>
      <c r="H24" s="751"/>
      <c r="I24" s="751"/>
      <c r="J24" s="752"/>
      <c r="N24" s="741"/>
      <c r="O24" s="742"/>
      <c r="P24" s="742"/>
      <c r="Q24" s="742"/>
      <c r="R24" s="742"/>
      <c r="S24" s="742"/>
      <c r="T24" s="742"/>
      <c r="U24" s="742"/>
      <c r="V24" s="743"/>
    </row>
    <row r="25" spans="2:30">
      <c r="B25" s="753" t="s">
        <v>121</v>
      </c>
      <c r="C25" s="754"/>
      <c r="D25" s="754"/>
      <c r="E25" s="754"/>
      <c r="F25" s="754"/>
      <c r="G25" s="754"/>
      <c r="H25" s="754"/>
      <c r="I25" s="754"/>
      <c r="J25" s="35">
        <f>(((SUM(H33:H90)-J11)/(J9-1))+(J11))/2</f>
        <v>21435.358780844232</v>
      </c>
      <c r="N25" s="741"/>
      <c r="O25" s="742"/>
      <c r="P25" s="742"/>
      <c r="Q25" s="742"/>
      <c r="R25" s="742"/>
      <c r="S25" s="742"/>
      <c r="T25" s="742"/>
      <c r="U25" s="742"/>
      <c r="V25" s="743"/>
    </row>
    <row r="26" spans="2:30" ht="14.5" customHeight="1">
      <c r="B26" s="750" t="s">
        <v>106</v>
      </c>
      <c r="C26" s="751"/>
      <c r="D26" s="751"/>
      <c r="E26" s="751"/>
      <c r="F26" s="751"/>
      <c r="G26" s="751"/>
      <c r="H26" s="751"/>
      <c r="I26" s="751"/>
      <c r="J26" s="752"/>
      <c r="N26" s="741"/>
      <c r="O26" s="742"/>
      <c r="P26" s="742"/>
      <c r="Q26" s="742"/>
      <c r="R26" s="742"/>
      <c r="S26" s="742"/>
      <c r="T26" s="742"/>
      <c r="U26" s="742"/>
      <c r="V26" s="743"/>
    </row>
    <row r="27" spans="2:30" ht="15" thickBot="1">
      <c r="B27" s="733" t="s">
        <v>122</v>
      </c>
      <c r="C27" s="734"/>
      <c r="D27" s="734"/>
      <c r="E27" s="734"/>
      <c r="F27" s="734"/>
      <c r="G27" s="734"/>
      <c r="H27" s="734"/>
      <c r="I27" s="734"/>
      <c r="J27" s="37">
        <f>((SUM(H33:H90)-J10)/(J9-1)+(J10))/2</f>
        <v>13610.760877328608</v>
      </c>
      <c r="N27" s="741"/>
      <c r="O27" s="742"/>
      <c r="P27" s="742"/>
      <c r="Q27" s="742"/>
      <c r="R27" s="742"/>
      <c r="S27" s="742"/>
      <c r="T27" s="742"/>
      <c r="U27" s="742"/>
      <c r="V27" s="743"/>
    </row>
    <row r="28" spans="2:30" ht="15" thickBot="1">
      <c r="N28" s="741"/>
      <c r="O28" s="742"/>
      <c r="P28" s="742"/>
      <c r="Q28" s="742"/>
      <c r="R28" s="742"/>
      <c r="S28" s="742"/>
      <c r="T28" s="742"/>
      <c r="U28" s="742"/>
      <c r="V28" s="743"/>
    </row>
    <row r="29" spans="2:30" ht="26" customHeight="1" thickBot="1">
      <c r="B29" s="735" t="s">
        <v>109</v>
      </c>
      <c r="C29" s="736"/>
      <c r="D29" s="736"/>
      <c r="E29" s="737" t="str">
        <f>IF(I6="","",I6)</f>
        <v>MEDIA ARITMÉTICA ALTA</v>
      </c>
      <c r="F29" s="737"/>
      <c r="G29" s="737"/>
      <c r="H29" s="737"/>
      <c r="I29" s="737"/>
      <c r="J29" s="38">
        <f>IF(E29="MEDIANA CON VALOR ABSOLUTO",$J$19,IF(E29="MEDIA GEOMÉTRICA",$J$23,IF(E29="MEDIA ARITMÉTICA ALTA",$J$25,IF(E29="MEDIA ARITMÉTICA BAJA",J27,""))))</f>
        <v>21435.358780844232</v>
      </c>
      <c r="N29" s="744"/>
      <c r="O29" s="745"/>
      <c r="P29" s="745"/>
      <c r="Q29" s="745"/>
      <c r="R29" s="745"/>
      <c r="S29" s="745"/>
      <c r="T29" s="745"/>
      <c r="U29" s="745"/>
      <c r="V29" s="746"/>
    </row>
    <row r="30" spans="2:30" ht="15" thickBot="1"/>
    <row r="31" spans="2:30">
      <c r="B31" s="747" t="s">
        <v>110</v>
      </c>
      <c r="C31" s="748"/>
      <c r="D31" s="748"/>
      <c r="E31" s="748"/>
      <c r="F31" s="748"/>
      <c r="G31" s="748"/>
      <c r="H31" s="748"/>
      <c r="I31" s="748"/>
      <c r="J31" s="749"/>
    </row>
    <row r="32" spans="2:30" ht="115.5" customHeight="1" thickBot="1">
      <c r="B32" s="78" t="s">
        <v>111</v>
      </c>
      <c r="C32" s="79" t="s">
        <v>18</v>
      </c>
      <c r="D32" s="79" t="s">
        <v>112</v>
      </c>
      <c r="E32" s="79" t="s">
        <v>116</v>
      </c>
      <c r="F32" s="79" t="s">
        <v>113</v>
      </c>
      <c r="G32" s="79" t="s">
        <v>114</v>
      </c>
      <c r="H32" s="79" t="s">
        <v>115</v>
      </c>
      <c r="I32" s="79" t="s">
        <v>154</v>
      </c>
      <c r="J32" s="80" t="s">
        <v>117</v>
      </c>
      <c r="X32" s="4" t="s">
        <v>143</v>
      </c>
      <c r="Y32" s="4" t="s">
        <v>144</v>
      </c>
      <c r="Z32" s="4" t="s">
        <v>145</v>
      </c>
      <c r="AB32" s="4" t="s">
        <v>147</v>
      </c>
      <c r="AC32" s="4" t="s">
        <v>148</v>
      </c>
      <c r="AD32" s="4" t="s">
        <v>149</v>
      </c>
    </row>
    <row r="33" spans="2:30">
      <c r="B33" s="81" t="s">
        <v>30</v>
      </c>
      <c r="C33" s="90" t="str">
        <f>+IFERROR(INDEX('DESEMPATE Y DISCAPACIDAD'!$B$3:$B$450,MATCH(B33,'DESEMPATE Y DISCAPACIDAD'!$A$3:$A$450,0)),"")</f>
        <v>CONSORCIO VIAS DEL CAUCA CT</v>
      </c>
      <c r="D33" s="69" t="str">
        <f>IF(C33&lt;&gt;"",VLOOKUP("A"&amp;B33,'EXPERIENCIA '!$A$1:$AT$672,41,FALSE),"")</f>
        <v>SI</v>
      </c>
      <c r="E33" s="69" t="str">
        <f>IF(C33&lt;&gt;"",VLOOKUP(B33,CONSOLIDADO!$A$6:$I$1896,9,FALSE),"")</f>
        <v>HÁBIL</v>
      </c>
      <c r="F33" s="82">
        <f>IF(C33&lt;&gt;"",IF(AND(D33="SI",E33="HÁBIL"),VLOOKUP("A"&amp;B33,'EXPERIENCIA '!$A$1:$AT$672,43,FALSE),"DESCARTADO"),"")</f>
        <v>5</v>
      </c>
      <c r="G33" s="82">
        <f>IF(C33&lt;&gt;"",IF(AND(D33="SI",E33="HÁBIL"),VLOOKUP("A"&amp;B33,'EXPERIENCIA '!$A$1:$AT$672,44,FALSE),"DESCARTADO"),"")</f>
        <v>72438.022400000002</v>
      </c>
      <c r="H33" s="82">
        <f>IF(C33&lt;&gt;"",IF(AND(D33="SI",E33="HÁBIL"),VLOOKUP("A"&amp;B33,'EXPERIENCIA '!$A$1:$AT$672,45,FALSE),"DESCARTADO"),"")</f>
        <v>14487.60448</v>
      </c>
      <c r="I33" s="83">
        <f>IF(ISTEXT(H33),"",H33/10000000)</f>
        <v>1.4487604480000001E-3</v>
      </c>
      <c r="J33" s="84">
        <f>IF(H33="DESCARTADO",0,IF($E$29="MEDIANA CON VALOR ABSOLUTO",IF(($J$14*(1-(ABS(($J$29-H33)/$J$29))))&lt;0,0,IF(H33=$J$29,$J$14,$J$14*(1-(ABS(($J$29-H33)/$J$29))))),IF($E$29="MEDIA GEOMÉTRICA",IF(($J$14*(1-((ABS($J$29-H33))/$J$29)))&lt;0,0,IF(H33=$J$21,$J$14,$J$14*(1-((ABS($J$29-H33))/$J$29)))),IF($E$29="MEDIA ARITMÉTICA ALTA",IF(H33&lt;=$J$29,$J$14*(1-(($J$29-H33)/$J$29)),$J$14*(1-2*((ABS($J$29-H33))/$J$29))),
IF($E$29="MEDIA ARITMÉTICA BAJA",IF(H33&lt;=$J$29,       IF(   ($J$14*(1-(($J$29-H33)/$J$29)))&lt;0,0,  ($J$14*(1-(($J$29-H33)/$J$29)))  ),   IF(     ($J$14*(1-((ABS($J$29-H33))/$J$29)))&lt;0,0,   ($J$14*(1-((ABS($J$29-H33))/$J$29))))         ),"")))))</f>
        <v>52.380245121130606</v>
      </c>
      <c r="K33" s="4">
        <f>IF(AND(E33="HÁBIL",H33="DESCARTADO"),0,(IF(E33="HÁBIL",H33,"")))</f>
        <v>14487.60448</v>
      </c>
      <c r="L33" s="4">
        <f>IF(AND(E33="HÁBIL",H33="DESCARTADO"),0,(IF(E33="HÁBIL",H33,"")))</f>
        <v>14487.60448</v>
      </c>
      <c r="X33" s="29" t="str">
        <f t="shared" ref="X33:X90" si="0">IF(H33="DESCARTADO","",IF($J$18="Impar","",IF(H33&gt;$J$13,"",$J$13-H33)))</f>
        <v/>
      </c>
      <c r="Y33" s="29" t="str">
        <f>IF(X33=MIN($X$33:$X$90),"MÍNIMO","")</f>
        <v/>
      </c>
      <c r="Z33" s="29" t="str">
        <f t="shared" ref="Z33:Z90" si="1">IF(Y33="","",IF(Y33="MÍNIMO",H33,""))</f>
        <v/>
      </c>
      <c r="AA33" s="29"/>
      <c r="AB33" s="29">
        <f>IF(H33="DESCARTADO","",ABS(H33-$J$23))</f>
        <v>1376.5837554711688</v>
      </c>
      <c r="AC33" s="29" t="str">
        <f>IF(AB33=MIN($AB$33:$AB$99),"MÍNIMO","")</f>
        <v/>
      </c>
      <c r="AD33" s="29" t="str">
        <f>IF(AC33="","",IF(AC33="MÍNIMO",H33,""))</f>
        <v/>
      </c>
    </row>
    <row r="34" spans="2:30">
      <c r="B34" s="36" t="s">
        <v>123</v>
      </c>
      <c r="C34" s="89" t="str">
        <f>+IFERROR(INDEX('DESEMPATE Y DISCAPACIDAD'!$B$3:$B$450,MATCH(B34,'DESEMPATE Y DISCAPACIDAD'!$A$3:$A$450,0)),"")</f>
        <v>CONSORCIO INTER CONCESIÓN POPAYAN.</v>
      </c>
      <c r="D34" s="25" t="str">
        <f>IF(C34&lt;&gt;"",VLOOKUP("A"&amp;B34,'EXPERIENCIA '!$A$1:$AT$672,41,FALSE),"")</f>
        <v>SI</v>
      </c>
      <c r="E34" s="25" t="str">
        <f>IF(C34&lt;&gt;"",VLOOKUP(B34,CONSOLIDADO!$A$6:$I$1896,9,FALSE),"")</f>
        <v>HÁBIL</v>
      </c>
      <c r="F34" s="33">
        <f>IF(C34&lt;&gt;"",IF(AND(D34="SI",E34="HÁBIL"),VLOOKUP("A"&amp;B34,'EXPERIENCIA '!$A$1:$AT$672,43,FALSE),"DESCARTADO"),"")</f>
        <v>4</v>
      </c>
      <c r="G34" s="33">
        <f>IF(C34&lt;&gt;"",IF(AND(D34="SI",E34="HÁBIL"),VLOOKUP("A"&amp;B34,'EXPERIENCIA '!$A$1:$AT$672,44,FALSE),"DESCARTADO"),"")</f>
        <v>66105.116599999994</v>
      </c>
      <c r="H34" s="33">
        <f>IF(C34&lt;&gt;"",IF(AND(D34="SI",E34="HÁBIL"),VLOOKUP("A"&amp;B34,'EXPERIENCIA '!$A$1:$AT$672,45,FALSE),"DESCARTADO"),"")</f>
        <v>16526.279149999998</v>
      </c>
      <c r="I34" s="46">
        <f t="shared" ref="I34:I97" si="2">IF(ISTEXT(H34),"",H34/10000000)</f>
        <v>1.6526279149999999E-3</v>
      </c>
      <c r="J34" s="45">
        <f t="shared" ref="J34:J97" si="3">IF(H34="DESCARTADO",0,IF($E$29="MEDIANA CON VALOR ABSOLUTO",IF(($J$14*(1-(ABS(($J$29-H34)/$J$29))))&lt;0,0,IF(H34=$J$29,$J$14,$J$14*(1-(ABS(($J$29-H34)/$J$29))))),IF($E$29="MEDIA GEOMÉTRICA",IF(($J$14*(1-((ABS($J$29-H34))/$J$29)))&lt;0,0,IF(H34=$J$21,$J$14,$J$14*(1-((ABS($J$29-H34))/$J$29)))),IF($E$29="MEDIA ARITMÉTICA ALTA",IF(H34&lt;=$J$29,$J$14*(1-(($J$29-H34)/$J$29)),$J$14*(1-2*((ABS($J$29-H34))/$J$29))),
IF($E$29="MEDIA ARITMÉTICA BAJA",IF(H34&lt;=$J$29,       IF(   ($J$14*(1-(($J$29-H34)/$J$29)))&lt;0,0,  ($J$14*(1-(($J$29-H34)/$J$29)))  ),   IF(     ($J$14*(1-((ABS($J$29-H34))/$J$29)))&lt;0,0,   ($J$14*(1-((ABS($J$29-H34))/$J$29))))         ),"")))))</f>
        <v>59.751117171389659</v>
      </c>
      <c r="K34" s="4">
        <f>IF(AND(E34="HÁBIL",H34="DESCARTADO"),0,(IF(E34="HÁBIL",H34,"")))</f>
        <v>16526.279149999998</v>
      </c>
      <c r="L34" s="4">
        <f>IF(AND(E34="HÁBIL",H34="DESCARTADO"),0,(IF(E34="HÁBIL",H34,"")))</f>
        <v>16526.279149999998</v>
      </c>
      <c r="X34" s="29" t="str">
        <f t="shared" si="0"/>
        <v/>
      </c>
      <c r="Y34" s="29" t="str">
        <f t="shared" ref="Y34:Y90" si="4">IF(X34=MIN($X$33:$X$90),"MÍNIMO","")</f>
        <v/>
      </c>
      <c r="Z34" s="29" t="str">
        <f t="shared" si="1"/>
        <v/>
      </c>
      <c r="AA34" s="29"/>
      <c r="AB34" s="29">
        <f t="shared" ref="AB34:AB90" si="5">IF(H34="DESCARTADO","",ABS(H34-$J$23))</f>
        <v>662.09091452882967</v>
      </c>
      <c r="AC34" s="29" t="str">
        <f t="shared" ref="AC34:AC97" si="6">IF(AB34=MIN($AB$33:$AB$99),"MÍNIMO","")</f>
        <v/>
      </c>
      <c r="AD34" s="29" t="str">
        <f t="shared" ref="AD34:AD90" si="7">IF(AC34="","",IF(AC34="MÍNIMO",H34,""))</f>
        <v/>
      </c>
    </row>
    <row r="35" spans="2:30">
      <c r="B35" s="36" t="s">
        <v>124</v>
      </c>
      <c r="C35" s="89" t="str">
        <f>+IFERROR(INDEX('DESEMPATE Y DISCAPACIDAD'!$B$3:$B$450,MATCH(B35,'DESEMPATE Y DISCAPACIDAD'!$A$3:$A$450,0)),"")</f>
        <v>CONSORCIO AC EL ESTANQUILLO</v>
      </c>
      <c r="D35" s="25" t="str">
        <f>IF(C35&lt;&gt;"",VLOOKUP("A"&amp;B35,'EXPERIENCIA '!$A$1:$AT$672,41,FALSE),"")</f>
        <v>SI</v>
      </c>
      <c r="E35" s="25" t="str">
        <f>IF(C35&lt;&gt;"",VLOOKUP(B35,CONSOLIDADO!$A$6:$I$1896,9,FALSE),"")</f>
        <v>HÁBIL</v>
      </c>
      <c r="F35" s="33">
        <f>IF(C35&lt;&gt;"",IF(AND(D35="SI",E35="HÁBIL"),VLOOKUP("A"&amp;B35,'EXPERIENCIA '!$A$1:$AT$672,43,FALSE),"DESCARTADO"),"")</f>
        <v>5</v>
      </c>
      <c r="G35" s="33">
        <f>IF(C35&lt;&gt;"",IF(AND(D35="SI",E35="HÁBIL"),VLOOKUP("A"&amp;B35,'EXPERIENCIA '!$A$1:$AT$672,44,FALSE),"DESCARTADO"),"")</f>
        <v>110603.8316</v>
      </c>
      <c r="H35" s="33">
        <f>IF(C35&lt;&gt;"",IF(AND(D35="SI",E35="HÁBIL"),VLOOKUP("A"&amp;B35,'EXPERIENCIA '!$A$1:$AT$672,45,FALSE),"DESCARTADO"),"")</f>
        <v>22120.766320000002</v>
      </c>
      <c r="I35" s="46">
        <f t="shared" si="2"/>
        <v>2.2120766320000004E-3</v>
      </c>
      <c r="J35" s="45">
        <f t="shared" si="3"/>
        <v>72.543788645885201</v>
      </c>
      <c r="K35" s="4">
        <f>IF(AND(E35="HÁBIL",H35="DESCARTADO"),0,(IF(E35="HÁBIL",H35,"")))</f>
        <v>22120.766320000002</v>
      </c>
      <c r="L35" s="4">
        <f>IF(AND(E35="HÁBIL",H35="DESCARTADO"),0,(IF(E35="HÁBIL",H35,"")))</f>
        <v>22120.766320000002</v>
      </c>
      <c r="X35" s="29" t="str">
        <f t="shared" si="0"/>
        <v/>
      </c>
      <c r="Y35" s="29" t="str">
        <f t="shared" si="4"/>
        <v/>
      </c>
      <c r="Z35" s="29" t="str">
        <f t="shared" si="1"/>
        <v/>
      </c>
      <c r="AA35" s="29"/>
      <c r="AB35" s="29">
        <f t="shared" si="5"/>
        <v>6256.5780845288336</v>
      </c>
      <c r="AC35" s="29" t="str">
        <f t="shared" si="6"/>
        <v/>
      </c>
      <c r="AD35" s="29" t="str">
        <f t="shared" si="7"/>
        <v/>
      </c>
    </row>
    <row r="36" spans="2:30">
      <c r="B36" s="36" t="s">
        <v>125</v>
      </c>
      <c r="C36" s="89" t="str">
        <f>+IFERROR(INDEX('DESEMPATE Y DISCAPACIDAD'!$B$3:$B$450,MATCH(B36,'DESEMPATE Y DISCAPACIDAD'!$A$3:$A$450,0)),"")</f>
        <v>CONSORCIO INTERVIAL SUR</v>
      </c>
      <c r="D36" s="25" t="str">
        <f>IF(C36&lt;&gt;"",VLOOKUP("A"&amp;B36,'EXPERIENCIA '!$A$1:$AT$672,41,FALSE),"")</f>
        <v>SI</v>
      </c>
      <c r="E36" s="25" t="str">
        <f>IF(C36&lt;&gt;"",VLOOKUP(B36,CONSOLIDADO!$A$6:$I$1896,9,FALSE),"")</f>
        <v>HÁBIL</v>
      </c>
      <c r="F36" s="33">
        <f>IF(C36&lt;&gt;"",IF(AND(D36="SI",E36="HÁBIL"),VLOOKUP("A"&amp;B36,'EXPERIENCIA '!$A$1:$AT$672,43,FALSE),"DESCARTADO"),"")</f>
        <v>7</v>
      </c>
      <c r="G36" s="33">
        <f>IF(C36&lt;&gt;"",IF(AND(D36="SI",E36="HÁBIL"),VLOOKUP("A"&amp;B36,'EXPERIENCIA '!$A$1:$AT$672,44,FALSE),"DESCARTADO"),"")</f>
        <v>83306.1875</v>
      </c>
      <c r="H36" s="33">
        <f>IF(C36&lt;&gt;"",IF(AND(D36="SI",E36="HÁBIL"),VLOOKUP("A"&amp;B36,'EXPERIENCIA '!$A$1:$AT$672,45,FALSE),"DESCARTADO"),"")</f>
        <v>11900.883928571429</v>
      </c>
      <c r="I36" s="46">
        <f t="shared" si="2"/>
        <v>1.190088392857143E-3</v>
      </c>
      <c r="J36" s="45">
        <f t="shared" si="3"/>
        <v>43.027901417191032</v>
      </c>
      <c r="X36" s="29" t="str">
        <f t="shared" si="0"/>
        <v/>
      </c>
      <c r="Y36" s="29" t="str">
        <f t="shared" si="4"/>
        <v/>
      </c>
      <c r="Z36" s="29" t="str">
        <f t="shared" si="1"/>
        <v/>
      </c>
      <c r="AA36" s="29"/>
      <c r="AB36" s="29">
        <f t="shared" si="5"/>
        <v>3963.3043068997395</v>
      </c>
      <c r="AC36" s="29" t="str">
        <f t="shared" si="6"/>
        <v/>
      </c>
      <c r="AD36" s="29" t="str">
        <f t="shared" si="7"/>
        <v/>
      </c>
    </row>
    <row r="37" spans="2:30">
      <c r="B37" s="36" t="s">
        <v>126</v>
      </c>
      <c r="C37" s="89" t="str">
        <f>+IFERROR(INDEX('DESEMPATE Y DISCAPACIDAD'!$B$3:$B$450,MATCH(B37,'DESEMPATE Y DISCAPACIDAD'!$A$3:$A$450,0)),"")</f>
        <v>CONSORCIO CTE – ING APP CAUCA</v>
      </c>
      <c r="D37" s="25" t="str">
        <f>IF(C37&lt;&gt;"",VLOOKUP("A"&amp;B37,'EXPERIENCIA '!$A$1:$AT$672,41,FALSE),"")</f>
        <v>SI</v>
      </c>
      <c r="E37" s="25" t="str">
        <f>IF(C37&lt;&gt;"",VLOOKUP(B37,CONSOLIDADO!$A$6:$I$1896,9,FALSE),"")</f>
        <v>HÁBIL</v>
      </c>
      <c r="F37" s="33">
        <f>IF(C37&lt;&gt;"",IF(AND(D37="SI",E37="HÁBIL"),VLOOKUP("A"&amp;B37,'EXPERIENCIA '!$A$1:$AT$672,43,FALSE),"DESCARTADO"),"")</f>
        <v>4</v>
      </c>
      <c r="G37" s="33">
        <f>IF(C37&lt;&gt;"",IF(AND(D37="SI",E37="HÁBIL"),VLOOKUP("A"&amp;B37,'EXPERIENCIA '!$A$1:$AT$672,44,FALSE),"DESCARTADO"),"")</f>
        <v>70893.293925799997</v>
      </c>
      <c r="H37" s="33">
        <f>IF(C37&lt;&gt;"",IF(AND(D37="SI",E37="HÁBIL"),VLOOKUP("A"&amp;B37,'EXPERIENCIA '!$A$1:$AT$672,45,FALSE),"DESCARTADO"),"")</f>
        <v>17723.323481449999</v>
      </c>
      <c r="I37" s="46">
        <f t="shared" si="2"/>
        <v>1.772332348145E-3</v>
      </c>
      <c r="J37" s="45">
        <f t="shared" si="3"/>
        <v>64.07905665847116</v>
      </c>
      <c r="X37" s="29" t="str">
        <f t="shared" si="0"/>
        <v/>
      </c>
      <c r="Y37" s="29" t="str">
        <f t="shared" si="4"/>
        <v/>
      </c>
      <c r="Z37" s="29" t="str">
        <f t="shared" si="1"/>
        <v/>
      </c>
      <c r="AA37" s="29"/>
      <c r="AB37" s="29">
        <f t="shared" si="5"/>
        <v>1859.1352459788304</v>
      </c>
      <c r="AC37" s="29" t="str">
        <f t="shared" si="6"/>
        <v/>
      </c>
      <c r="AD37" s="29" t="str">
        <f t="shared" si="7"/>
        <v/>
      </c>
    </row>
    <row r="38" spans="2:30">
      <c r="B38" s="36" t="s">
        <v>127</v>
      </c>
      <c r="C38" s="89" t="str">
        <f>+IFERROR(INDEX('DESEMPATE Y DISCAPACIDAD'!$B$3:$B$450,MATCH(B38,'DESEMPATE Y DISCAPACIDAD'!$A$3:$A$450,0)),"")</f>
        <v>CONSORCIO CORREDOR EL ESTANQUILLO ITLSC</v>
      </c>
      <c r="D38" s="25" t="str">
        <f>IF(C38&lt;&gt;"",VLOOKUP("A"&amp;B38,'EXPERIENCIA '!$A$1:$AT$672,41,FALSE),"")</f>
        <v>SI</v>
      </c>
      <c r="E38" s="25" t="str">
        <f>IF(C38&lt;&gt;"",VLOOKUP(B38,CONSOLIDADO!$A$6:$I$1896,9,FALSE),"")</f>
        <v>RECHAZADO</v>
      </c>
      <c r="F38" s="33" t="str">
        <f>IF(C38&lt;&gt;"",IF(AND(D38="SI",E38="HÁBIL"),VLOOKUP("A"&amp;B38,'EXPERIENCIA '!$A$1:$AT$672,43,FALSE),"DESCARTADO"),"")</f>
        <v>DESCARTADO</v>
      </c>
      <c r="G38" s="33" t="str">
        <f>IF(C38&lt;&gt;"",IF(AND(D38="SI",E38="HÁBIL"),VLOOKUP("A"&amp;B38,'EXPERIENCIA '!$A$1:$AT$672,44,FALSE),"DESCARTADO"),"")</f>
        <v>DESCARTADO</v>
      </c>
      <c r="H38" s="33" t="str">
        <f>IF(C38&lt;&gt;"",IF(AND(D38="SI",E38="HÁBIL"),VLOOKUP("A"&amp;B38,'EXPERIENCIA '!$A$1:$AT$672,45,FALSE),"DESCARTADO"),"")</f>
        <v>DESCARTADO</v>
      </c>
      <c r="I38" s="46" t="str">
        <f t="shared" si="2"/>
        <v/>
      </c>
      <c r="J38" s="45">
        <f t="shared" si="3"/>
        <v>0</v>
      </c>
      <c r="X38" s="29" t="str">
        <f t="shared" si="0"/>
        <v/>
      </c>
      <c r="Y38" s="29" t="str">
        <f t="shared" si="4"/>
        <v/>
      </c>
      <c r="Z38" s="29" t="str">
        <f t="shared" si="1"/>
        <v/>
      </c>
      <c r="AA38" s="29"/>
      <c r="AB38" s="29" t="str">
        <f t="shared" si="5"/>
        <v/>
      </c>
      <c r="AC38" s="29" t="str">
        <f t="shared" si="6"/>
        <v/>
      </c>
      <c r="AD38" s="29" t="str">
        <f t="shared" si="7"/>
        <v/>
      </c>
    </row>
    <row r="39" spans="2:30">
      <c r="B39" s="36" t="s">
        <v>128</v>
      </c>
      <c r="C39" s="89" t="str">
        <f>+IFERROR(INDEX('DESEMPATE Y DISCAPACIDAD'!$B$3:$B$450,MATCH(B39,'DESEMPATE Y DISCAPACIDAD'!$A$3:$A$450,0)),"")</f>
        <v>CONSORCIO INTERAPP POPAYÁN.</v>
      </c>
      <c r="D39" s="25" t="str">
        <f>IF(C39&lt;&gt;"",VLOOKUP("A"&amp;B39,'EXPERIENCIA '!$A$1:$AT$672,41,FALSE),"")</f>
        <v>SI</v>
      </c>
      <c r="E39" s="25" t="str">
        <f>IF(C39&lt;&gt;"",VLOOKUP(B39,CONSOLIDADO!$A$6:$I$1896,9,FALSE),"")</f>
        <v>HÁBIL</v>
      </c>
      <c r="F39" s="33">
        <f>IF(C39&lt;&gt;"",IF(AND(D39="SI",E39="HÁBIL"),VLOOKUP("A"&amp;B39,'EXPERIENCIA '!$A$1:$AT$672,43,FALSE),"DESCARTADO"),"")</f>
        <v>3</v>
      </c>
      <c r="G39" s="33">
        <f>IF(C39&lt;&gt;"",IF(AND(D39="SI",E39="HÁBIL"),VLOOKUP("A"&amp;B39,'EXPERIENCIA '!$A$1:$AT$672,44,FALSE),"DESCARTADO"),"")</f>
        <v>44825.616999999998</v>
      </c>
      <c r="H39" s="33">
        <f>IF(C39&lt;&gt;"",IF(AND(D39="SI",E39="HÁBIL"),VLOOKUP("A"&amp;B39,'EXPERIENCIA '!$A$1:$AT$672,45,FALSE),"DESCARTADO"),"")</f>
        <v>14941.872333333333</v>
      </c>
      <c r="I39" s="46">
        <f t="shared" si="2"/>
        <v>1.4941872333333332E-3</v>
      </c>
      <c r="J39" s="45">
        <f t="shared" si="3"/>
        <v>54.022660300334181</v>
      </c>
      <c r="X39" s="29" t="str">
        <f t="shared" si="0"/>
        <v/>
      </c>
      <c r="Y39" s="29" t="str">
        <f t="shared" si="4"/>
        <v/>
      </c>
      <c r="Z39" s="29" t="str">
        <f t="shared" si="1"/>
        <v/>
      </c>
      <c r="AA39" s="29"/>
      <c r="AB39" s="29">
        <f t="shared" si="5"/>
        <v>922.31590213783602</v>
      </c>
      <c r="AC39" s="29" t="str">
        <f t="shared" si="6"/>
        <v/>
      </c>
      <c r="AD39" s="29" t="str">
        <f t="shared" si="7"/>
        <v/>
      </c>
    </row>
    <row r="40" spans="2:30">
      <c r="B40" s="36" t="s">
        <v>129</v>
      </c>
      <c r="C40" s="89" t="str">
        <f>+IFERROR(INDEX('DESEMPATE Y DISCAPACIDAD'!$B$3:$B$450,MATCH(B40,'DESEMPATE Y DISCAPACIDAD'!$A$3:$A$450,0)),"")</f>
        <v>CONSORCIO INTERVENTOR DE OCCIDENTE</v>
      </c>
      <c r="D40" s="25" t="str">
        <f>IF(C40&lt;&gt;"",VLOOKUP("A"&amp;B40,'EXPERIENCIA '!$A$1:$AT$672,41,FALSE),"")</f>
        <v>SI</v>
      </c>
      <c r="E40" s="25" t="str">
        <f>IF(C40&lt;&gt;"",VLOOKUP(B40,CONSOLIDADO!$A$6:$I$1896,9,FALSE),"")</f>
        <v>RECHAZADO</v>
      </c>
      <c r="F40" s="33" t="str">
        <f>IF(C40&lt;&gt;"",IF(AND(D40="SI",E40="HÁBIL"),VLOOKUP("A"&amp;B40,'EXPERIENCIA '!$A$1:$AT$672,43,FALSE),"DESCARTADO"),"")</f>
        <v>DESCARTADO</v>
      </c>
      <c r="G40" s="33" t="str">
        <f>IF(C40&lt;&gt;"",IF(AND(D40="SI",E40="HÁBIL"),VLOOKUP("A"&amp;B40,'EXPERIENCIA '!$A$1:$AT$672,44,FALSE),"DESCARTADO"),"")</f>
        <v>DESCARTADO</v>
      </c>
      <c r="H40" s="33" t="str">
        <f>IF(C40&lt;&gt;"",IF(AND(D40="SI",E40="HÁBIL"),VLOOKUP("A"&amp;B40,'EXPERIENCIA '!$A$1:$AT$672,45,FALSE),"DESCARTADO"),"")</f>
        <v>DESCARTADO</v>
      </c>
      <c r="I40" s="46" t="str">
        <f t="shared" si="2"/>
        <v/>
      </c>
      <c r="J40" s="45">
        <f t="shared" si="3"/>
        <v>0</v>
      </c>
      <c r="X40" s="29" t="str">
        <f t="shared" si="0"/>
        <v/>
      </c>
      <c r="Y40" s="29" t="str">
        <f t="shared" si="4"/>
        <v/>
      </c>
      <c r="Z40" s="29" t="str">
        <f t="shared" si="1"/>
        <v/>
      </c>
      <c r="AA40" s="29"/>
      <c r="AB40" s="29" t="str">
        <f t="shared" si="5"/>
        <v/>
      </c>
      <c r="AC40" s="29" t="str">
        <f t="shared" si="6"/>
        <v/>
      </c>
      <c r="AD40" s="29" t="str">
        <f t="shared" si="7"/>
        <v/>
      </c>
    </row>
    <row r="41" spans="2:30">
      <c r="B41" s="36" t="s">
        <v>130</v>
      </c>
      <c r="C41" s="89" t="str">
        <f>+IFERROR(INDEX('DESEMPATE Y DISCAPACIDAD'!$B$3:$B$450,MATCH(B41,'DESEMPATE Y DISCAPACIDAD'!$A$3:$A$450,0)),"")</f>
        <v>CONSORCIO ALIANZA PACIFICO</v>
      </c>
      <c r="D41" s="25" t="str">
        <f>IF(C41&lt;&gt;"",VLOOKUP("A"&amp;B41,'EXPERIENCIA '!$A$1:$AT$672,41,FALSE),"")</f>
        <v>SI</v>
      </c>
      <c r="E41" s="25" t="str">
        <f>IF(C41&lt;&gt;"",VLOOKUP(B41,CONSOLIDADO!$A$6:$I$1896,9,FALSE),"")</f>
        <v>HÁBIL</v>
      </c>
      <c r="F41" s="33">
        <f>IF(C41&lt;&gt;"",IF(AND(D41="SI",E41="HÁBIL"),VLOOKUP("A"&amp;B41,'EXPERIENCIA '!$A$1:$AT$672,43,FALSE),"DESCARTADO"),"")</f>
        <v>4</v>
      </c>
      <c r="G41" s="33">
        <f>IF(C41&lt;&gt;"",IF(AND(D41="SI",E41="HÁBIL"),VLOOKUP("A"&amp;B41,'EXPERIENCIA '!$A$1:$AT$672,44,FALSE),"DESCARTADO"),"")</f>
        <v>56090.387499999997</v>
      </c>
      <c r="H41" s="33">
        <f>IF(C41&lt;&gt;"",IF(AND(D41="SI",E41="HÁBIL"),VLOOKUP("A"&amp;B41,'EXPERIENCIA '!$A$1:$AT$672,45,FALSE),"DESCARTADO"),"")</f>
        <v>14022.596874999999</v>
      </c>
      <c r="I41" s="46">
        <f t="shared" si="2"/>
        <v>1.4022596875E-3</v>
      </c>
      <c r="J41" s="45">
        <f t="shared" si="3"/>
        <v>50.699000139138242</v>
      </c>
      <c r="X41" s="29" t="str">
        <f t="shared" si="0"/>
        <v/>
      </c>
      <c r="Y41" s="29" t="str">
        <f t="shared" si="4"/>
        <v/>
      </c>
      <c r="Z41" s="29" t="str">
        <f t="shared" si="1"/>
        <v/>
      </c>
      <c r="AA41" s="29"/>
      <c r="AB41" s="29">
        <f t="shared" si="5"/>
        <v>1841.5913604711695</v>
      </c>
      <c r="AC41" s="29" t="str">
        <f t="shared" si="6"/>
        <v/>
      </c>
      <c r="AD41" s="29" t="str">
        <f t="shared" si="7"/>
        <v/>
      </c>
    </row>
    <row r="42" spans="2:30">
      <c r="B42" s="36" t="s">
        <v>131</v>
      </c>
      <c r="C42" s="89" t="str">
        <f>+IFERROR(INDEX('DESEMPATE Y DISCAPACIDAD'!$B$3:$B$450,MATCH(B42,'DESEMPATE Y DISCAPACIDAD'!$A$3:$A$450,0)),"")</f>
        <v>CONSORCIO EPSILON CAUCA</v>
      </c>
      <c r="D42" s="25" t="str">
        <f>IF(C42&lt;&gt;"",VLOOKUP("A"&amp;B42,'EXPERIENCIA '!$A$1:$AT$672,41,FALSE),"")</f>
        <v>SI</v>
      </c>
      <c r="E42" s="25" t="str">
        <f>IF(C42&lt;&gt;"",VLOOKUP(B42,CONSOLIDADO!$A$6:$I$1896,9,FALSE),"")</f>
        <v>HÁBIL</v>
      </c>
      <c r="F42" s="33">
        <f>IF(C42&lt;&gt;"",IF(AND(D42="SI",E42="HÁBIL"),VLOOKUP("A"&amp;B42,'EXPERIENCIA '!$A$1:$AT$672,43,FALSE),"DESCARTADO"),"")</f>
        <v>4</v>
      </c>
      <c r="G42" s="33">
        <f>IF(C42&lt;&gt;"",IF(AND(D42="SI",E42="HÁBIL"),VLOOKUP("A"&amp;B42,'EXPERIENCIA '!$A$1:$AT$672,44,FALSE),"DESCARTADO"),"")</f>
        <v>62189.716499999995</v>
      </c>
      <c r="H42" s="33">
        <f>IF(C42&lt;&gt;"",IF(AND(D42="SI",E42="HÁBIL"),VLOOKUP("A"&amp;B42,'EXPERIENCIA '!$A$1:$AT$672,45,FALSE),"DESCARTADO"),"")</f>
        <v>15547.429124999999</v>
      </c>
      <c r="I42" s="46">
        <f t="shared" si="2"/>
        <v>1.5547429124999998E-3</v>
      </c>
      <c r="J42" s="45">
        <f t="shared" si="3"/>
        <v>56.212063885036777</v>
      </c>
      <c r="X42" s="29" t="str">
        <f t="shared" si="0"/>
        <v/>
      </c>
      <c r="Y42" s="29" t="str">
        <f t="shared" si="4"/>
        <v/>
      </c>
      <c r="Z42" s="29" t="str">
        <f t="shared" si="1"/>
        <v/>
      </c>
      <c r="AA42" s="29"/>
      <c r="AB42" s="29">
        <f t="shared" si="5"/>
        <v>316.75911047117006</v>
      </c>
      <c r="AC42" s="29" t="str">
        <f t="shared" si="6"/>
        <v/>
      </c>
      <c r="AD42" s="29" t="str">
        <f t="shared" si="7"/>
        <v/>
      </c>
    </row>
    <row r="43" spans="2:30">
      <c r="B43" s="36" t="s">
        <v>132</v>
      </c>
      <c r="C43" s="89" t="str">
        <f>+IFERROR(INDEX('DESEMPATE Y DISCAPACIDAD'!$B$3:$B$450,MATCH(B43,'DESEMPATE Y DISCAPACIDAD'!$A$3:$A$450,0)),"")</f>
        <v>CONSORCIO ESTANQUILLO POPAYÁN SU</v>
      </c>
      <c r="D43" s="25" t="str">
        <f>IF(C43&lt;&gt;"",VLOOKUP("A"&amp;B43,'EXPERIENCIA '!$A$1:$AT$672,41,FALSE),"")</f>
        <v>SI</v>
      </c>
      <c r="E43" s="25" t="str">
        <f>IF(C43&lt;&gt;"",VLOOKUP(B43,CONSOLIDADO!$A$6:$I$1896,9,FALSE),"")</f>
        <v>HÁBIL</v>
      </c>
      <c r="F43" s="33">
        <f>IF(C43&lt;&gt;"",IF(AND(D43="SI",E43="HÁBIL"),VLOOKUP("A"&amp;B43,'EXPERIENCIA '!$A$1:$AT$672,43,FALSE),"DESCARTADO"),"")</f>
        <v>5</v>
      </c>
      <c r="G43" s="33">
        <f>IF(C43&lt;&gt;"",IF(AND(D43="SI",E43="HÁBIL"),VLOOKUP("A"&amp;B43,'EXPERIENCIA '!$A$1:$AT$672,44,FALSE),"DESCARTADO"),"")</f>
        <v>76662.647872999994</v>
      </c>
      <c r="H43" s="33">
        <f>IF(C43&lt;&gt;"",IF(AND(D43="SI",E43="HÁBIL"),VLOOKUP("A"&amp;B43,'EXPERIENCIA '!$A$1:$AT$672,45,FALSE),"DESCARTADO"),"")</f>
        <v>15332.529574599999</v>
      </c>
      <c r="I43" s="46">
        <f t="shared" si="2"/>
        <v>1.5332529574599999E-3</v>
      </c>
      <c r="J43" s="45">
        <f t="shared" si="3"/>
        <v>55.43508994556236</v>
      </c>
      <c r="X43" s="29" t="str">
        <f t="shared" si="0"/>
        <v/>
      </c>
      <c r="Y43" s="29" t="str">
        <f t="shared" si="4"/>
        <v/>
      </c>
      <c r="Z43" s="29" t="str">
        <f t="shared" si="1"/>
        <v/>
      </c>
      <c r="AA43" s="29"/>
      <c r="AB43" s="29">
        <f t="shared" si="5"/>
        <v>531.65866087116956</v>
      </c>
      <c r="AC43" s="29" t="str">
        <f t="shared" si="6"/>
        <v/>
      </c>
      <c r="AD43" s="29" t="str">
        <f t="shared" si="7"/>
        <v/>
      </c>
    </row>
    <row r="44" spans="2:30">
      <c r="B44" s="36" t="s">
        <v>133</v>
      </c>
      <c r="C44" s="89" t="str">
        <f>+IFERROR(INDEX('DESEMPATE Y DISCAPACIDAD'!$B$3:$B$450,MATCH(B44,'DESEMPATE Y DISCAPACIDAD'!$A$3:$A$450,0)),"")</f>
        <v>CONSORCIO ESTANQUILLO CLA</v>
      </c>
      <c r="D44" s="25" t="str">
        <f>IF(C44&lt;&gt;"",VLOOKUP("A"&amp;B44,'EXPERIENCIA '!$A$1:$AT$672,41,FALSE),"")</f>
        <v>SI</v>
      </c>
      <c r="E44" s="25" t="str">
        <f>IF(C44&lt;&gt;"",VLOOKUP(B44,CONSOLIDADO!$A$6:$I$1896,9,FALSE),"")</f>
        <v>HÁBIL</v>
      </c>
      <c r="F44" s="33">
        <f>IF(C44&lt;&gt;"",IF(AND(D44="SI",E44="HÁBIL"),VLOOKUP("A"&amp;B44,'EXPERIENCIA '!$A$1:$AT$672,43,FALSE),"DESCARTADO"),"")</f>
        <v>5</v>
      </c>
      <c r="G44" s="33">
        <f>IF(C44&lt;&gt;"",IF(AND(D44="SI",E44="HÁBIL"),VLOOKUP("A"&amp;B44,'EXPERIENCIA '!$A$1:$AT$672,44,FALSE),"DESCARTADO"),"")</f>
        <v>107969.90160000001</v>
      </c>
      <c r="H44" s="33">
        <f>IF(C44&lt;&gt;"",IF(AND(D44="SI",E44="HÁBIL"),VLOOKUP("A"&amp;B44,'EXPERIENCIA '!$A$1:$AT$672,45,FALSE),"DESCARTADO"),"")</f>
        <v>21593.980320000002</v>
      </c>
      <c r="I44" s="46">
        <f t="shared" si="2"/>
        <v>2.1593980320000002E-3</v>
      </c>
      <c r="J44" s="45">
        <f t="shared" si="3"/>
        <v>76.3530008375173</v>
      </c>
      <c r="X44" s="29" t="str">
        <f t="shared" si="0"/>
        <v/>
      </c>
      <c r="Y44" s="29" t="str">
        <f t="shared" si="4"/>
        <v/>
      </c>
      <c r="Z44" s="29" t="str">
        <f t="shared" si="1"/>
        <v/>
      </c>
      <c r="AA44" s="29"/>
      <c r="AB44" s="29">
        <f t="shared" si="5"/>
        <v>5729.7920845288336</v>
      </c>
      <c r="AC44" s="29" t="str">
        <f t="shared" si="6"/>
        <v/>
      </c>
      <c r="AD44" s="29" t="str">
        <f t="shared" si="7"/>
        <v/>
      </c>
    </row>
    <row r="45" spans="2:30">
      <c r="B45" s="36" t="s">
        <v>134</v>
      </c>
      <c r="C45" s="89" t="str">
        <f>+IFERROR(INDEX('DESEMPATE Y DISCAPACIDAD'!$B$3:$B$450,MATCH(B45,'DESEMPATE Y DISCAPACIDAD'!$A$3:$A$450,0)),"")</f>
        <v>CONSORCIO INTERVENTOR CONCESIÓN APP</v>
      </c>
      <c r="D45" s="25" t="str">
        <f>IF(C45&lt;&gt;"",VLOOKUP("A"&amp;B45,'EXPERIENCIA '!$A$1:$AT$672,41,FALSE),"")</f>
        <v>SI</v>
      </c>
      <c r="E45" s="25" t="str">
        <f>IF(C45&lt;&gt;"",VLOOKUP(B45,CONSOLIDADO!$A$6:$I$1896,9,FALSE),"")</f>
        <v>HÁBIL</v>
      </c>
      <c r="F45" s="33">
        <f>IF(C45&lt;&gt;"",IF(AND(D45="SI",E45="HÁBIL"),VLOOKUP("A"&amp;B45,'EXPERIENCIA '!$A$1:$AT$672,43,FALSE),"DESCARTADO"),"")</f>
        <v>4</v>
      </c>
      <c r="G45" s="33">
        <f>IF(C45&lt;&gt;"",IF(AND(D45="SI",E45="HÁBIL"),VLOOKUP("A"&amp;B45,'EXPERIENCIA '!$A$1:$AT$672,44,FALSE),"DESCARTADO"),"")</f>
        <v>68742.820000000007</v>
      </c>
      <c r="H45" s="33">
        <f>IF(C45&lt;&gt;"",IF(AND(D45="SI",E45="HÁBIL"),VLOOKUP("A"&amp;B45,'EXPERIENCIA '!$A$1:$AT$672,45,FALSE),"DESCARTADO"),"")</f>
        <v>17185.705000000002</v>
      </c>
      <c r="I45" s="46">
        <f t="shared" si="2"/>
        <v>1.7185705000000002E-3</v>
      </c>
      <c r="J45" s="45">
        <f t="shared" si="3"/>
        <v>62.135285493343325</v>
      </c>
      <c r="X45" s="29" t="str">
        <f t="shared" si="0"/>
        <v/>
      </c>
      <c r="Y45" s="29" t="str">
        <f t="shared" si="4"/>
        <v/>
      </c>
      <c r="Z45" s="29" t="str">
        <f t="shared" si="1"/>
        <v/>
      </c>
      <c r="AA45" s="29"/>
      <c r="AB45" s="29">
        <f t="shared" si="5"/>
        <v>1321.5167645288329</v>
      </c>
      <c r="AC45" s="29" t="str">
        <f t="shared" si="6"/>
        <v/>
      </c>
      <c r="AD45" s="29" t="str">
        <f t="shared" si="7"/>
        <v/>
      </c>
    </row>
    <row r="46" spans="2:30">
      <c r="B46" s="36" t="s">
        <v>135</v>
      </c>
      <c r="C46" s="89" t="str">
        <f>+IFERROR(INDEX('DESEMPATE Y DISCAPACIDAD'!$B$3:$B$450,MATCH(B46,'DESEMPATE Y DISCAPACIDAD'!$A$3:$A$450,0)),"")</f>
        <v>CONSORCIO CORREDOR CAUCA 3M</v>
      </c>
      <c r="D46" s="25" t="str">
        <f>IF(C46&lt;&gt;"",VLOOKUP("A"&amp;B46,'EXPERIENCIA '!$A$1:$AT$672,41,FALSE),"")</f>
        <v>SI</v>
      </c>
      <c r="E46" s="25" t="str">
        <f>IF(C46&lt;&gt;"",VLOOKUP(B46,CONSOLIDADO!$A$6:$I$1896,9,FALSE),"")</f>
        <v>HÁBIL</v>
      </c>
      <c r="F46" s="33">
        <f>IF(C46&lt;&gt;"",IF(AND(D46="SI",E46="HÁBIL"),VLOOKUP("A"&amp;B46,'EXPERIENCIA '!$A$1:$AT$672,43,FALSE),"DESCARTADO"),"")</f>
        <v>6</v>
      </c>
      <c r="G46" s="33">
        <f>IF(C46&lt;&gt;"",IF(AND(D46="SI",E46="HÁBIL"),VLOOKUP("A"&amp;B46,'EXPERIENCIA '!$A$1:$AT$672,44,FALSE),"DESCARTADO"),"")</f>
        <v>103607.75800000002</v>
      </c>
      <c r="H46" s="33">
        <f>IF(C46&lt;&gt;"",IF(AND(D46="SI",E46="HÁBIL"),VLOOKUP("A"&amp;B46,'EXPERIENCIA '!$A$1:$AT$672,45,FALSE),"DESCARTADO"),"")</f>
        <v>17267.959666666669</v>
      </c>
      <c r="I46" s="46">
        <f t="shared" si="2"/>
        <v>1.726795966666667E-3</v>
      </c>
      <c r="J46" s="45">
        <f t="shared" si="3"/>
        <v>62.432679007109172</v>
      </c>
      <c r="X46" s="29" t="str">
        <f t="shared" si="0"/>
        <v/>
      </c>
      <c r="Y46" s="29" t="str">
        <f t="shared" si="4"/>
        <v/>
      </c>
      <c r="Z46" s="29" t="str">
        <f t="shared" si="1"/>
        <v/>
      </c>
      <c r="AA46" s="29"/>
      <c r="AB46" s="29">
        <f t="shared" si="5"/>
        <v>1403.7714311955006</v>
      </c>
      <c r="AC46" s="29" t="str">
        <f t="shared" si="6"/>
        <v/>
      </c>
      <c r="AD46" s="29" t="str">
        <f t="shared" si="7"/>
        <v/>
      </c>
    </row>
    <row r="47" spans="2:30">
      <c r="B47" s="36" t="s">
        <v>136</v>
      </c>
      <c r="C47" s="89" t="str">
        <f>+IFERROR(INDEX('DESEMPATE Y DISCAPACIDAD'!$B$3:$B$450,MATCH(B47,'DESEMPATE Y DISCAPACIDAD'!$A$3:$A$450,0)),"")</f>
        <v>CONSORCIO CONCESIÓN ESTANQUILLO AG</v>
      </c>
      <c r="D47" s="25" t="str">
        <f>IF(C47&lt;&gt;"",VLOOKUP("A"&amp;B47,'EXPERIENCIA '!$A$1:$AT$672,41,FALSE),"")</f>
        <v>SI</v>
      </c>
      <c r="E47" s="25" t="str">
        <f>IF(C47&lt;&gt;"",VLOOKUP(B47,CONSOLIDADO!$A$6:$I$1896,9,FALSE),"")</f>
        <v>HÁBIL</v>
      </c>
      <c r="F47" s="33">
        <f>IF(C47&lt;&gt;"",IF(AND(D47="SI",E47="HÁBIL"),VLOOKUP("A"&amp;B47,'EXPERIENCIA '!$A$1:$AT$672,43,FALSE),"DESCARTADO"),"")</f>
        <v>5</v>
      </c>
      <c r="G47" s="33">
        <f>IF(C47&lt;&gt;"",IF(AND(D47="SI",E47="HÁBIL"),VLOOKUP("A"&amp;B47,'EXPERIENCIA '!$A$1:$AT$672,44,FALSE),"DESCARTADO"),"")</f>
        <v>89151.137500000012</v>
      </c>
      <c r="H47" s="33">
        <f>IF(C47&lt;&gt;"",IF(AND(D47="SI",E47="HÁBIL"),VLOOKUP("A"&amp;B47,'EXPERIENCIA '!$A$1:$AT$672,45,FALSE),"DESCARTADO"),"")</f>
        <v>17830.227500000001</v>
      </c>
      <c r="I47" s="46">
        <f t="shared" si="2"/>
        <v>1.78302275E-3</v>
      </c>
      <c r="J47" s="45">
        <f t="shared" si="3"/>
        <v>64.465570433320096</v>
      </c>
      <c r="X47" s="29" t="str">
        <f t="shared" si="0"/>
        <v/>
      </c>
      <c r="Y47" s="29" t="str">
        <f t="shared" si="4"/>
        <v/>
      </c>
      <c r="Z47" s="29" t="str">
        <f t="shared" si="1"/>
        <v/>
      </c>
      <c r="AA47" s="29"/>
      <c r="AB47" s="29">
        <f t="shared" si="5"/>
        <v>1966.0392645288321</v>
      </c>
      <c r="AC47" s="29" t="str">
        <f t="shared" si="6"/>
        <v/>
      </c>
      <c r="AD47" s="29" t="str">
        <f t="shared" si="7"/>
        <v/>
      </c>
    </row>
    <row r="48" spans="2:30">
      <c r="B48" s="36" t="s">
        <v>137</v>
      </c>
      <c r="C48" s="89" t="str">
        <f>+IFERROR(INDEX('DESEMPATE Y DISCAPACIDAD'!$B$3:$B$450,MATCH(B48,'DESEMPATE Y DISCAPACIDAD'!$A$3:$A$450,0)),"")</f>
        <v>CONSORCIO VIAS POPAYAN</v>
      </c>
      <c r="D48" s="25" t="str">
        <f>IF(C48&lt;&gt;"",VLOOKUP("A"&amp;B48,'EXPERIENCIA '!$A$1:$AT$672,41,FALSE),"")</f>
        <v>SI</v>
      </c>
      <c r="E48" s="25" t="str">
        <f>IF(C48&lt;&gt;"",VLOOKUP(B48,CONSOLIDADO!$A$6:$I$1896,9,FALSE),"")</f>
        <v>HÁBIL</v>
      </c>
      <c r="F48" s="33">
        <f>IF(C48&lt;&gt;"",IF(AND(D48="SI",E48="HÁBIL"),VLOOKUP("A"&amp;B48,'EXPERIENCIA '!$A$1:$AT$672,43,FALSE),"DESCARTADO"),"")</f>
        <v>3</v>
      </c>
      <c r="G48" s="33">
        <f>IF(C48&lt;&gt;"",IF(AND(D48="SI",E48="HÁBIL"),VLOOKUP("A"&amp;B48,'EXPERIENCIA '!$A$1:$AT$672,44,FALSE),"DESCARTADO"),"")</f>
        <v>51684.593000000001</v>
      </c>
      <c r="H48" s="33">
        <f>IF(C48&lt;&gt;"",IF(AND(D48="SI",E48="HÁBIL"),VLOOKUP("A"&amp;B48,'EXPERIENCIA '!$A$1:$AT$672,45,FALSE),"DESCARTADO"),"")</f>
        <v>17228.197666666667</v>
      </c>
      <c r="I48" s="46">
        <f t="shared" si="2"/>
        <v>1.7228197666666668E-3</v>
      </c>
      <c r="J48" s="45">
        <f t="shared" si="3"/>
        <v>62.288918642213673</v>
      </c>
      <c r="X48" s="29" t="str">
        <f t="shared" si="0"/>
        <v/>
      </c>
      <c r="Y48" s="29" t="str">
        <f t="shared" si="4"/>
        <v/>
      </c>
      <c r="Z48" s="29" t="str">
        <f t="shared" si="1"/>
        <v/>
      </c>
      <c r="AB48" s="29">
        <f t="shared" si="5"/>
        <v>1364.0094311954981</v>
      </c>
      <c r="AC48" s="29" t="str">
        <f t="shared" si="6"/>
        <v/>
      </c>
      <c r="AD48" s="29" t="str">
        <f t="shared" si="7"/>
        <v/>
      </c>
    </row>
    <row r="49" spans="2:30">
      <c r="B49" s="36" t="s">
        <v>138</v>
      </c>
      <c r="C49" s="89" t="str">
        <f>+IFERROR(INDEX('DESEMPATE Y DISCAPACIDAD'!$B$3:$B$450,MATCH(B49,'DESEMPATE Y DISCAPACIDAD'!$A$3:$A$450,0)),"")</f>
        <v>Consorcio APPLUS ANI 002.</v>
      </c>
      <c r="D49" s="25" t="str">
        <f>IF(C49&lt;&gt;"",VLOOKUP("A"&amp;B49,'EXPERIENCIA '!$A$1:$AT$672,41,FALSE),"")</f>
        <v>SI</v>
      </c>
      <c r="E49" s="25" t="str">
        <f>IF(C49&lt;&gt;"",VLOOKUP(B49,CONSOLIDADO!$A$6:$I$1896,9,FALSE),"")</f>
        <v>HÁBIL</v>
      </c>
      <c r="F49" s="33">
        <f>IF(C49&lt;&gt;"",IF(AND(D49="SI",E49="HÁBIL"),VLOOKUP("A"&amp;B49,'EXPERIENCIA '!$A$1:$AT$672,43,FALSE),"DESCARTADO"),"")</f>
        <v>5</v>
      </c>
      <c r="G49" s="33">
        <f>IF(C49&lt;&gt;"",IF(AND(D49="SI",E49="HÁBIL"),VLOOKUP("A"&amp;B49,'EXPERIENCIA '!$A$1:$AT$672,44,FALSE),"DESCARTADO"),"")</f>
        <v>59641.919200000004</v>
      </c>
      <c r="H49" s="33">
        <f>IF(C49&lt;&gt;"",IF(AND(D49="SI",E49="HÁBIL"),VLOOKUP("A"&amp;B49,'EXPERIENCIA '!$A$1:$AT$672,45,FALSE),"DESCARTADO"),"")</f>
        <v>11928.38384</v>
      </c>
      <c r="I49" s="46">
        <f t="shared" si="2"/>
        <v>1.1928383840000001E-3</v>
      </c>
      <c r="J49" s="45">
        <f t="shared" si="3"/>
        <v>43.127327937526161</v>
      </c>
      <c r="X49" s="29" t="str">
        <f t="shared" si="0"/>
        <v/>
      </c>
      <c r="Y49" s="29" t="str">
        <f t="shared" si="4"/>
        <v/>
      </c>
      <c r="Z49" s="29" t="str">
        <f t="shared" si="1"/>
        <v/>
      </c>
      <c r="AB49" s="29">
        <f t="shared" si="5"/>
        <v>3935.8043954711684</v>
      </c>
      <c r="AC49" s="29" t="str">
        <f t="shared" si="6"/>
        <v/>
      </c>
      <c r="AD49" s="29" t="str">
        <f t="shared" si="7"/>
        <v/>
      </c>
    </row>
    <row r="50" spans="2:30">
      <c r="B50" s="36" t="s">
        <v>139</v>
      </c>
      <c r="C50" s="89" t="str">
        <f>+IFERROR(INDEX('DESEMPATE Y DISCAPACIDAD'!$B$3:$B$450,MATCH(B50,'DESEMPATE Y DISCAPACIDAD'!$A$3:$A$450,0)),"")</f>
        <v>CONSORCIO INTERVIAL RJ.</v>
      </c>
      <c r="D50" s="25" t="str">
        <f>IF(C50&lt;&gt;"",VLOOKUP("A"&amp;B50,'EXPERIENCIA '!$A$1:$AT$672,41,FALSE),"")</f>
        <v>SI</v>
      </c>
      <c r="E50" s="25" t="str">
        <f>IF(C50&lt;&gt;"",VLOOKUP(B50,CONSOLIDADO!$A$6:$I$1896,9,FALSE),"")</f>
        <v>HÁBIL</v>
      </c>
      <c r="F50" s="33">
        <f>IF(C50&lt;&gt;"",IF(AND(D50="SI",E50="HÁBIL"),VLOOKUP("A"&amp;B50,'EXPERIENCIA '!$A$1:$AT$672,43,FALSE),"DESCARTADO"),"")</f>
        <v>7</v>
      </c>
      <c r="G50" s="33">
        <f>IF(C50&lt;&gt;"",IF(AND(D50="SI",E50="HÁBIL"),VLOOKUP("A"&amp;B50,'EXPERIENCIA '!$A$1:$AT$672,44,FALSE),"DESCARTADO"),"")</f>
        <v>104726.03899999999</v>
      </c>
      <c r="H50" s="33">
        <f>IF(C50&lt;&gt;"",IF(AND(D50="SI",E50="HÁBIL"),VLOOKUP("A"&amp;B50,'EXPERIENCIA '!$A$1:$AT$672,45,FALSE),"DESCARTADO"),"")</f>
        <v>14960.862714285713</v>
      </c>
      <c r="I50" s="46">
        <f t="shared" si="2"/>
        <v>1.4960862714285712E-3</v>
      </c>
      <c r="J50" s="45">
        <f t="shared" si="3"/>
        <v>54.09132043048907</v>
      </c>
      <c r="X50" s="29" t="str">
        <f t="shared" si="0"/>
        <v/>
      </c>
      <c r="Y50" s="29" t="str">
        <f t="shared" si="4"/>
        <v/>
      </c>
      <c r="Z50" s="29" t="str">
        <f t="shared" si="1"/>
        <v/>
      </c>
      <c r="AB50" s="29">
        <f t="shared" si="5"/>
        <v>903.32552118545573</v>
      </c>
      <c r="AC50" s="29" t="str">
        <f t="shared" si="6"/>
        <v/>
      </c>
      <c r="AD50" s="29" t="str">
        <f t="shared" si="7"/>
        <v/>
      </c>
    </row>
    <row r="51" spans="2:30">
      <c r="B51" s="36" t="s">
        <v>140</v>
      </c>
      <c r="C51" s="89" t="str">
        <f>+IFERROR(INDEX('DESEMPATE Y DISCAPACIDAD'!$B$3:$B$450,MATCH(B51,'DESEMPATE Y DISCAPACIDAD'!$A$3:$A$450,0)),"")</f>
        <v>CONSORCIO EVOLUCION.</v>
      </c>
      <c r="D51" s="25" t="str">
        <f>IF(C51&lt;&gt;"",VLOOKUP("A"&amp;B51,'EXPERIENCIA '!$A$1:$AT$672,41,FALSE),"")</f>
        <v>SI</v>
      </c>
      <c r="E51" s="25" t="str">
        <f>IF(C51&lt;&gt;"",VLOOKUP(B51,CONSOLIDADO!$A$6:$I$1896,9,FALSE),"")</f>
        <v>HÁBIL</v>
      </c>
      <c r="F51" s="33">
        <f>IF(C51&lt;&gt;"",IF(AND(D51="SI",E51="HÁBIL"),VLOOKUP("A"&amp;B51,'EXPERIENCIA '!$A$1:$AT$672,43,FALSE),"DESCARTADO"),"")</f>
        <v>3</v>
      </c>
      <c r="G51" s="33">
        <f>IF(C51&lt;&gt;"",IF(AND(D51="SI",E51="HÁBIL"),VLOOKUP("A"&amp;B51,'EXPERIENCIA '!$A$1:$AT$672,44,FALSE),"DESCARTADO"),"")</f>
        <v>37340.0164</v>
      </c>
      <c r="H51" s="33">
        <f>IF(C51&lt;&gt;"",IF(AND(D51="SI",E51="HÁBIL"),VLOOKUP("A"&amp;B51,'EXPERIENCIA '!$A$1:$AT$672,45,FALSE),"DESCARTADO"),"")</f>
        <v>12446.672133333333</v>
      </c>
      <c r="I51" s="46">
        <f t="shared" si="2"/>
        <v>1.2446672133333333E-3</v>
      </c>
      <c r="J51" s="45">
        <f t="shared" si="3"/>
        <v>45.001210392399223</v>
      </c>
      <c r="X51" s="29" t="str">
        <f t="shared" si="0"/>
        <v/>
      </c>
      <c r="Y51" s="29" t="str">
        <f t="shared" si="4"/>
        <v/>
      </c>
      <c r="Z51" s="29" t="str">
        <f t="shared" si="1"/>
        <v/>
      </c>
      <c r="AB51" s="29">
        <f t="shared" si="5"/>
        <v>3417.5161021378353</v>
      </c>
      <c r="AC51" s="29" t="str">
        <f t="shared" si="6"/>
        <v/>
      </c>
      <c r="AD51" s="29" t="str">
        <f t="shared" si="7"/>
        <v/>
      </c>
    </row>
    <row r="52" spans="2:30">
      <c r="B52" s="36" t="s">
        <v>141</v>
      </c>
      <c r="C52" s="89" t="str">
        <f>+IFERROR(INDEX('DESEMPATE Y DISCAPACIDAD'!$B$3:$B$450,MATCH(B52,'DESEMPATE Y DISCAPACIDAD'!$A$3:$A$450,0)),"")</f>
        <v>CONSORCIO INTERVENTOR ESTANQUILLO H-H.</v>
      </c>
      <c r="D52" s="25" t="str">
        <f>IF(C52&lt;&gt;"",VLOOKUP("A"&amp;B52,'EXPERIENCIA '!$A$1:$AT$672,41,FALSE),"")</f>
        <v>SI</v>
      </c>
      <c r="E52" s="25" t="str">
        <f>IF(C52&lt;&gt;"",VLOOKUP(B52,CONSOLIDADO!$A$6:$I$1896,9,FALSE),"")</f>
        <v>HÁBIL</v>
      </c>
      <c r="F52" s="33">
        <f>IF(C52&lt;&gt;"",IF(AND(D52="SI",E52="HÁBIL"),VLOOKUP("A"&amp;B52,'EXPERIENCIA '!$A$1:$AT$672,43,FALSE),"DESCARTADO"),"")</f>
        <v>5</v>
      </c>
      <c r="G52" s="33">
        <f>IF(C52&lt;&gt;"",IF(AND(D52="SI",E52="HÁBIL"),VLOOKUP("A"&amp;B52,'EXPERIENCIA '!$A$1:$AT$672,44,FALSE),"DESCARTADO"),"")</f>
        <v>64113.58</v>
      </c>
      <c r="H52" s="33">
        <f>IF(C52&lt;&gt;"",IF(AND(D52="SI",E52="HÁBIL"),VLOOKUP("A"&amp;B52,'EXPERIENCIA '!$A$1:$AT$672,45,FALSE),"DESCARTADO"),"")</f>
        <v>12822.716</v>
      </c>
      <c r="I52" s="46">
        <f t="shared" si="2"/>
        <v>1.2822716E-3</v>
      </c>
      <c r="J52" s="45">
        <f t="shared" si="3"/>
        <v>46.360805067936482</v>
      </c>
      <c r="X52" s="29" t="str">
        <f t="shared" si="0"/>
        <v/>
      </c>
      <c r="Y52" s="29" t="str">
        <f t="shared" si="4"/>
        <v/>
      </c>
      <c r="Z52" s="29" t="str">
        <f t="shared" si="1"/>
        <v/>
      </c>
      <c r="AB52" s="29">
        <f t="shared" si="5"/>
        <v>3041.4722354711685</v>
      </c>
      <c r="AC52" s="29" t="str">
        <f t="shared" si="6"/>
        <v/>
      </c>
      <c r="AD52" s="29" t="str">
        <f t="shared" si="7"/>
        <v/>
      </c>
    </row>
    <row r="53" spans="2:30">
      <c r="B53" s="36" t="s">
        <v>142</v>
      </c>
      <c r="C53" s="89" t="str">
        <f>+IFERROR(INDEX('DESEMPATE Y DISCAPACIDAD'!$B$3:$B$450,MATCH(B53,'DESEMPATE Y DISCAPACIDAD'!$A$3:$A$450,0)),"")</f>
        <v>CONSORCIO SURCOLOMBIA 002-26</v>
      </c>
      <c r="D53" s="25" t="str">
        <f>IF(C53&lt;&gt;"",VLOOKUP("A"&amp;B53,'EXPERIENCIA '!$A$1:$AT$672,41,FALSE),"")</f>
        <v>SI</v>
      </c>
      <c r="E53" s="25" t="str">
        <f>IF(C53&lt;&gt;"",VLOOKUP(B53,CONSOLIDADO!$A$6:$I$1896,9,FALSE),"")</f>
        <v>HÁBIL</v>
      </c>
      <c r="F53" s="33">
        <f>IF(C53&lt;&gt;"",IF(AND(D53="SI",E53="HÁBIL"),VLOOKUP("A"&amp;B53,'EXPERIENCIA '!$A$1:$AT$672,43,FALSE),"DESCARTADO"),"")</f>
        <v>4</v>
      </c>
      <c r="G53" s="33">
        <f>IF(C53&lt;&gt;"",IF(AND(D53="SI",E53="HÁBIL"),VLOOKUP("A"&amp;B53,'EXPERIENCIA '!$A$1:$AT$672,44,FALSE),"DESCARTADO"),"")</f>
        <v>61224.818500000001</v>
      </c>
      <c r="H53" s="33">
        <f>IF(C53&lt;&gt;"",IF(AND(D53="SI",E53="HÁBIL"),VLOOKUP("A"&amp;B53,'EXPERIENCIA '!$A$1:$AT$672,45,FALSE),"DESCARTADO"),"")</f>
        <v>15306.204625</v>
      </c>
      <c r="I53" s="46">
        <f t="shared" si="2"/>
        <v>1.5306204625E-3</v>
      </c>
      <c r="J53" s="45">
        <f t="shared" si="3"/>
        <v>55.339911524950942</v>
      </c>
      <c r="X53" s="29" t="str">
        <f t="shared" si="0"/>
        <v/>
      </c>
      <c r="Y53" s="29" t="str">
        <f t="shared" si="4"/>
        <v/>
      </c>
      <c r="Z53" s="29" t="str">
        <f t="shared" si="1"/>
        <v/>
      </c>
      <c r="AB53" s="29">
        <f t="shared" si="5"/>
        <v>557.9836104711685</v>
      </c>
      <c r="AC53" s="29" t="str">
        <f t="shared" si="6"/>
        <v/>
      </c>
      <c r="AD53" s="29" t="str">
        <f t="shared" si="7"/>
        <v/>
      </c>
    </row>
    <row r="54" spans="2:30">
      <c r="B54" s="36" t="s">
        <v>283</v>
      </c>
      <c r="C54" s="89" t="str">
        <f>+IFERROR(INDEX('DESEMPATE Y DISCAPACIDAD'!$B$3:$B$450,MATCH(B54,'DESEMPATE Y DISCAPACIDAD'!$A$3:$A$450,0)),"")</f>
        <v>CONSORCIO CAUCA MIP</v>
      </c>
      <c r="D54" s="25" t="str">
        <f>IF(C54&lt;&gt;"",VLOOKUP("A"&amp;B54,'EXPERIENCIA '!$A$1:$AT$672,41,FALSE),"")</f>
        <v>SI</v>
      </c>
      <c r="E54" s="25" t="str">
        <f>IF(C54&lt;&gt;"",VLOOKUP(B54,CONSOLIDADO!$A$6:$I$1896,9,FALSE),"")</f>
        <v>HÁBIL</v>
      </c>
      <c r="F54" s="33">
        <f>IF(C54&lt;&gt;"",IF(AND(D54="SI",E54="HÁBIL"),VLOOKUP("A"&amp;B54,'EXPERIENCIA '!$A$1:$AT$672,43,FALSE),"DESCARTADO"),"")</f>
        <v>7</v>
      </c>
      <c r="G54" s="33">
        <f>IF(C54&lt;&gt;"",IF(AND(D54="SI",E54="HÁBIL"),VLOOKUP("A"&amp;B54,'EXPERIENCIA '!$A$1:$AT$672,44,FALSE),"DESCARTADO"),"")</f>
        <v>76259.853600000002</v>
      </c>
      <c r="H54" s="33">
        <f>IF(C54&lt;&gt;"",IF(AND(D54="SI",E54="HÁBIL"),VLOOKUP("A"&amp;B54,'EXPERIENCIA '!$A$1:$AT$672,45,FALSE),"DESCARTADO"),"")</f>
        <v>10894.264800000001</v>
      </c>
      <c r="I54" s="46">
        <f t="shared" si="2"/>
        <v>1.0894264800000001E-3</v>
      </c>
      <c r="J54" s="45">
        <f t="shared" si="3"/>
        <v>39.388448340529578</v>
      </c>
      <c r="X54" s="29" t="str">
        <f t="shared" si="0"/>
        <v/>
      </c>
      <c r="Y54" s="29" t="str">
        <f t="shared" si="4"/>
        <v/>
      </c>
      <c r="Z54" s="29" t="str">
        <f t="shared" si="1"/>
        <v/>
      </c>
      <c r="AB54" s="29">
        <f t="shared" si="5"/>
        <v>4969.923435471168</v>
      </c>
      <c r="AC54" s="29" t="str">
        <f t="shared" si="6"/>
        <v/>
      </c>
      <c r="AD54" s="29" t="str">
        <f t="shared" si="7"/>
        <v/>
      </c>
    </row>
    <row r="55" spans="2:30">
      <c r="B55" s="36" t="s">
        <v>284</v>
      </c>
      <c r="C55" s="89" t="str">
        <f>+IFERROR(INDEX('DESEMPATE Y DISCAPACIDAD'!$B$3:$B$450,MATCH(B55,'DESEMPATE Y DISCAPACIDAD'!$A$3:$A$450,0)),"")</f>
        <v>CONSORCIO PIVICSA POPAYAN</v>
      </c>
      <c r="D55" s="25" t="str">
        <f>IF(C55&lt;&gt;"",VLOOKUP("A"&amp;B55,'EXPERIENCIA '!$A$1:$AT$672,41,FALSE),"")</f>
        <v>SI</v>
      </c>
      <c r="E55" s="25" t="str">
        <f>IF(C55&lt;&gt;"",VLOOKUP(B55,CONSOLIDADO!$A$6:$I$1896,9,FALSE),"")</f>
        <v>RECHAZADO</v>
      </c>
      <c r="F55" s="33" t="str">
        <f>IF(C55&lt;&gt;"",IF(AND(D55="SI",E55="HÁBIL"),VLOOKUP("A"&amp;B55,'EXPERIENCIA '!$A$1:$AT$672,43,FALSE),"DESCARTADO"),"")</f>
        <v>DESCARTADO</v>
      </c>
      <c r="G55" s="33" t="str">
        <f>IF(C55&lt;&gt;"",IF(AND(D55="SI",E55="HÁBIL"),VLOOKUP("A"&amp;B55,'EXPERIENCIA '!$A$1:$AT$672,44,FALSE),"DESCARTADO"),"")</f>
        <v>DESCARTADO</v>
      </c>
      <c r="H55" s="33" t="str">
        <f>IF(C55&lt;&gt;"",IF(AND(D55="SI",E55="HÁBIL"),VLOOKUP("A"&amp;B55,'EXPERIENCIA '!$A$1:$AT$672,45,FALSE),"DESCARTADO"),"")</f>
        <v>DESCARTADO</v>
      </c>
      <c r="I55" s="46" t="str">
        <f t="shared" si="2"/>
        <v/>
      </c>
      <c r="J55" s="45">
        <f t="shared" si="3"/>
        <v>0</v>
      </c>
      <c r="X55" s="29" t="str">
        <f t="shared" si="0"/>
        <v/>
      </c>
      <c r="Y55" s="29" t="str">
        <f t="shared" si="4"/>
        <v/>
      </c>
      <c r="Z55" s="29" t="str">
        <f t="shared" si="1"/>
        <v/>
      </c>
      <c r="AB55" s="29" t="str">
        <f t="shared" si="5"/>
        <v/>
      </c>
      <c r="AC55" s="29" t="str">
        <f t="shared" si="6"/>
        <v/>
      </c>
      <c r="AD55" s="29" t="str">
        <f t="shared" si="7"/>
        <v/>
      </c>
    </row>
    <row r="56" spans="2:30">
      <c r="B56" s="36" t="s">
        <v>285</v>
      </c>
      <c r="C56" s="89" t="str">
        <f>+IFERROR(INDEX('DESEMPATE Y DISCAPACIDAD'!$B$3:$B$450,MATCH(B56,'DESEMPATE Y DISCAPACIDAD'!$A$3:$A$450,0)),"")</f>
        <v>CONSORCIO INTERVENTOR VIAL</v>
      </c>
      <c r="D56" s="25" t="str">
        <f>IF(C56&lt;&gt;"",VLOOKUP("A"&amp;B56,'EXPERIENCIA '!$A$1:$AT$672,41,FALSE),"")</f>
        <v>SI</v>
      </c>
      <c r="E56" s="25" t="str">
        <f>IF(C56&lt;&gt;"",VLOOKUP(B56,CONSOLIDADO!$A$6:$I$1896,9,FALSE),"")</f>
        <v>HÁBIL</v>
      </c>
      <c r="F56" s="33">
        <f>IF(C56&lt;&gt;"",IF(AND(D56="SI",E56="HÁBIL"),VLOOKUP("A"&amp;B56,'EXPERIENCIA '!$A$1:$AT$672,43,FALSE),"DESCARTADO"),"")</f>
        <v>5</v>
      </c>
      <c r="G56" s="33">
        <f>IF(C56&lt;&gt;"",IF(AND(D56="SI",E56="HÁBIL"),VLOOKUP("A"&amp;B56,'EXPERIENCIA '!$A$1:$AT$672,44,FALSE),"DESCARTADO"),"")</f>
        <v>77207.854799999986</v>
      </c>
      <c r="H56" s="33">
        <f>IF(C56&lt;&gt;"",IF(AND(D56="SI",E56="HÁBIL"),VLOOKUP("A"&amp;B56,'EXPERIENCIA '!$A$1:$AT$672,45,FALSE),"DESCARTADO"),"")</f>
        <v>15441.570959999997</v>
      </c>
      <c r="I56" s="46">
        <f t="shared" si="2"/>
        <v>1.5441570959999998E-3</v>
      </c>
      <c r="J56" s="45">
        <f t="shared" si="3"/>
        <v>55.82933141615775</v>
      </c>
      <c r="X56" s="29" t="str">
        <f t="shared" si="0"/>
        <v/>
      </c>
      <c r="Y56" s="29" t="str">
        <f t="shared" si="4"/>
        <v/>
      </c>
      <c r="Z56" s="29" t="str">
        <f t="shared" si="1"/>
        <v/>
      </c>
      <c r="AB56" s="29">
        <f t="shared" si="5"/>
        <v>422.61727547117152</v>
      </c>
      <c r="AC56" s="29" t="str">
        <f t="shared" si="6"/>
        <v/>
      </c>
      <c r="AD56" s="29" t="str">
        <f t="shared" si="7"/>
        <v/>
      </c>
    </row>
    <row r="57" spans="2:30">
      <c r="B57" s="36" t="s">
        <v>286</v>
      </c>
      <c r="C57" s="89" t="str">
        <f>+IFERROR(INDEX('DESEMPATE Y DISCAPACIDAD'!$B$3:$B$450,MATCH(B57,'DESEMPATE Y DISCAPACIDAD'!$A$3:$A$450,0)),"")</f>
        <v>CONSORCIO ID ESTANQUILLO POPAYAN</v>
      </c>
      <c r="D57" s="25" t="str">
        <f>IF(C57&lt;&gt;"",VLOOKUP("A"&amp;B57,'EXPERIENCIA '!$A$1:$AT$672,41,FALSE),"")</f>
        <v>SI</v>
      </c>
      <c r="E57" s="25" t="str">
        <f>IF(C57&lt;&gt;"",VLOOKUP(B57,CONSOLIDADO!$A$6:$I$1896,9,FALSE),"")</f>
        <v>RECHAZADO</v>
      </c>
      <c r="F57" s="33" t="str">
        <f>IF(C57&lt;&gt;"",IF(AND(D57="SI",E57="HÁBIL"),VLOOKUP("A"&amp;B57,'EXPERIENCIA '!$A$1:$AT$672,43,FALSE),"DESCARTADO"),"")</f>
        <v>DESCARTADO</v>
      </c>
      <c r="G57" s="33" t="str">
        <f>IF(C57&lt;&gt;"",IF(AND(D57="SI",E57="HÁBIL"),VLOOKUP("A"&amp;B57,'EXPERIENCIA '!$A$1:$AT$672,44,FALSE),"DESCARTADO"),"")</f>
        <v>DESCARTADO</v>
      </c>
      <c r="H57" s="33" t="str">
        <f>IF(C57&lt;&gt;"",IF(AND(D57="SI",E57="HÁBIL"),VLOOKUP("A"&amp;B57,'EXPERIENCIA '!$A$1:$AT$672,45,FALSE),"DESCARTADO"),"")</f>
        <v>DESCARTADO</v>
      </c>
      <c r="I57" s="46" t="str">
        <f t="shared" si="2"/>
        <v/>
      </c>
      <c r="J57" s="45">
        <f t="shared" si="3"/>
        <v>0</v>
      </c>
      <c r="X57" s="29" t="str">
        <f t="shared" si="0"/>
        <v/>
      </c>
      <c r="Y57" s="29" t="str">
        <f t="shared" si="4"/>
        <v/>
      </c>
      <c r="Z57" s="29" t="str">
        <f t="shared" si="1"/>
        <v/>
      </c>
      <c r="AB57" s="29" t="str">
        <f t="shared" si="5"/>
        <v/>
      </c>
      <c r="AC57" s="29" t="str">
        <f t="shared" si="6"/>
        <v/>
      </c>
      <c r="AD57" s="29" t="str">
        <f t="shared" si="7"/>
        <v/>
      </c>
    </row>
    <row r="58" spans="2:30">
      <c r="B58" s="36" t="s">
        <v>287</v>
      </c>
      <c r="C58" s="89" t="str">
        <f>+IFERROR(INDEX('DESEMPATE Y DISCAPACIDAD'!$B$3:$B$450,MATCH(B58,'DESEMPATE Y DISCAPACIDAD'!$A$3:$A$450,0)),"")</f>
        <v>CONSORCIO TG ESTANQUILLO POPAYAN</v>
      </c>
      <c r="D58" s="25" t="str">
        <f>IF(C58&lt;&gt;"",VLOOKUP("A"&amp;B58,'EXPERIENCIA '!$A$1:$AT$672,41,FALSE),"")</f>
        <v>SI</v>
      </c>
      <c r="E58" s="25" t="str">
        <f>IF(C58&lt;&gt;"",VLOOKUP(B58,CONSOLIDADO!$A$6:$I$1896,9,FALSE),"")</f>
        <v>HÁBIL</v>
      </c>
      <c r="F58" s="33">
        <f>IF(C58&lt;&gt;"",IF(AND(D58="SI",E58="HÁBIL"),VLOOKUP("A"&amp;B58,'EXPERIENCIA '!$A$1:$AT$672,43,FALSE),"DESCARTADO"),"")</f>
        <v>2</v>
      </c>
      <c r="G58" s="33">
        <f>IF(C58&lt;&gt;"",IF(AND(D58="SI",E58="HÁBIL"),VLOOKUP("A"&amp;B58,'EXPERIENCIA '!$A$1:$AT$672,44,FALSE),"DESCARTADO"),"")</f>
        <v>31270.254700000001</v>
      </c>
      <c r="H58" s="33">
        <f>IF(C58&lt;&gt;"",IF(AND(D58="SI",E58="HÁBIL"),VLOOKUP("A"&amp;B58,'EXPERIENCIA '!$A$1:$AT$672,45,FALSE),"DESCARTADO"),"")</f>
        <v>15635.127350000001</v>
      </c>
      <c r="I58" s="46">
        <f t="shared" si="2"/>
        <v>1.5635127350000001E-3</v>
      </c>
      <c r="J58" s="45">
        <f t="shared" si="3"/>
        <v>56.529138700858091</v>
      </c>
      <c r="X58" s="29" t="str">
        <f t="shared" si="0"/>
        <v/>
      </c>
      <c r="Y58" s="29" t="str">
        <f t="shared" si="4"/>
        <v/>
      </c>
      <c r="Z58" s="29" t="str">
        <f t="shared" si="1"/>
        <v/>
      </c>
      <c r="AB58" s="29">
        <f t="shared" si="5"/>
        <v>229.06088547116815</v>
      </c>
      <c r="AC58" s="29" t="str">
        <f t="shared" si="6"/>
        <v/>
      </c>
      <c r="AD58" s="29" t="str">
        <f t="shared" si="7"/>
        <v/>
      </c>
    </row>
    <row r="59" spans="2:30">
      <c r="B59" s="36" t="s">
        <v>288</v>
      </c>
      <c r="C59" s="89" t="str">
        <f>+IFERROR(INDEX('DESEMPATE Y DISCAPACIDAD'!$B$3:$B$450,MATCH(B59,'DESEMPATE Y DISCAPACIDAD'!$A$3:$A$450,0)),"")</f>
        <v>CONSORCIO CONCESIÓN ESTANQUILLO- POPAYAN</v>
      </c>
      <c r="D59" s="25" t="str">
        <f>IF(C59&lt;&gt;"",VLOOKUP("A"&amp;B59,'EXPERIENCIA '!$A$1:$AT$672,41,FALSE),"")</f>
        <v>SI</v>
      </c>
      <c r="E59" s="25" t="str">
        <f>IF(C59&lt;&gt;"",VLOOKUP(B59,CONSOLIDADO!$A$6:$I$1896,9,FALSE),"")</f>
        <v>HÁBIL</v>
      </c>
      <c r="F59" s="33">
        <f>IF(C59&lt;&gt;"",IF(AND(D59="SI",E59="HÁBIL"),VLOOKUP("A"&amp;B59,'EXPERIENCIA '!$A$1:$AT$672,43,FALSE),"DESCARTADO"),"")</f>
        <v>4</v>
      </c>
      <c r="G59" s="33">
        <f>IF(C59&lt;&gt;"",IF(AND(D59="SI",E59="HÁBIL"),VLOOKUP("A"&amp;B59,'EXPERIENCIA '!$A$1:$AT$672,44,FALSE),"DESCARTADO"),"")</f>
        <v>54114.205999999991</v>
      </c>
      <c r="H59" s="33">
        <f>IF(C59&lt;&gt;"",IF(AND(D59="SI",E59="HÁBIL"),VLOOKUP("A"&amp;B59,'EXPERIENCIA '!$A$1:$AT$672,45,FALSE),"DESCARTADO"),"")</f>
        <v>13528.551499999998</v>
      </c>
      <c r="I59" s="46">
        <f t="shared" si="2"/>
        <v>1.3528551499999999E-3</v>
      </c>
      <c r="J59" s="45">
        <f t="shared" si="3"/>
        <v>48.91276847612</v>
      </c>
      <c r="X59" s="29" t="str">
        <f t="shared" si="0"/>
        <v/>
      </c>
      <c r="Y59" s="29" t="str">
        <f t="shared" si="4"/>
        <v/>
      </c>
      <c r="Z59" s="29" t="str">
        <f t="shared" si="1"/>
        <v/>
      </c>
      <c r="AB59" s="29">
        <f t="shared" si="5"/>
        <v>2335.6367354711711</v>
      </c>
      <c r="AC59" s="29" t="str">
        <f t="shared" si="6"/>
        <v/>
      </c>
      <c r="AD59" s="29" t="str">
        <f t="shared" si="7"/>
        <v/>
      </c>
    </row>
    <row r="60" spans="2:30">
      <c r="B60" s="36" t="s">
        <v>289</v>
      </c>
      <c r="C60" s="89" t="str">
        <f>+IFERROR(INDEX('DESEMPATE Y DISCAPACIDAD'!$B$3:$B$450,MATCH(B60,'DESEMPATE Y DISCAPACIDAD'!$A$3:$A$450,0)),"")</f>
        <v>CONSORCIO CORREDOR EP 2026</v>
      </c>
      <c r="D60" s="25" t="str">
        <f>IF(C60&lt;&gt;"",VLOOKUP("A"&amp;B60,'EXPERIENCIA '!$A$1:$AT$672,41,FALSE),"")</f>
        <v>SI</v>
      </c>
      <c r="E60" s="25" t="str">
        <f>IF(C60&lt;&gt;"",VLOOKUP(B60,CONSOLIDADO!$A$6:$I$1896,9,FALSE),"")</f>
        <v>RECHAZADO</v>
      </c>
      <c r="F60" s="33" t="str">
        <f>IF(C60&lt;&gt;"",IF(AND(D60="SI",E60="HÁBIL"),VLOOKUP("A"&amp;B60,'EXPERIENCIA '!$A$1:$AT$672,43,FALSE),"DESCARTADO"),"")</f>
        <v>DESCARTADO</v>
      </c>
      <c r="G60" s="33" t="str">
        <f>IF(C60&lt;&gt;"",IF(AND(D60="SI",E60="HÁBIL"),VLOOKUP("A"&amp;B60,'EXPERIENCIA '!$A$1:$AT$672,44,FALSE),"DESCARTADO"),"")</f>
        <v>DESCARTADO</v>
      </c>
      <c r="H60" s="33" t="str">
        <f>IF(C60&lt;&gt;"",IF(AND(D60="SI",E60="HÁBIL"),VLOOKUP("A"&amp;B60,'EXPERIENCIA '!$A$1:$AT$672,45,FALSE),"DESCARTADO"),"")</f>
        <v>DESCARTADO</v>
      </c>
      <c r="I60" s="46" t="str">
        <f t="shared" si="2"/>
        <v/>
      </c>
      <c r="J60" s="45">
        <f t="shared" si="3"/>
        <v>0</v>
      </c>
      <c r="X60" s="29" t="str">
        <f t="shared" si="0"/>
        <v/>
      </c>
      <c r="Y60" s="29" t="str">
        <f t="shared" si="4"/>
        <v/>
      </c>
      <c r="Z60" s="29" t="str">
        <f t="shared" si="1"/>
        <v/>
      </c>
      <c r="AB60" s="29" t="str">
        <f t="shared" si="5"/>
        <v/>
      </c>
      <c r="AC60" s="29" t="str">
        <f t="shared" si="6"/>
        <v/>
      </c>
      <c r="AD60" s="29" t="str">
        <f t="shared" si="7"/>
        <v/>
      </c>
    </row>
    <row r="61" spans="2:30">
      <c r="B61" s="36" t="s">
        <v>290</v>
      </c>
      <c r="C61" s="89" t="str">
        <f>+IFERROR(INDEX('DESEMPATE Y DISCAPACIDAD'!$B$3:$B$450,MATCH(B61,'DESEMPATE Y DISCAPACIDAD'!$A$3:$A$450,0)),"")</f>
        <v>CONSORCIO DEL SUR SEG - SAITEC - INCOPLAN</v>
      </c>
      <c r="D61" s="25" t="str">
        <f>IF(C61&lt;&gt;"",VLOOKUP("A"&amp;B61,'EXPERIENCIA '!$A$1:$AT$672,41,FALSE),"")</f>
        <v>SI</v>
      </c>
      <c r="E61" s="25" t="str">
        <f>IF(C61&lt;&gt;"",VLOOKUP(B61,CONSOLIDADO!$A$6:$I$1896,9,FALSE),"")</f>
        <v>HÁBIL</v>
      </c>
      <c r="F61" s="33">
        <f>IF(C61&lt;&gt;"",IF(AND(D61="SI",E61="HÁBIL"),VLOOKUP("A"&amp;B61,'EXPERIENCIA '!$A$1:$AT$672,43,FALSE),"DESCARTADO"),"")</f>
        <v>4</v>
      </c>
      <c r="G61" s="33">
        <f>IF(C61&lt;&gt;"",IF(AND(D61="SI",E61="HÁBIL"),VLOOKUP("A"&amp;B61,'EXPERIENCIA '!$A$1:$AT$672,44,FALSE),"DESCARTADO"),"")</f>
        <v>108193.09349999999</v>
      </c>
      <c r="H61" s="33">
        <f>IF(C61&lt;&gt;"",IF(AND(D61="SI",E61="HÁBIL"),VLOOKUP("A"&amp;B61,'EXPERIENCIA '!$A$1:$AT$672,45,FALSE),"DESCARTADO"),"")</f>
        <v>27048.273374999997</v>
      </c>
      <c r="I61" s="46">
        <f t="shared" si="2"/>
        <v>2.7048273374999997E-3</v>
      </c>
      <c r="J61" s="45">
        <f t="shared" si="3"/>
        <v>36.912773493130274</v>
      </c>
      <c r="X61" s="29" t="str">
        <f t="shared" si="0"/>
        <v/>
      </c>
      <c r="Y61" s="29" t="str">
        <f t="shared" si="4"/>
        <v/>
      </c>
      <c r="Z61" s="29" t="str">
        <f t="shared" si="1"/>
        <v/>
      </c>
      <c r="AB61" s="29">
        <f t="shared" si="5"/>
        <v>11184.085139528828</v>
      </c>
      <c r="AC61" s="29" t="str">
        <f t="shared" si="6"/>
        <v/>
      </c>
      <c r="AD61" s="29" t="str">
        <f t="shared" si="7"/>
        <v/>
      </c>
    </row>
    <row r="62" spans="2:30">
      <c r="B62" s="36" t="s">
        <v>291</v>
      </c>
      <c r="C62" s="89" t="str">
        <f>+IFERROR(INDEX('DESEMPATE Y DISCAPACIDAD'!$B$3:$B$450,MATCH(B62,'DESEMPATE Y DISCAPACIDAD'!$A$3:$A$450,0)),"")</f>
        <v>CONSORCIO CONEXIÓN POPAYÁN</v>
      </c>
      <c r="D62" s="25" t="str">
        <f>IF(C62&lt;&gt;"",VLOOKUP("A"&amp;B62,'EXPERIENCIA '!$A$1:$AT$672,41,FALSE),"")</f>
        <v>SI</v>
      </c>
      <c r="E62" s="25" t="str">
        <f>IF(C62&lt;&gt;"",VLOOKUP(B62,CONSOLIDADO!$A$6:$I$1896,9,FALSE),"")</f>
        <v>HÁBIL</v>
      </c>
      <c r="F62" s="33">
        <f>IF(C62&lt;&gt;"",IF(AND(D62="SI",E62="HÁBIL"),VLOOKUP("A"&amp;B62,'EXPERIENCIA '!$A$1:$AT$672,43,FALSE),"DESCARTADO"),"")</f>
        <v>4</v>
      </c>
      <c r="G62" s="33">
        <f>IF(C62&lt;&gt;"",IF(AND(D62="SI",E62="HÁBIL"),VLOOKUP("A"&amp;B62,'EXPERIENCIA '!$A$1:$AT$672,44,FALSE),"DESCARTADO"),"")</f>
        <v>68524.149999999994</v>
      </c>
      <c r="H62" s="33">
        <f>IF(C62&lt;&gt;"",IF(AND(D62="SI",E62="HÁBIL"),VLOOKUP("A"&amp;B62,'EXPERIENCIA '!$A$1:$AT$672,45,FALSE),"DESCARTADO"),"")</f>
        <v>17131.037499999999</v>
      </c>
      <c r="I62" s="46">
        <f t="shared" si="2"/>
        <v>1.7131037499999999E-3</v>
      </c>
      <c r="J62" s="45">
        <f t="shared" si="3"/>
        <v>61.937633973099757</v>
      </c>
      <c r="X62" s="29" t="str">
        <f t="shared" si="0"/>
        <v/>
      </c>
      <c r="Y62" s="29" t="str">
        <f t="shared" si="4"/>
        <v/>
      </c>
      <c r="Z62" s="29" t="str">
        <f t="shared" si="1"/>
        <v/>
      </c>
      <c r="AB62" s="29">
        <f t="shared" si="5"/>
        <v>1266.8492645288297</v>
      </c>
      <c r="AC62" s="29" t="str">
        <f t="shared" si="6"/>
        <v/>
      </c>
      <c r="AD62" s="29" t="str">
        <f t="shared" si="7"/>
        <v/>
      </c>
    </row>
    <row r="63" spans="2:30">
      <c r="B63" s="36" t="s">
        <v>292</v>
      </c>
      <c r="C63" s="89" t="str">
        <f>+IFERROR(INDEX('DESEMPATE Y DISCAPACIDAD'!$B$3:$B$450,MATCH(B63,'DESEMPATE Y DISCAPACIDAD'!$A$3:$A$450,0)),"")</f>
        <v>CONSORCIO CORREDOR SUR</v>
      </c>
      <c r="D63" s="25" t="str">
        <f>IF(C63&lt;&gt;"",VLOOKUP("A"&amp;B63,'EXPERIENCIA '!$A$1:$AT$672,41,FALSE),"")</f>
        <v>SI</v>
      </c>
      <c r="E63" s="25" t="str">
        <f>IF(C63&lt;&gt;"",VLOOKUP(B63,CONSOLIDADO!$A$6:$I$1896,9,FALSE),"")</f>
        <v>RECHAZADO</v>
      </c>
      <c r="F63" s="33" t="str">
        <f>IF(C63&lt;&gt;"",IF(AND(D63="SI",E63="HÁBIL"),VLOOKUP("A"&amp;B63,'EXPERIENCIA '!$A$1:$AT$672,43,FALSE),"DESCARTADO"),"")</f>
        <v>DESCARTADO</v>
      </c>
      <c r="G63" s="33" t="str">
        <f>IF(C63&lt;&gt;"",IF(AND(D63="SI",E63="HÁBIL"),VLOOKUP("A"&amp;B63,'EXPERIENCIA '!$A$1:$AT$672,44,FALSE),"DESCARTADO"),"")</f>
        <v>DESCARTADO</v>
      </c>
      <c r="H63" s="33" t="str">
        <f>IF(C63&lt;&gt;"",IF(AND(D63="SI",E63="HÁBIL"),VLOOKUP("A"&amp;B63,'EXPERIENCIA '!$A$1:$AT$672,45,FALSE),"DESCARTADO"),"")</f>
        <v>DESCARTADO</v>
      </c>
      <c r="I63" s="46" t="str">
        <f t="shared" si="2"/>
        <v/>
      </c>
      <c r="J63" s="45">
        <f t="shared" si="3"/>
        <v>0</v>
      </c>
      <c r="X63" s="29" t="str">
        <f t="shared" si="0"/>
        <v/>
      </c>
      <c r="Y63" s="29" t="str">
        <f t="shared" si="4"/>
        <v/>
      </c>
      <c r="Z63" s="29" t="str">
        <f t="shared" si="1"/>
        <v/>
      </c>
      <c r="AB63" s="29" t="str">
        <f t="shared" si="5"/>
        <v/>
      </c>
      <c r="AC63" s="29" t="str">
        <f t="shared" si="6"/>
        <v/>
      </c>
      <c r="AD63" s="29" t="str">
        <f t="shared" si="7"/>
        <v/>
      </c>
    </row>
    <row r="64" spans="2:30">
      <c r="B64" s="36" t="s">
        <v>293</v>
      </c>
      <c r="C64" s="89" t="str">
        <f>+IFERROR(INDEX('DESEMPATE Y DISCAPACIDAD'!$B$3:$B$450,MATCH(B64,'DESEMPATE Y DISCAPACIDAD'!$A$3:$A$450,0)),"")</f>
        <v>CONSORCIO ESTANQUILLO SCD</v>
      </c>
      <c r="D64" s="25" t="str">
        <f>IF(C64&lt;&gt;"",VLOOKUP("A"&amp;B64,'EXPERIENCIA '!$A$1:$AT$672,41,FALSE),"")</f>
        <v>SI</v>
      </c>
      <c r="E64" s="25" t="str">
        <f>IF(C64&lt;&gt;"",VLOOKUP(B64,CONSOLIDADO!$A$6:$I$1896,9,FALSE),"")</f>
        <v>HÁBIL</v>
      </c>
      <c r="F64" s="33">
        <f>IF(C64&lt;&gt;"",IF(AND(D64="SI",E64="HÁBIL"),VLOOKUP("A"&amp;B64,'EXPERIENCIA '!$A$1:$AT$672,43,FALSE),"DESCARTADO"),"")</f>
        <v>7</v>
      </c>
      <c r="G64" s="33">
        <f>IF(C64&lt;&gt;"",IF(AND(D64="SI",E64="HÁBIL"),VLOOKUP("A"&amp;B64,'EXPERIENCIA '!$A$1:$AT$672,44,FALSE),"DESCARTADO"),"")</f>
        <v>106896.1939</v>
      </c>
      <c r="H64" s="33">
        <f>IF(C64&lt;&gt;"",IF(AND(D64="SI",E64="HÁBIL"),VLOOKUP("A"&amp;B64,'EXPERIENCIA '!$A$1:$AT$672,45,FALSE),"DESCARTADO"),"")</f>
        <v>15270.884842857142</v>
      </c>
      <c r="I64" s="46">
        <f t="shared" si="2"/>
        <v>1.5270884842857142E-3</v>
      </c>
      <c r="J64" s="45">
        <f t="shared" si="3"/>
        <v>55.212212094115301</v>
      </c>
      <c r="X64" s="29" t="str">
        <f t="shared" si="0"/>
        <v/>
      </c>
      <c r="Y64" s="29" t="str">
        <f t="shared" si="4"/>
        <v/>
      </c>
      <c r="Z64" s="29" t="str">
        <f t="shared" si="1"/>
        <v/>
      </c>
      <c r="AB64" s="29">
        <f t="shared" si="5"/>
        <v>593.30339261402696</v>
      </c>
      <c r="AC64" s="29" t="str">
        <f t="shared" si="6"/>
        <v/>
      </c>
      <c r="AD64" s="29" t="str">
        <f t="shared" si="7"/>
        <v/>
      </c>
    </row>
    <row r="65" spans="2:30">
      <c r="B65" s="36" t="s">
        <v>294</v>
      </c>
      <c r="C65" s="89" t="str">
        <f>+IFERROR(INDEX('DESEMPATE Y DISCAPACIDAD'!$B$3:$B$450,MATCH(B65,'DESEMPATE Y DISCAPACIDAD'!$A$3:$A$450,0)),"")</f>
        <v>CONSORCIO GIS INFRAVISIÓN PACÍFICO</v>
      </c>
      <c r="D65" s="25" t="str">
        <f>IF(C65&lt;&gt;"",VLOOKUP("A"&amp;B65,'EXPERIENCIA '!$A$1:$AT$672,41,FALSE),"")</f>
        <v>SI</v>
      </c>
      <c r="E65" s="25" t="str">
        <f>IF(C65&lt;&gt;"",VLOOKUP(B65,CONSOLIDADO!$A$6:$I$1896,9,FALSE),"")</f>
        <v>HÁBIL</v>
      </c>
      <c r="F65" s="33">
        <f>IF(C65&lt;&gt;"",IF(AND(D65="SI",E65="HÁBIL"),VLOOKUP("A"&amp;B65,'EXPERIENCIA '!$A$1:$AT$672,43,FALSE),"DESCARTADO"),"")</f>
        <v>4</v>
      </c>
      <c r="G65" s="33">
        <f>IF(C65&lt;&gt;"",IF(AND(D65="SI",E65="HÁBIL"),VLOOKUP("A"&amp;B65,'EXPERIENCIA '!$A$1:$AT$672,44,FALSE),"DESCARTADO"),"")</f>
        <v>58388.049999999996</v>
      </c>
      <c r="H65" s="33">
        <f>IF(C65&lt;&gt;"",IF(AND(D65="SI",E65="HÁBIL"),VLOOKUP("A"&amp;B65,'EXPERIENCIA '!$A$1:$AT$672,45,FALSE),"DESCARTADO"),"")</f>
        <v>14597.012499999999</v>
      </c>
      <c r="I65" s="46">
        <f t="shared" si="2"/>
        <v>1.45970125E-3</v>
      </c>
      <c r="J65" s="45">
        <f t="shared" si="3"/>
        <v>52.775812166995827</v>
      </c>
      <c r="X65" s="29" t="str">
        <f t="shared" si="0"/>
        <v/>
      </c>
      <c r="Y65" s="29" t="str">
        <f t="shared" si="4"/>
        <v/>
      </c>
      <c r="Z65" s="29" t="str">
        <f t="shared" si="1"/>
        <v/>
      </c>
      <c r="AB65" s="29">
        <f t="shared" si="5"/>
        <v>1267.1757354711699</v>
      </c>
      <c r="AC65" s="29" t="str">
        <f t="shared" si="6"/>
        <v/>
      </c>
      <c r="AD65" s="29" t="str">
        <f t="shared" si="7"/>
        <v/>
      </c>
    </row>
    <row r="66" spans="2:30">
      <c r="B66" s="36" t="s">
        <v>295</v>
      </c>
      <c r="C66" s="89" t="str">
        <f>+IFERROR(INDEX('DESEMPATE Y DISCAPACIDAD'!$B$3:$B$450,MATCH(B66,'DESEMPATE Y DISCAPACIDAD'!$A$3:$A$450,0)),"")</f>
        <v>CONSORCIO INTERVENTOR ESTANQUILLO IEB</v>
      </c>
      <c r="D66" s="25" t="str">
        <f>IF(C66&lt;&gt;"",VLOOKUP("A"&amp;B66,'EXPERIENCIA '!$A$1:$AT$672,41,FALSE),"")</f>
        <v>SI</v>
      </c>
      <c r="E66" s="25" t="str">
        <f>IF(C66&lt;&gt;"",VLOOKUP(B66,CONSOLIDADO!$A$6:$I$1896,9,FALSE),"")</f>
        <v>HÁBIL</v>
      </c>
      <c r="F66" s="33">
        <f>IF(C66&lt;&gt;"",IF(AND(D66="SI",E66="HÁBIL"),VLOOKUP("A"&amp;B66,'EXPERIENCIA '!$A$1:$AT$672,43,FALSE),"DESCARTADO"),"")</f>
        <v>5</v>
      </c>
      <c r="G66" s="33">
        <f>IF(C66&lt;&gt;"",IF(AND(D66="SI",E66="HÁBIL"),VLOOKUP("A"&amp;B66,'EXPERIENCIA '!$A$1:$AT$672,44,FALSE),"DESCARTADO"),"")</f>
        <v>80123.042700000005</v>
      </c>
      <c r="H66" s="33">
        <f>IF(C66&lt;&gt;"",IF(AND(D66="SI",E66="HÁBIL"),VLOOKUP("A"&amp;B66,'EXPERIENCIA '!$A$1:$AT$672,45,FALSE),"DESCARTADO"),"")</f>
        <v>16024.608540000001</v>
      </c>
      <c r="I66" s="46">
        <f t="shared" si="2"/>
        <v>1.6024608540000001E-3</v>
      </c>
      <c r="J66" s="45">
        <f t="shared" si="3"/>
        <v>57.937316307475747</v>
      </c>
      <c r="X66" s="29" t="str">
        <f t="shared" si="0"/>
        <v/>
      </c>
      <c r="Y66" s="29" t="str">
        <f t="shared" si="4"/>
        <v/>
      </c>
      <c r="Z66" s="29" t="str">
        <f t="shared" si="1"/>
        <v/>
      </c>
      <c r="AB66" s="29">
        <f t="shared" si="5"/>
        <v>160.42030452883228</v>
      </c>
      <c r="AC66" s="29" t="str">
        <f t="shared" si="6"/>
        <v>MÍNIMO</v>
      </c>
      <c r="AD66" s="29">
        <f t="shared" si="7"/>
        <v>16024.608540000001</v>
      </c>
    </row>
    <row r="67" spans="2:30">
      <c r="B67" s="36" t="s">
        <v>296</v>
      </c>
      <c r="C67" s="89" t="str">
        <f>+IFERROR(INDEX('DESEMPATE Y DISCAPACIDAD'!$B$3:$B$450,MATCH(B67,'DESEMPATE Y DISCAPACIDAD'!$A$3:$A$450,0)),"")</f>
        <v>CONSORCIO STC CORREDOR EP</v>
      </c>
      <c r="D67" s="25" t="str">
        <f>IF(C67&lt;&gt;"",VLOOKUP("A"&amp;B67,'EXPERIENCIA '!$A$1:$AT$672,41,FALSE),"")</f>
        <v>SI</v>
      </c>
      <c r="E67" s="25" t="str">
        <f>IF(C67&lt;&gt;"",VLOOKUP(B67,CONSOLIDADO!$A$6:$I$1896,9,FALSE),"")</f>
        <v>RECHAZADO</v>
      </c>
      <c r="F67" s="33" t="str">
        <f>IF(C67&lt;&gt;"",IF(AND(D67="SI",E67="HÁBIL"),VLOOKUP("A"&amp;B67,'EXPERIENCIA '!$A$1:$AT$672,43,FALSE),"DESCARTADO"),"")</f>
        <v>DESCARTADO</v>
      </c>
      <c r="G67" s="33" t="str">
        <f>IF(C67&lt;&gt;"",IF(AND(D67="SI",E67="HÁBIL"),VLOOKUP("A"&amp;B67,'EXPERIENCIA '!$A$1:$AT$672,44,FALSE),"DESCARTADO"),"")</f>
        <v>DESCARTADO</v>
      </c>
      <c r="H67" s="33" t="str">
        <f>IF(C67&lt;&gt;"",IF(AND(D67="SI",E67="HÁBIL"),VLOOKUP("A"&amp;B67,'EXPERIENCIA '!$A$1:$AT$672,45,FALSE),"DESCARTADO"),"")</f>
        <v>DESCARTADO</v>
      </c>
      <c r="I67" s="46" t="str">
        <f t="shared" si="2"/>
        <v/>
      </c>
      <c r="J67" s="45">
        <f t="shared" si="3"/>
        <v>0</v>
      </c>
      <c r="X67" s="29" t="str">
        <f t="shared" si="0"/>
        <v/>
      </c>
      <c r="Y67" s="29" t="str">
        <f t="shared" si="4"/>
        <v/>
      </c>
      <c r="Z67" s="29" t="str">
        <f t="shared" si="1"/>
        <v/>
      </c>
      <c r="AB67" s="29" t="str">
        <f t="shared" si="5"/>
        <v/>
      </c>
      <c r="AC67" s="29" t="str">
        <f t="shared" si="6"/>
        <v/>
      </c>
      <c r="AD67" s="29" t="str">
        <f t="shared" si="7"/>
        <v/>
      </c>
    </row>
    <row r="68" spans="2:30">
      <c r="B68" s="36" t="s">
        <v>297</v>
      </c>
      <c r="C68" s="89" t="str">
        <f>+IFERROR(INDEX('DESEMPATE Y DISCAPACIDAD'!$B$3:$B$450,MATCH(B68,'DESEMPATE Y DISCAPACIDAD'!$A$3:$A$450,0)),"")</f>
        <v>CONSORCIO INTERVENTORES PED ESTANQUILLO</v>
      </c>
      <c r="D68" s="25" t="str">
        <f>IF(C68&lt;&gt;"",VLOOKUP("A"&amp;B68,'EXPERIENCIA '!$A$1:$AT$672,41,FALSE),"")</f>
        <v>SI</v>
      </c>
      <c r="E68" s="25" t="str">
        <f>IF(C68&lt;&gt;"",VLOOKUP(B68,CONSOLIDADO!$A$6:$I$1896,9,FALSE),"")</f>
        <v>HÁBIL</v>
      </c>
      <c r="F68" s="33">
        <f>IF(C68&lt;&gt;"",IF(AND(D68="SI",E68="HÁBIL"),VLOOKUP("A"&amp;B68,'EXPERIENCIA '!$A$1:$AT$672,43,FALSE),"DESCARTADO"),"")</f>
        <v>3</v>
      </c>
      <c r="G68" s="33">
        <f>IF(C68&lt;&gt;"",IF(AND(D68="SI",E68="HÁBIL"),VLOOKUP("A"&amp;B68,'EXPERIENCIA '!$A$1:$AT$672,44,FALSE),"DESCARTADO"),"")</f>
        <v>62017.693500000001</v>
      </c>
      <c r="H68" s="33">
        <f>IF(C68&lt;&gt;"",IF(AND(D68="SI",E68="HÁBIL"),VLOOKUP("A"&amp;B68,'EXPERIENCIA '!$A$1:$AT$672,45,FALSE),"DESCARTADO"),"")</f>
        <v>20672.5645</v>
      </c>
      <c r="I68" s="46">
        <f t="shared" si="2"/>
        <v>2.0672564499999999E-3</v>
      </c>
      <c r="J68" s="45">
        <f t="shared" si="3"/>
        <v>74.742100896474952</v>
      </c>
      <c r="X68" s="29" t="str">
        <f t="shared" si="0"/>
        <v/>
      </c>
      <c r="Y68" s="29" t="str">
        <f t="shared" si="4"/>
        <v/>
      </c>
      <c r="Z68" s="29" t="str">
        <f t="shared" si="1"/>
        <v/>
      </c>
      <c r="AB68" s="29">
        <f t="shared" si="5"/>
        <v>4808.3762645288316</v>
      </c>
      <c r="AC68" s="29" t="str">
        <f t="shared" si="6"/>
        <v/>
      </c>
      <c r="AD68" s="29" t="str">
        <f t="shared" si="7"/>
        <v/>
      </c>
    </row>
    <row r="69" spans="2:30">
      <c r="B69" s="36" t="s">
        <v>298</v>
      </c>
      <c r="C69" s="89" t="str">
        <f>+IFERROR(INDEX('DESEMPATE Y DISCAPACIDAD'!$B$3:$B$450,MATCH(B69,'DESEMPATE Y DISCAPACIDAD'!$A$3:$A$450,0)),"")</f>
        <v>CONSORCIO POPAYÁN AR</v>
      </c>
      <c r="D69" s="25" t="str">
        <f>IF(C69&lt;&gt;"",VLOOKUP("A"&amp;B69,'EXPERIENCIA '!$A$1:$AT$672,41,FALSE),"")</f>
        <v>SI</v>
      </c>
      <c r="E69" s="25" t="str">
        <f>IF(C69&lt;&gt;"",VLOOKUP(B69,CONSOLIDADO!$A$6:$I$1896,9,FALSE),"")</f>
        <v>HÁBIL</v>
      </c>
      <c r="F69" s="33">
        <f>IF(C69&lt;&gt;"",IF(AND(D69="SI",E69="HÁBIL"),VLOOKUP("A"&amp;B69,'EXPERIENCIA '!$A$1:$AT$672,43,FALSE),"DESCARTADO"),"")</f>
        <v>4</v>
      </c>
      <c r="G69" s="33">
        <f>IF(C69&lt;&gt;"",IF(AND(D69="SI",E69="HÁBIL"),VLOOKUP("A"&amp;B69,'EXPERIENCIA '!$A$1:$AT$672,44,FALSE),"DESCARTADO"),"")</f>
        <v>83993.594322399993</v>
      </c>
      <c r="H69" s="33">
        <f>IF(C69&lt;&gt;"",IF(AND(D69="SI",E69="HÁBIL"),VLOOKUP("A"&amp;B69,'EXPERIENCIA '!$A$1:$AT$672,45,FALSE),"DESCARTADO"),"")</f>
        <v>20998.398580599998</v>
      </c>
      <c r="I69" s="46">
        <f t="shared" si="2"/>
        <v>2.0998398580599998E-3</v>
      </c>
      <c r="J69" s="45">
        <f t="shared" si="3"/>
        <v>75.920161012224753</v>
      </c>
      <c r="X69" s="29" t="str">
        <f t="shared" si="0"/>
        <v/>
      </c>
      <c r="Y69" s="29" t="str">
        <f t="shared" si="4"/>
        <v/>
      </c>
      <c r="Z69" s="29" t="str">
        <f t="shared" si="1"/>
        <v/>
      </c>
      <c r="AB69" s="29">
        <f t="shared" si="5"/>
        <v>5134.2103451288294</v>
      </c>
      <c r="AC69" s="29" t="str">
        <f t="shared" si="6"/>
        <v/>
      </c>
      <c r="AD69" s="29" t="str">
        <f t="shared" si="7"/>
        <v/>
      </c>
    </row>
    <row r="70" spans="2:30">
      <c r="B70" s="36" t="s">
        <v>299</v>
      </c>
      <c r="C70" s="89" t="str">
        <f>+IFERROR(INDEX('DESEMPATE Y DISCAPACIDAD'!$B$3:$B$450,MATCH(B70,'DESEMPATE Y DISCAPACIDAD'!$A$3:$A$450,0)),"")</f>
        <v xml:space="preserve"> CONSORCIO RUTA NACIONAL DEL SUR</v>
      </c>
      <c r="D70" s="25" t="str">
        <f>IF(C70&lt;&gt;"",VLOOKUP("A"&amp;B70,'EXPERIENCIA '!$A$1:$AT$672,41,FALSE),"")</f>
        <v>SI</v>
      </c>
      <c r="E70" s="25" t="str">
        <f>IF(C70&lt;&gt;"",VLOOKUP(B70,CONSOLIDADO!$A$6:$I$1896,9,FALSE),"")</f>
        <v>HÁBIL</v>
      </c>
      <c r="F70" s="33">
        <f>IF(C70&lt;&gt;"",IF(AND(D70="SI",E70="HÁBIL"),VLOOKUP("A"&amp;B70,'EXPERIENCIA '!$A$1:$AT$672,43,FALSE),"DESCARTADO"),"")</f>
        <v>4</v>
      </c>
      <c r="G70" s="33">
        <f>IF(C70&lt;&gt;"",IF(AND(D70="SI",E70="HÁBIL"),VLOOKUP("A"&amp;B70,'EXPERIENCIA '!$A$1:$AT$672,44,FALSE),"DESCARTADO"),"")</f>
        <v>56922.468999999997</v>
      </c>
      <c r="H70" s="33">
        <f>IF(C70&lt;&gt;"",IF(AND(D70="SI",E70="HÁBIL"),VLOOKUP("A"&amp;B70,'EXPERIENCIA '!$A$1:$AT$672,45,FALSE),"DESCARTADO"),"")</f>
        <v>14230.617249999999</v>
      </c>
      <c r="I70" s="46">
        <f t="shared" si="2"/>
        <v>1.4230617249999999E-3</v>
      </c>
      <c r="J70" s="45">
        <f t="shared" si="3"/>
        <v>51.451102272222535</v>
      </c>
      <c r="X70" s="29" t="str">
        <f t="shared" si="0"/>
        <v/>
      </c>
      <c r="Y70" s="29" t="str">
        <f t="shared" si="4"/>
        <v/>
      </c>
      <c r="Z70" s="29" t="str">
        <f t="shared" si="1"/>
        <v/>
      </c>
      <c r="AB70" s="29">
        <f t="shared" si="5"/>
        <v>1633.5709854711695</v>
      </c>
      <c r="AC70" s="29" t="str">
        <f t="shared" si="6"/>
        <v/>
      </c>
      <c r="AD70" s="29" t="str">
        <f t="shared" si="7"/>
        <v/>
      </c>
    </row>
    <row r="71" spans="2:30">
      <c r="B71" s="36" t="s">
        <v>300</v>
      </c>
      <c r="C71" s="89" t="str">
        <f>+IFERROR(INDEX('DESEMPATE Y DISCAPACIDAD'!$B$3:$B$450,MATCH(B71,'DESEMPATE Y DISCAPACIDAD'!$A$3:$A$450,0)),"")</f>
        <v xml:space="preserve"> CONSORCIO TPF CONEXIÓN POPAYAN</v>
      </c>
      <c r="D71" s="25" t="str">
        <f>IF(C71&lt;&gt;"",VLOOKUP("A"&amp;B71,'EXPERIENCIA '!$A$1:$AT$672,41,FALSE),"")</f>
        <v>SI</v>
      </c>
      <c r="E71" s="25" t="str">
        <f>IF(C71&lt;&gt;"",VLOOKUP(B71,CONSOLIDADO!$A$6:$I$1896,9,FALSE),"")</f>
        <v>HÁBIL</v>
      </c>
      <c r="F71" s="33">
        <f>IF(C71&lt;&gt;"",IF(AND(D71="SI",E71="HÁBIL"),VLOOKUP("A"&amp;B71,'EXPERIENCIA '!$A$1:$AT$672,43,FALSE),"DESCARTADO"),"")</f>
        <v>4</v>
      </c>
      <c r="G71" s="33">
        <f>IF(C71&lt;&gt;"",IF(AND(D71="SI",E71="HÁBIL"),VLOOKUP("A"&amp;B71,'EXPERIENCIA '!$A$1:$AT$672,44,FALSE),"DESCARTADO"),"")</f>
        <v>62027.521000000008</v>
      </c>
      <c r="H71" s="33">
        <f>IF(C71&lt;&gt;"",IF(AND(D71="SI",E71="HÁBIL"),VLOOKUP("A"&amp;B71,'EXPERIENCIA '!$A$1:$AT$672,45,FALSE),"DESCARTADO"),"")</f>
        <v>15506.880250000002</v>
      </c>
      <c r="I71" s="46">
        <f t="shared" si="2"/>
        <v>1.5506880250000003E-3</v>
      </c>
      <c r="J71" s="45">
        <f t="shared" si="3"/>
        <v>56.065458556680518</v>
      </c>
      <c r="X71" s="29" t="str">
        <f t="shared" si="0"/>
        <v/>
      </c>
      <c r="Y71" s="29" t="str">
        <f t="shared" si="4"/>
        <v/>
      </c>
      <c r="Z71" s="29" t="str">
        <f t="shared" si="1"/>
        <v/>
      </c>
      <c r="AB71" s="29">
        <f t="shared" si="5"/>
        <v>357.30798547116683</v>
      </c>
      <c r="AC71" s="29" t="str">
        <f t="shared" si="6"/>
        <v/>
      </c>
      <c r="AD71" s="29" t="str">
        <f t="shared" si="7"/>
        <v/>
      </c>
    </row>
    <row r="72" spans="2:30">
      <c r="B72" s="36" t="s">
        <v>301</v>
      </c>
      <c r="C72" s="89" t="str">
        <f>+IFERROR(INDEX('DESEMPATE Y DISCAPACIDAD'!$B$3:$B$450,MATCH(B72,'DESEMPATE Y DISCAPACIDAD'!$A$3:$A$450,0)),"")</f>
        <v xml:space="preserve">CONSORCIO A1V2-SCAIN </v>
      </c>
      <c r="D72" s="25" t="str">
        <f>IF(C72&lt;&gt;"",VLOOKUP("A"&amp;B72,'EXPERIENCIA '!$A$1:$AT$672,41,FALSE),"")</f>
        <v>NO</v>
      </c>
      <c r="E72" s="25" t="str">
        <f>IF(C72&lt;&gt;"",VLOOKUP(B72,CONSOLIDADO!$A$6:$I$1896,9,FALSE),"")</f>
        <v>RECHAZADO</v>
      </c>
      <c r="F72" s="33" t="str">
        <f>IF(C72&lt;&gt;"",IF(AND(D72="SI",E72="HÁBIL"),VLOOKUP("A"&amp;B72,'EXPERIENCIA '!$A$1:$AT$672,43,FALSE),"DESCARTADO"),"")</f>
        <v>DESCARTADO</v>
      </c>
      <c r="G72" s="33" t="str">
        <f>IF(C72&lt;&gt;"",IF(AND(D72="SI",E72="HÁBIL"),VLOOKUP("A"&amp;B72,'EXPERIENCIA '!$A$1:$AT$672,44,FALSE),"DESCARTADO"),"")</f>
        <v>DESCARTADO</v>
      </c>
      <c r="H72" s="33" t="str">
        <f>IF(C72&lt;&gt;"",IF(AND(D72="SI",E72="HÁBIL"),VLOOKUP("A"&amp;B72,'EXPERIENCIA '!$A$1:$AT$672,45,FALSE),"DESCARTADO"),"")</f>
        <v>DESCARTADO</v>
      </c>
      <c r="I72" s="46" t="str">
        <f t="shared" si="2"/>
        <v/>
      </c>
      <c r="J72" s="45">
        <f t="shared" si="3"/>
        <v>0</v>
      </c>
      <c r="X72" s="29" t="str">
        <f t="shared" si="0"/>
        <v/>
      </c>
      <c r="Y72" s="29" t="str">
        <f t="shared" si="4"/>
        <v/>
      </c>
      <c r="Z72" s="29" t="str">
        <f t="shared" si="1"/>
        <v/>
      </c>
      <c r="AB72" s="29" t="str">
        <f t="shared" si="5"/>
        <v/>
      </c>
      <c r="AC72" s="29" t="str">
        <f t="shared" si="6"/>
        <v/>
      </c>
      <c r="AD72" s="29" t="str">
        <f t="shared" si="7"/>
        <v/>
      </c>
    </row>
    <row r="73" spans="2:30">
      <c r="B73" s="36" t="s">
        <v>302</v>
      </c>
      <c r="C73" s="89" t="str">
        <f>+IFERROR(INDEX('DESEMPATE Y DISCAPACIDAD'!$B$3:$B$450,MATCH(B73,'DESEMPATE Y DISCAPACIDAD'!$A$3:$A$450,0)),"")</f>
        <v>CONSORCIO CORREDOR POPAYÁN ECI</v>
      </c>
      <c r="D73" s="25" t="str">
        <f>IF(C73&lt;&gt;"",VLOOKUP("A"&amp;B73,'EXPERIENCIA '!$A$1:$AT$672,41,FALSE),"")</f>
        <v>SI</v>
      </c>
      <c r="E73" s="25" t="str">
        <f>IF(C73&lt;&gt;"",VLOOKUP(B73,CONSOLIDADO!$A$6:$I$1896,9,FALSE),"")</f>
        <v>HÁBIL</v>
      </c>
      <c r="F73" s="33">
        <f>IF(C73&lt;&gt;"",IF(AND(D73="SI",E73="HÁBIL"),VLOOKUP("A"&amp;B73,'EXPERIENCIA '!$A$1:$AT$672,43,FALSE),"DESCARTADO"),"")</f>
        <v>6</v>
      </c>
      <c r="G73" s="33">
        <f>IF(C73&lt;&gt;"",IF(AND(D73="SI",E73="HÁBIL"),VLOOKUP("A"&amp;B73,'EXPERIENCIA '!$A$1:$AT$672,44,FALSE),"DESCARTADO"),"")</f>
        <v>91275.003999999986</v>
      </c>
      <c r="H73" s="33">
        <f>IF(C73&lt;&gt;"",IF(AND(D73="SI",E73="HÁBIL"),VLOOKUP("A"&amp;B73,'EXPERIENCIA '!$A$1:$AT$672,45,FALSE),"DESCARTADO"),"")</f>
        <v>15212.500666666665</v>
      </c>
      <c r="I73" s="46">
        <f t="shared" si="2"/>
        <v>1.5212500666666666E-3</v>
      </c>
      <c r="J73" s="45">
        <f t="shared" si="3"/>
        <v>55.001122851288841</v>
      </c>
      <c r="X73" s="29" t="str">
        <f t="shared" si="0"/>
        <v/>
      </c>
      <c r="Y73" s="29" t="str">
        <f t="shared" si="4"/>
        <v/>
      </c>
      <c r="Z73" s="29" t="str">
        <f t="shared" si="1"/>
        <v/>
      </c>
      <c r="AB73" s="29">
        <f t="shared" si="5"/>
        <v>651.68756880450383</v>
      </c>
      <c r="AC73" s="29" t="str">
        <f t="shared" si="6"/>
        <v/>
      </c>
      <c r="AD73" s="29" t="str">
        <f t="shared" si="7"/>
        <v/>
      </c>
    </row>
    <row r="74" spans="2:30" hidden="1">
      <c r="B74" s="36" t="s">
        <v>303</v>
      </c>
      <c r="C74" s="89">
        <f>+IFERROR(INDEX('DESEMPATE Y DISCAPACIDAD'!$B$3:$B$450,MATCH(B74,'DESEMPATE Y DISCAPACIDAD'!$A$3:$A$450,0)),"")</f>
        <v>0</v>
      </c>
      <c r="D74" s="25">
        <f>IF(C74&lt;&gt;"",VLOOKUP("A"&amp;B74,'EXPERIENCIA '!$A$1:$AT$672,41,FALSE),"")</f>
        <v>0</v>
      </c>
      <c r="E74" s="25" t="str">
        <f>IF(C74&lt;&gt;"",VLOOKUP(B74,CONSOLIDADO!$A$6:$I$1896,9,FALSE),"")</f>
        <v/>
      </c>
      <c r="F74" s="33" t="str">
        <f>IF(C74&lt;&gt;"",IF(AND(D74="SI",E74="HÁBIL"),VLOOKUP("A"&amp;B74,'EXPERIENCIA '!$A$1:$AT$672,43,FALSE),"DESCARTADO"),"")</f>
        <v>DESCARTADO</v>
      </c>
      <c r="G74" s="33" t="str">
        <f>IF(C74&lt;&gt;"",IF(AND(D74="SI",E74="HÁBIL"),VLOOKUP("A"&amp;B74,'EXPERIENCIA '!$A$1:$AT$672,44,FALSE),"DESCARTADO"),"")</f>
        <v>DESCARTADO</v>
      </c>
      <c r="H74" s="33" t="str">
        <f>IF(C74&lt;&gt;"",IF(AND(D74="SI",E74="HÁBIL"),VLOOKUP("A"&amp;B74,'EXPERIENCIA '!$A$1:$AT$672,45,FALSE),"DESCARTADO"),"")</f>
        <v>DESCARTADO</v>
      </c>
      <c r="I74" s="46" t="str">
        <f t="shared" si="2"/>
        <v/>
      </c>
      <c r="J74" s="45">
        <f t="shared" si="3"/>
        <v>0</v>
      </c>
      <c r="X74" s="29" t="str">
        <f t="shared" si="0"/>
        <v/>
      </c>
      <c r="Y74" s="29" t="str">
        <f t="shared" si="4"/>
        <v/>
      </c>
      <c r="Z74" s="29" t="str">
        <f t="shared" si="1"/>
        <v/>
      </c>
      <c r="AB74" s="29" t="str">
        <f t="shared" si="5"/>
        <v/>
      </c>
      <c r="AC74" s="29" t="str">
        <f t="shared" si="6"/>
        <v/>
      </c>
      <c r="AD74" s="29" t="str">
        <f t="shared" si="7"/>
        <v/>
      </c>
    </row>
    <row r="75" spans="2:30" hidden="1">
      <c r="B75" s="36" t="s">
        <v>304</v>
      </c>
      <c r="C75" s="89">
        <f>+IFERROR(INDEX('DESEMPATE Y DISCAPACIDAD'!$B$3:$B$450,MATCH(B75,'DESEMPATE Y DISCAPACIDAD'!$A$3:$A$450,0)),"")</f>
        <v>0</v>
      </c>
      <c r="D75" s="25">
        <f>IF(C75&lt;&gt;"",VLOOKUP("A"&amp;B75,'EXPERIENCIA '!$A$1:$AT$672,41,FALSE),"")</f>
        <v>0</v>
      </c>
      <c r="E75" s="25" t="str">
        <f>IF(C75&lt;&gt;"",VLOOKUP(B75,CONSOLIDADO!$A$6:$I$1896,9,FALSE),"")</f>
        <v/>
      </c>
      <c r="F75" s="33" t="str">
        <f>IF(C75&lt;&gt;"",IF(AND(D75="SI",E75="HÁBIL"),VLOOKUP("A"&amp;B75,'EXPERIENCIA '!$A$1:$AT$672,43,FALSE),"DESCARTADO"),"")</f>
        <v>DESCARTADO</v>
      </c>
      <c r="G75" s="33" t="str">
        <f>IF(C75&lt;&gt;"",IF(AND(D75="SI",E75="HÁBIL"),VLOOKUP("A"&amp;B75,'EXPERIENCIA '!$A$1:$AT$672,44,FALSE),"DESCARTADO"),"")</f>
        <v>DESCARTADO</v>
      </c>
      <c r="H75" s="33" t="str">
        <f>IF(C75&lt;&gt;"",IF(AND(D75="SI",E75="HÁBIL"),VLOOKUP("A"&amp;B75,'EXPERIENCIA '!$A$1:$AT$672,45,FALSE),"DESCARTADO"),"")</f>
        <v>DESCARTADO</v>
      </c>
      <c r="I75" s="46" t="str">
        <f t="shared" si="2"/>
        <v/>
      </c>
      <c r="J75" s="45">
        <f t="shared" si="3"/>
        <v>0</v>
      </c>
      <c r="X75" s="29" t="str">
        <f t="shared" si="0"/>
        <v/>
      </c>
      <c r="Y75" s="29" t="str">
        <f t="shared" si="4"/>
        <v/>
      </c>
      <c r="Z75" s="29" t="str">
        <f t="shared" si="1"/>
        <v/>
      </c>
      <c r="AB75" s="29" t="str">
        <f t="shared" si="5"/>
        <v/>
      </c>
      <c r="AC75" s="29" t="str">
        <f t="shared" si="6"/>
        <v/>
      </c>
      <c r="AD75" s="29" t="str">
        <f t="shared" si="7"/>
        <v/>
      </c>
    </row>
    <row r="76" spans="2:30" hidden="1">
      <c r="B76" s="36" t="s">
        <v>305</v>
      </c>
      <c r="C76" s="89">
        <f>+IFERROR(INDEX('DESEMPATE Y DISCAPACIDAD'!$B$3:$B$450,MATCH(B76,'DESEMPATE Y DISCAPACIDAD'!$A$3:$A$450,0)),"")</f>
        <v>0</v>
      </c>
      <c r="D76" s="25">
        <f>IF(C76&lt;&gt;"",VLOOKUP("A"&amp;B76,'EXPERIENCIA '!$A$1:$AT$672,41,FALSE),"")</f>
        <v>0</v>
      </c>
      <c r="E76" s="25" t="str">
        <f>IF(C76&lt;&gt;"",VLOOKUP(B76,CONSOLIDADO!$A$6:$I$1896,9,FALSE),"")</f>
        <v/>
      </c>
      <c r="F76" s="33" t="str">
        <f>IF(C76&lt;&gt;"",IF(AND(D76="SI",E76="HÁBIL"),VLOOKUP("A"&amp;B76,'EXPERIENCIA '!$A$1:$AT$672,43,FALSE),"DESCARTADO"),"")</f>
        <v>DESCARTADO</v>
      </c>
      <c r="G76" s="33" t="str">
        <f>IF(C76&lt;&gt;"",IF(AND(D76="SI",E76="HÁBIL"),VLOOKUP("A"&amp;B76,'EXPERIENCIA '!$A$1:$AT$672,44,FALSE),"DESCARTADO"),"")</f>
        <v>DESCARTADO</v>
      </c>
      <c r="H76" s="33" t="str">
        <f>IF(C76&lt;&gt;"",IF(AND(D76="SI",E76="HÁBIL"),VLOOKUP("A"&amp;B76,'EXPERIENCIA '!$A$1:$AT$672,45,FALSE),"DESCARTADO"),"")</f>
        <v>DESCARTADO</v>
      </c>
      <c r="I76" s="46" t="str">
        <f t="shared" si="2"/>
        <v/>
      </c>
      <c r="J76" s="45">
        <f t="shared" si="3"/>
        <v>0</v>
      </c>
      <c r="X76" s="29" t="str">
        <f t="shared" si="0"/>
        <v/>
      </c>
      <c r="Y76" s="29" t="str">
        <f t="shared" si="4"/>
        <v/>
      </c>
      <c r="Z76" s="29" t="str">
        <f t="shared" si="1"/>
        <v/>
      </c>
      <c r="AB76" s="29" t="str">
        <f t="shared" si="5"/>
        <v/>
      </c>
      <c r="AC76" s="29" t="str">
        <f t="shared" si="6"/>
        <v/>
      </c>
      <c r="AD76" s="29" t="str">
        <f t="shared" si="7"/>
        <v/>
      </c>
    </row>
    <row r="77" spans="2:30" hidden="1">
      <c r="B77" s="36" t="s">
        <v>306</v>
      </c>
      <c r="C77" s="89">
        <f>+IFERROR(INDEX('DESEMPATE Y DISCAPACIDAD'!$B$3:$B$450,MATCH(B77,'DESEMPATE Y DISCAPACIDAD'!$A$3:$A$450,0)),"")</f>
        <v>0</v>
      </c>
      <c r="D77" s="25">
        <f>IF(C77&lt;&gt;"",VLOOKUP("A"&amp;B77,'EXPERIENCIA '!$A$1:$AT$672,41,FALSE),"")</f>
        <v>0</v>
      </c>
      <c r="E77" s="25" t="str">
        <f>IF(C77&lt;&gt;"",VLOOKUP(B77,CONSOLIDADO!$A$6:$I$1896,9,FALSE),"")</f>
        <v/>
      </c>
      <c r="F77" s="33" t="str">
        <f>IF(C77&lt;&gt;"",IF(AND(D77="SI",E77="HÁBIL"),VLOOKUP("A"&amp;B77,'EXPERIENCIA '!$A$1:$AT$672,43,FALSE),"DESCARTADO"),"")</f>
        <v>DESCARTADO</v>
      </c>
      <c r="G77" s="33" t="str">
        <f>IF(C77&lt;&gt;"",IF(AND(D77="SI",E77="HÁBIL"),VLOOKUP("A"&amp;B77,'EXPERIENCIA '!$A$1:$AT$672,44,FALSE),"DESCARTADO"),"")</f>
        <v>DESCARTADO</v>
      </c>
      <c r="H77" s="33" t="str">
        <f>IF(C77&lt;&gt;"",IF(AND(D77="SI",E77="HÁBIL"),VLOOKUP("A"&amp;B77,'EXPERIENCIA '!$A$1:$AT$672,45,FALSE),"DESCARTADO"),"")</f>
        <v>DESCARTADO</v>
      </c>
      <c r="I77" s="46" t="str">
        <f t="shared" si="2"/>
        <v/>
      </c>
      <c r="J77" s="45">
        <f t="shared" si="3"/>
        <v>0</v>
      </c>
      <c r="X77" s="29" t="str">
        <f t="shared" si="0"/>
        <v/>
      </c>
      <c r="Y77" s="29" t="str">
        <f t="shared" si="4"/>
        <v/>
      </c>
      <c r="Z77" s="29" t="str">
        <f t="shared" si="1"/>
        <v/>
      </c>
      <c r="AB77" s="29" t="str">
        <f t="shared" si="5"/>
        <v/>
      </c>
      <c r="AC77" s="29" t="str">
        <f t="shared" si="6"/>
        <v/>
      </c>
      <c r="AD77" s="29" t="str">
        <f t="shared" si="7"/>
        <v/>
      </c>
    </row>
    <row r="78" spans="2:30" hidden="1">
      <c r="B78" s="36" t="s">
        <v>307</v>
      </c>
      <c r="C78" s="89">
        <f>+IFERROR(INDEX('DESEMPATE Y DISCAPACIDAD'!$B$3:$B$450,MATCH(B78,'DESEMPATE Y DISCAPACIDAD'!$A$3:$A$450,0)),"")</f>
        <v>0</v>
      </c>
      <c r="D78" s="25">
        <f>IF(C78&lt;&gt;"",VLOOKUP("A"&amp;B78,'EXPERIENCIA '!$A$1:$AT$672,41,FALSE),"")</f>
        <v>0</v>
      </c>
      <c r="E78" s="25" t="str">
        <f>IF(C78&lt;&gt;"",VLOOKUP(B78,CONSOLIDADO!$A$6:$I$1896,9,FALSE),"")</f>
        <v/>
      </c>
      <c r="F78" s="33" t="str">
        <f>IF(C78&lt;&gt;"",IF(AND(D78="SI",E78="HÁBIL"),VLOOKUP("A"&amp;B78,'EXPERIENCIA '!$A$1:$AT$672,43,FALSE),"DESCARTADO"),"")</f>
        <v>DESCARTADO</v>
      </c>
      <c r="G78" s="33" t="str">
        <f>IF(C78&lt;&gt;"",IF(AND(D78="SI",E78="HÁBIL"),VLOOKUP("A"&amp;B78,'EXPERIENCIA '!$A$1:$AT$672,44,FALSE),"DESCARTADO"),"")</f>
        <v>DESCARTADO</v>
      </c>
      <c r="H78" s="33" t="str">
        <f>IF(C78&lt;&gt;"",IF(AND(D78="SI",E78="HÁBIL"),VLOOKUP("A"&amp;B78,'EXPERIENCIA '!$A$1:$AT$672,45,FALSE),"DESCARTADO"),"")</f>
        <v>DESCARTADO</v>
      </c>
      <c r="I78" s="46" t="str">
        <f t="shared" si="2"/>
        <v/>
      </c>
      <c r="J78" s="45">
        <f t="shared" si="3"/>
        <v>0</v>
      </c>
      <c r="X78" s="29" t="str">
        <f t="shared" si="0"/>
        <v/>
      </c>
      <c r="Y78" s="29" t="str">
        <f t="shared" si="4"/>
        <v/>
      </c>
      <c r="Z78" s="29" t="str">
        <f t="shared" si="1"/>
        <v/>
      </c>
      <c r="AB78" s="29" t="str">
        <f t="shared" si="5"/>
        <v/>
      </c>
      <c r="AC78" s="29" t="str">
        <f t="shared" si="6"/>
        <v/>
      </c>
      <c r="AD78" s="29" t="str">
        <f t="shared" si="7"/>
        <v/>
      </c>
    </row>
    <row r="79" spans="2:30" hidden="1">
      <c r="B79" s="36" t="s">
        <v>308</v>
      </c>
      <c r="C79" s="89">
        <f>+IFERROR(INDEX('DESEMPATE Y DISCAPACIDAD'!$B$3:$B$450,MATCH(B79,'DESEMPATE Y DISCAPACIDAD'!$A$3:$A$450,0)),"")</f>
        <v>0</v>
      </c>
      <c r="D79" s="25">
        <f>IF(C79&lt;&gt;"",VLOOKUP("A"&amp;B79,'EXPERIENCIA '!$A$1:$AT$672,41,FALSE),"")</f>
        <v>0</v>
      </c>
      <c r="E79" s="25" t="str">
        <f>IF(C79&lt;&gt;"",VLOOKUP(B79,CONSOLIDADO!$A$6:$I$1896,9,FALSE),"")</f>
        <v/>
      </c>
      <c r="F79" s="33" t="str">
        <f>IF(C79&lt;&gt;"",IF(AND(D79="SI",E79="HÁBIL"),VLOOKUP("A"&amp;B79,'EXPERIENCIA '!$A$1:$AT$672,43,FALSE),"DESCARTADO"),"")</f>
        <v>DESCARTADO</v>
      </c>
      <c r="G79" s="33" t="str">
        <f>IF(C79&lt;&gt;"",IF(AND(D79="SI",E79="HÁBIL"),VLOOKUP("A"&amp;B79,'EXPERIENCIA '!$A$1:$AT$672,44,FALSE),"DESCARTADO"),"")</f>
        <v>DESCARTADO</v>
      </c>
      <c r="H79" s="33" t="str">
        <f>IF(C79&lt;&gt;"",IF(AND(D79="SI",E79="HÁBIL"),VLOOKUP("A"&amp;B79,'EXPERIENCIA '!$A$1:$AT$672,45,FALSE),"DESCARTADO"),"")</f>
        <v>DESCARTADO</v>
      </c>
      <c r="I79" s="46" t="str">
        <f t="shared" si="2"/>
        <v/>
      </c>
      <c r="J79" s="45">
        <f t="shared" si="3"/>
        <v>0</v>
      </c>
      <c r="X79" s="29" t="str">
        <f t="shared" si="0"/>
        <v/>
      </c>
      <c r="Y79" s="29" t="str">
        <f t="shared" si="4"/>
        <v/>
      </c>
      <c r="Z79" s="29" t="str">
        <f t="shared" si="1"/>
        <v/>
      </c>
      <c r="AB79" s="29" t="str">
        <f t="shared" si="5"/>
        <v/>
      </c>
      <c r="AC79" s="29" t="str">
        <f t="shared" si="6"/>
        <v/>
      </c>
      <c r="AD79" s="29" t="str">
        <f t="shared" si="7"/>
        <v/>
      </c>
    </row>
    <row r="80" spans="2:30" hidden="1">
      <c r="B80" s="36" t="s">
        <v>309</v>
      </c>
      <c r="C80" s="89">
        <f>+IFERROR(INDEX('DESEMPATE Y DISCAPACIDAD'!$B$3:$B$450,MATCH(B80,'DESEMPATE Y DISCAPACIDAD'!$A$3:$A$450,0)),"")</f>
        <v>0</v>
      </c>
      <c r="D80" s="25">
        <f>IF(C80&lt;&gt;"",VLOOKUP("A"&amp;B80,'EXPERIENCIA '!$A$1:$AT$672,41,FALSE),"")</f>
        <v>0</v>
      </c>
      <c r="E80" s="25" t="str">
        <f>IF(C80&lt;&gt;"",VLOOKUP(B80,CONSOLIDADO!$A$6:$I$1896,9,FALSE),"")</f>
        <v/>
      </c>
      <c r="F80" s="33" t="str">
        <f>IF(C80&lt;&gt;"",IF(AND(D80="SI",E80="HÁBIL"),VLOOKUP("A"&amp;B80,'EXPERIENCIA '!$A$1:$AT$672,43,FALSE),"DESCARTADO"),"")</f>
        <v>DESCARTADO</v>
      </c>
      <c r="G80" s="33" t="str">
        <f>IF(C80&lt;&gt;"",IF(AND(D80="SI",E80="HÁBIL"),VLOOKUP("A"&amp;B80,'EXPERIENCIA '!$A$1:$AT$672,44,FALSE),"DESCARTADO"),"")</f>
        <v>DESCARTADO</v>
      </c>
      <c r="H80" s="33" t="str">
        <f>IF(C80&lt;&gt;"",IF(AND(D80="SI",E80="HÁBIL"),VLOOKUP("A"&amp;B80,'EXPERIENCIA '!$A$1:$AT$672,45,FALSE),"DESCARTADO"),"")</f>
        <v>DESCARTADO</v>
      </c>
      <c r="I80" s="46" t="str">
        <f t="shared" si="2"/>
        <v/>
      </c>
      <c r="J80" s="45">
        <f t="shared" si="3"/>
        <v>0</v>
      </c>
      <c r="X80" s="29" t="str">
        <f t="shared" si="0"/>
        <v/>
      </c>
      <c r="Y80" s="29" t="str">
        <f t="shared" si="4"/>
        <v/>
      </c>
      <c r="Z80" s="29" t="str">
        <f t="shared" si="1"/>
        <v/>
      </c>
      <c r="AB80" s="29" t="str">
        <f t="shared" si="5"/>
        <v/>
      </c>
      <c r="AC80" s="29" t="str">
        <f t="shared" si="6"/>
        <v/>
      </c>
      <c r="AD80" s="29" t="str">
        <f t="shared" si="7"/>
        <v/>
      </c>
    </row>
    <row r="81" spans="2:30" hidden="1">
      <c r="B81" s="36" t="s">
        <v>310</v>
      </c>
      <c r="C81" s="89">
        <f>+IFERROR(INDEX('DESEMPATE Y DISCAPACIDAD'!$B$3:$B$450,MATCH(B81,'DESEMPATE Y DISCAPACIDAD'!$A$3:$A$450,0)),"")</f>
        <v>0</v>
      </c>
      <c r="D81" s="25">
        <f>IF(C81&lt;&gt;"",VLOOKUP("A"&amp;B81,'EXPERIENCIA '!$A$1:$AT$672,41,FALSE),"")</f>
        <v>0</v>
      </c>
      <c r="E81" s="25" t="str">
        <f>IF(C81&lt;&gt;"",VLOOKUP(B81,CONSOLIDADO!$A$6:$I$1896,9,FALSE),"")</f>
        <v/>
      </c>
      <c r="F81" s="33" t="str">
        <f>IF(C81&lt;&gt;"",IF(AND(D81="SI",E81="HÁBIL"),VLOOKUP("A"&amp;B81,'EXPERIENCIA '!$A$1:$AT$672,43,FALSE),"DESCARTADO"),"")</f>
        <v>DESCARTADO</v>
      </c>
      <c r="G81" s="33" t="str">
        <f>IF(C81&lt;&gt;"",IF(AND(D81="SI",E81="HÁBIL"),VLOOKUP("A"&amp;B81,'EXPERIENCIA '!$A$1:$AT$672,44,FALSE),"DESCARTADO"),"")</f>
        <v>DESCARTADO</v>
      </c>
      <c r="H81" s="33" t="str">
        <f>IF(C81&lt;&gt;"",IF(AND(D81="SI",E81="HÁBIL"),VLOOKUP("A"&amp;B81,'EXPERIENCIA '!$A$1:$AT$672,45,FALSE),"DESCARTADO"),"")</f>
        <v>DESCARTADO</v>
      </c>
      <c r="I81" s="46" t="str">
        <f t="shared" si="2"/>
        <v/>
      </c>
      <c r="J81" s="45">
        <f t="shared" si="3"/>
        <v>0</v>
      </c>
      <c r="X81" s="29" t="str">
        <f t="shared" si="0"/>
        <v/>
      </c>
      <c r="Y81" s="29" t="str">
        <f t="shared" si="4"/>
        <v/>
      </c>
      <c r="Z81" s="29" t="str">
        <f t="shared" si="1"/>
        <v/>
      </c>
      <c r="AB81" s="29" t="str">
        <f t="shared" si="5"/>
        <v/>
      </c>
      <c r="AC81" s="29" t="str">
        <f t="shared" si="6"/>
        <v/>
      </c>
      <c r="AD81" s="29" t="str">
        <f t="shared" si="7"/>
        <v/>
      </c>
    </row>
    <row r="82" spans="2:30" hidden="1">
      <c r="B82" s="36" t="s">
        <v>311</v>
      </c>
      <c r="C82" s="89">
        <f>+IFERROR(INDEX('DESEMPATE Y DISCAPACIDAD'!$B$3:$B$450,MATCH(B82,'DESEMPATE Y DISCAPACIDAD'!$A$3:$A$450,0)),"")</f>
        <v>0</v>
      </c>
      <c r="D82" s="25">
        <f>IF(C82&lt;&gt;"",VLOOKUP("A"&amp;B82,'EXPERIENCIA '!$A$1:$AT$672,41,FALSE),"")</f>
        <v>0</v>
      </c>
      <c r="E82" s="25" t="str">
        <f>IF(C82&lt;&gt;"",VLOOKUP(B82,CONSOLIDADO!$A$6:$I$1896,9,FALSE),"")</f>
        <v/>
      </c>
      <c r="F82" s="33" t="str">
        <f>IF(C82&lt;&gt;"",IF(AND(D82="SI",E82="HÁBIL"),VLOOKUP("A"&amp;B82,'EXPERIENCIA '!$A$1:$AT$672,43,FALSE),"DESCARTADO"),"")</f>
        <v>DESCARTADO</v>
      </c>
      <c r="G82" s="33" t="str">
        <f>IF(C82&lt;&gt;"",IF(AND(D82="SI",E82="HÁBIL"),VLOOKUP("A"&amp;B82,'EXPERIENCIA '!$A$1:$AT$672,44,FALSE),"DESCARTADO"),"")</f>
        <v>DESCARTADO</v>
      </c>
      <c r="H82" s="33" t="str">
        <f>IF(C82&lt;&gt;"",IF(AND(D82="SI",E82="HÁBIL"),VLOOKUP("A"&amp;B82,'EXPERIENCIA '!$A$1:$AT$672,45,FALSE),"DESCARTADO"),"")</f>
        <v>DESCARTADO</v>
      </c>
      <c r="I82" s="46" t="str">
        <f t="shared" si="2"/>
        <v/>
      </c>
      <c r="J82" s="45">
        <f t="shared" si="3"/>
        <v>0</v>
      </c>
      <c r="X82" s="29" t="str">
        <f t="shared" si="0"/>
        <v/>
      </c>
      <c r="Y82" s="29" t="str">
        <f t="shared" si="4"/>
        <v/>
      </c>
      <c r="Z82" s="29" t="str">
        <f t="shared" si="1"/>
        <v/>
      </c>
      <c r="AB82" s="29" t="str">
        <f t="shared" si="5"/>
        <v/>
      </c>
      <c r="AC82" s="29" t="str">
        <f t="shared" si="6"/>
        <v/>
      </c>
      <c r="AD82" s="29" t="str">
        <f t="shared" si="7"/>
        <v/>
      </c>
    </row>
    <row r="83" spans="2:30" hidden="1">
      <c r="B83" s="36" t="s">
        <v>312</v>
      </c>
      <c r="C83" s="89">
        <f>+IFERROR(INDEX('DESEMPATE Y DISCAPACIDAD'!$B$3:$B$450,MATCH(B83,'DESEMPATE Y DISCAPACIDAD'!$A$3:$A$450,0)),"")</f>
        <v>0</v>
      </c>
      <c r="D83" s="25">
        <f>IF(C83&lt;&gt;"",VLOOKUP("A"&amp;B83,'EXPERIENCIA '!$A$1:$AT$672,41,FALSE),"")</f>
        <v>0</v>
      </c>
      <c r="E83" s="25" t="str">
        <f>IF(C83&lt;&gt;"",VLOOKUP(B83,CONSOLIDADO!$A$6:$I$1896,9,FALSE),"")</f>
        <v/>
      </c>
      <c r="F83" s="33" t="str">
        <f>IF(C83&lt;&gt;"",IF(AND(D83="SI",E83="HÁBIL"),VLOOKUP("A"&amp;B83,'EXPERIENCIA '!$A$1:$AT$672,43,FALSE),"DESCARTADO"),"")</f>
        <v>DESCARTADO</v>
      </c>
      <c r="G83" s="33" t="str">
        <f>IF(C83&lt;&gt;"",IF(AND(D83="SI",E83="HÁBIL"),VLOOKUP("A"&amp;B83,'EXPERIENCIA '!$A$1:$AT$672,44,FALSE),"DESCARTADO"),"")</f>
        <v>DESCARTADO</v>
      </c>
      <c r="H83" s="33" t="str">
        <f>IF(C83&lt;&gt;"",IF(AND(D83="SI",E83="HÁBIL"),VLOOKUP("A"&amp;B83,'EXPERIENCIA '!$A$1:$AT$672,45,FALSE),"DESCARTADO"),"")</f>
        <v>DESCARTADO</v>
      </c>
      <c r="I83" s="46" t="str">
        <f t="shared" si="2"/>
        <v/>
      </c>
      <c r="J83" s="45">
        <f t="shared" si="3"/>
        <v>0</v>
      </c>
      <c r="X83" s="29" t="str">
        <f t="shared" si="0"/>
        <v/>
      </c>
      <c r="Y83" s="29" t="str">
        <f t="shared" si="4"/>
        <v/>
      </c>
      <c r="Z83" s="29" t="str">
        <f t="shared" si="1"/>
        <v/>
      </c>
      <c r="AB83" s="29" t="str">
        <f t="shared" si="5"/>
        <v/>
      </c>
      <c r="AC83" s="29" t="str">
        <f t="shared" si="6"/>
        <v/>
      </c>
      <c r="AD83" s="29" t="str">
        <f t="shared" si="7"/>
        <v/>
      </c>
    </row>
    <row r="84" spans="2:30" hidden="1">
      <c r="B84" s="36" t="s">
        <v>313</v>
      </c>
      <c r="C84" s="89">
        <f>+IFERROR(INDEX('DESEMPATE Y DISCAPACIDAD'!$B$3:$B$450,MATCH(B84,'DESEMPATE Y DISCAPACIDAD'!$A$3:$A$450,0)),"")</f>
        <v>0</v>
      </c>
      <c r="D84" s="25">
        <f>IF(C84&lt;&gt;"",VLOOKUP("A"&amp;B84,'EXPERIENCIA '!$A$1:$AT$672,41,FALSE),"")</f>
        <v>0</v>
      </c>
      <c r="E84" s="25" t="str">
        <f>IF(C84&lt;&gt;"",VLOOKUP(B84,CONSOLIDADO!$A$6:$I$1896,9,FALSE),"")</f>
        <v/>
      </c>
      <c r="F84" s="33" t="str">
        <f>IF(C84&lt;&gt;"",IF(AND(D84="SI",E84="HÁBIL"),VLOOKUP("A"&amp;B84,'EXPERIENCIA '!$A$1:$AT$672,43,FALSE),"DESCARTADO"),"")</f>
        <v>DESCARTADO</v>
      </c>
      <c r="G84" s="33" t="str">
        <f>IF(C84&lt;&gt;"",IF(AND(D84="SI",E84="HÁBIL"),VLOOKUP("A"&amp;B84,'EXPERIENCIA '!$A$1:$AT$672,44,FALSE),"DESCARTADO"),"")</f>
        <v>DESCARTADO</v>
      </c>
      <c r="H84" s="33" t="str">
        <f>IF(C84&lt;&gt;"",IF(AND(D84="SI",E84="HÁBIL"),VLOOKUP("A"&amp;B84,'EXPERIENCIA '!$A$1:$AT$672,45,FALSE),"DESCARTADO"),"")</f>
        <v>DESCARTADO</v>
      </c>
      <c r="I84" s="46" t="str">
        <f t="shared" si="2"/>
        <v/>
      </c>
      <c r="J84" s="45">
        <f t="shared" si="3"/>
        <v>0</v>
      </c>
      <c r="X84" s="29" t="str">
        <f t="shared" si="0"/>
        <v/>
      </c>
      <c r="Y84" s="29" t="str">
        <f t="shared" si="4"/>
        <v/>
      </c>
      <c r="Z84" s="29" t="str">
        <f t="shared" si="1"/>
        <v/>
      </c>
      <c r="AB84" s="29" t="str">
        <f t="shared" si="5"/>
        <v/>
      </c>
      <c r="AC84" s="29" t="str">
        <f t="shared" si="6"/>
        <v/>
      </c>
      <c r="AD84" s="29" t="str">
        <f t="shared" si="7"/>
        <v/>
      </c>
    </row>
    <row r="85" spans="2:30" hidden="1">
      <c r="B85" s="36" t="s">
        <v>314</v>
      </c>
      <c r="C85" s="89">
        <f>+IFERROR(INDEX('DESEMPATE Y DISCAPACIDAD'!$B$3:$B$450,MATCH(B85,'DESEMPATE Y DISCAPACIDAD'!$A$3:$A$450,0)),"")</f>
        <v>0</v>
      </c>
      <c r="D85" s="25">
        <f>IF(C85&lt;&gt;"",VLOOKUP("A"&amp;B85,'EXPERIENCIA '!$A$1:$AT$672,41,FALSE),"")</f>
        <v>0</v>
      </c>
      <c r="E85" s="25" t="str">
        <f>IF(C85&lt;&gt;"",VLOOKUP(B85,CONSOLIDADO!$A$6:$I$1896,9,FALSE),"")</f>
        <v/>
      </c>
      <c r="F85" s="33" t="str">
        <f>IF(C85&lt;&gt;"",IF(AND(D85="SI",E85="HÁBIL"),VLOOKUP("A"&amp;B85,'EXPERIENCIA '!$A$1:$AT$672,43,FALSE),"DESCARTADO"),"")</f>
        <v>DESCARTADO</v>
      </c>
      <c r="G85" s="33" t="str">
        <f>IF(C85&lt;&gt;"",IF(AND(D85="SI",E85="HÁBIL"),VLOOKUP("A"&amp;B85,'EXPERIENCIA '!$A$1:$AT$672,44,FALSE),"DESCARTADO"),"")</f>
        <v>DESCARTADO</v>
      </c>
      <c r="H85" s="33" t="str">
        <f>IF(C85&lt;&gt;"",IF(AND(D85="SI",E85="HÁBIL"),VLOOKUP("A"&amp;B85,'EXPERIENCIA '!$A$1:$AT$672,45,FALSE),"DESCARTADO"),"")</f>
        <v>DESCARTADO</v>
      </c>
      <c r="I85" s="46" t="str">
        <f t="shared" si="2"/>
        <v/>
      </c>
      <c r="J85" s="45">
        <f t="shared" si="3"/>
        <v>0</v>
      </c>
      <c r="X85" s="29" t="str">
        <f t="shared" si="0"/>
        <v/>
      </c>
      <c r="Y85" s="29" t="str">
        <f t="shared" si="4"/>
        <v/>
      </c>
      <c r="Z85" s="29" t="str">
        <f t="shared" si="1"/>
        <v/>
      </c>
      <c r="AB85" s="29" t="str">
        <f t="shared" si="5"/>
        <v/>
      </c>
      <c r="AC85" s="29" t="str">
        <f t="shared" si="6"/>
        <v/>
      </c>
      <c r="AD85" s="29" t="str">
        <f t="shared" si="7"/>
        <v/>
      </c>
    </row>
    <row r="86" spans="2:30" hidden="1">
      <c r="B86" s="36" t="s">
        <v>315</v>
      </c>
      <c r="C86" s="89">
        <f>+IFERROR(INDEX('DESEMPATE Y DISCAPACIDAD'!$B$3:$B$450,MATCH(B86,'DESEMPATE Y DISCAPACIDAD'!$A$3:$A$450,0)),"")</f>
        <v>0</v>
      </c>
      <c r="D86" s="25">
        <f>IF(C86&lt;&gt;"",VLOOKUP("A"&amp;B86,'EXPERIENCIA '!$A$1:$AT$672,41,FALSE),"")</f>
        <v>0</v>
      </c>
      <c r="E86" s="25" t="str">
        <f>IF(C86&lt;&gt;"",VLOOKUP(B86,CONSOLIDADO!$A$6:$I$1896,9,FALSE),"")</f>
        <v/>
      </c>
      <c r="F86" s="33" t="str">
        <f>IF(C86&lt;&gt;"",IF(AND(D86="SI",E86="HÁBIL"),VLOOKUP("A"&amp;B86,'EXPERIENCIA '!$A$1:$AT$672,43,FALSE),"DESCARTADO"),"")</f>
        <v>DESCARTADO</v>
      </c>
      <c r="G86" s="33" t="str">
        <f>IF(C86&lt;&gt;"",IF(AND(D86="SI",E86="HÁBIL"),VLOOKUP("A"&amp;B86,'EXPERIENCIA '!$A$1:$AT$672,44,FALSE),"DESCARTADO"),"")</f>
        <v>DESCARTADO</v>
      </c>
      <c r="H86" s="33" t="str">
        <f>IF(C86&lt;&gt;"",IF(AND(D86="SI",E86="HÁBIL"),VLOOKUP("A"&amp;B86,'EXPERIENCIA '!$A$1:$AT$672,45,FALSE),"DESCARTADO"),"")</f>
        <v>DESCARTADO</v>
      </c>
      <c r="I86" s="46" t="str">
        <f t="shared" si="2"/>
        <v/>
      </c>
      <c r="J86" s="45">
        <f t="shared" si="3"/>
        <v>0</v>
      </c>
      <c r="X86" s="29" t="str">
        <f t="shared" si="0"/>
        <v/>
      </c>
      <c r="Y86" s="29" t="str">
        <f t="shared" si="4"/>
        <v/>
      </c>
      <c r="Z86" s="29" t="str">
        <f t="shared" si="1"/>
        <v/>
      </c>
      <c r="AB86" s="29" t="str">
        <f t="shared" si="5"/>
        <v/>
      </c>
      <c r="AC86" s="29" t="str">
        <f t="shared" si="6"/>
        <v/>
      </c>
      <c r="AD86" s="29" t="str">
        <f t="shared" si="7"/>
        <v/>
      </c>
    </row>
    <row r="87" spans="2:30" hidden="1">
      <c r="B87" s="36" t="s">
        <v>316</v>
      </c>
      <c r="C87" s="89">
        <f>+IFERROR(INDEX('DESEMPATE Y DISCAPACIDAD'!$B$3:$B$450,MATCH(B87,'DESEMPATE Y DISCAPACIDAD'!$A$3:$A$450,0)),"")</f>
        <v>0</v>
      </c>
      <c r="D87" s="25">
        <f>IF(C87&lt;&gt;"",VLOOKUP("A"&amp;B87,'EXPERIENCIA '!$A$1:$AT$672,41,FALSE),"")</f>
        <v>0</v>
      </c>
      <c r="E87" s="25" t="str">
        <f>IF(C87&lt;&gt;"",VLOOKUP(B87,CONSOLIDADO!$A$6:$I$1896,9,FALSE),"")</f>
        <v/>
      </c>
      <c r="F87" s="33" t="str">
        <f>IF(C87&lt;&gt;"",IF(AND(D87="SI",E87="HÁBIL"),VLOOKUP("A"&amp;B87,'EXPERIENCIA '!$A$1:$AT$672,43,FALSE),"DESCARTADO"),"")</f>
        <v>DESCARTADO</v>
      </c>
      <c r="G87" s="33" t="str">
        <f>IF(C87&lt;&gt;"",IF(AND(D87="SI",E87="HÁBIL"),VLOOKUP("A"&amp;B87,'EXPERIENCIA '!$A$1:$AT$672,44,FALSE),"DESCARTADO"),"")</f>
        <v>DESCARTADO</v>
      </c>
      <c r="H87" s="33" t="str">
        <f>IF(C87&lt;&gt;"",IF(AND(D87="SI",E87="HÁBIL"),VLOOKUP("A"&amp;B87,'EXPERIENCIA '!$A$1:$AT$672,45,FALSE),"DESCARTADO"),"")</f>
        <v>DESCARTADO</v>
      </c>
      <c r="I87" s="46" t="str">
        <f t="shared" si="2"/>
        <v/>
      </c>
      <c r="J87" s="45">
        <f t="shared" si="3"/>
        <v>0</v>
      </c>
      <c r="X87" s="29" t="str">
        <f t="shared" si="0"/>
        <v/>
      </c>
      <c r="Y87" s="29" t="str">
        <f t="shared" si="4"/>
        <v/>
      </c>
      <c r="Z87" s="29" t="str">
        <f t="shared" si="1"/>
        <v/>
      </c>
      <c r="AB87" s="29" t="str">
        <f t="shared" si="5"/>
        <v/>
      </c>
      <c r="AC87" s="29" t="str">
        <f t="shared" si="6"/>
        <v/>
      </c>
      <c r="AD87" s="29" t="str">
        <f t="shared" si="7"/>
        <v/>
      </c>
    </row>
    <row r="88" spans="2:30" hidden="1">
      <c r="B88" s="36" t="s">
        <v>317</v>
      </c>
      <c r="C88" s="89">
        <f>+IFERROR(INDEX('DESEMPATE Y DISCAPACIDAD'!$B$3:$B$450,MATCH(B88,'DESEMPATE Y DISCAPACIDAD'!$A$3:$A$450,0)),"")</f>
        <v>0</v>
      </c>
      <c r="D88" s="25">
        <f>IF(C88&lt;&gt;"",VLOOKUP("A"&amp;B88,'EXPERIENCIA '!$A$1:$AT$672,41,FALSE),"")</f>
        <v>0</v>
      </c>
      <c r="E88" s="25" t="str">
        <f>IF(C88&lt;&gt;"",VLOOKUP(B88,CONSOLIDADO!$A$6:$I$1896,9,FALSE),"")</f>
        <v/>
      </c>
      <c r="F88" s="33" t="str">
        <f>IF(C88&lt;&gt;"",IF(AND(D88="SI",E88="HÁBIL"),VLOOKUP("A"&amp;B88,'EXPERIENCIA '!$A$1:$AT$672,43,FALSE),"DESCARTADO"),"")</f>
        <v>DESCARTADO</v>
      </c>
      <c r="G88" s="33" t="str">
        <f>IF(C88&lt;&gt;"",IF(AND(D88="SI",E88="HÁBIL"),VLOOKUP("A"&amp;B88,'EXPERIENCIA '!$A$1:$AT$672,44,FALSE),"DESCARTADO"),"")</f>
        <v>DESCARTADO</v>
      </c>
      <c r="H88" s="33" t="str">
        <f>IF(C88&lt;&gt;"",IF(AND(D88="SI",E88="HÁBIL"),VLOOKUP("A"&amp;B88,'EXPERIENCIA '!$A$1:$AT$672,45,FALSE),"DESCARTADO"),"")</f>
        <v>DESCARTADO</v>
      </c>
      <c r="I88" s="46" t="str">
        <f t="shared" si="2"/>
        <v/>
      </c>
      <c r="J88" s="45">
        <f t="shared" si="3"/>
        <v>0</v>
      </c>
      <c r="X88" s="29" t="str">
        <f t="shared" si="0"/>
        <v/>
      </c>
      <c r="Y88" s="29" t="str">
        <f t="shared" si="4"/>
        <v/>
      </c>
      <c r="Z88" s="29" t="str">
        <f t="shared" si="1"/>
        <v/>
      </c>
      <c r="AB88" s="29" t="str">
        <f t="shared" si="5"/>
        <v/>
      </c>
      <c r="AC88" s="29" t="str">
        <f t="shared" si="6"/>
        <v/>
      </c>
      <c r="AD88" s="29" t="str">
        <f t="shared" si="7"/>
        <v/>
      </c>
    </row>
    <row r="89" spans="2:30" hidden="1">
      <c r="B89" s="36" t="s">
        <v>574</v>
      </c>
      <c r="C89" s="89">
        <f>+IFERROR(INDEX('DESEMPATE Y DISCAPACIDAD'!$B$3:$B$450,MATCH(B89,'DESEMPATE Y DISCAPACIDAD'!$A$3:$A$450,0)),"")</f>
        <v>0</v>
      </c>
      <c r="D89" s="25">
        <f>IF(C89&lt;&gt;"",VLOOKUP("A"&amp;B89,'EXPERIENCIA '!$A$1:$AT$672,41,FALSE),"")</f>
        <v>0</v>
      </c>
      <c r="E89" s="25" t="str">
        <f>IF(C89&lt;&gt;"",VLOOKUP(B89,CONSOLIDADO!$A$6:$I$1896,9,FALSE),"")</f>
        <v/>
      </c>
      <c r="F89" s="33" t="str">
        <f>IF(C89&lt;&gt;"",IF(AND(D89="SI",E89="HÁBIL"),VLOOKUP("A"&amp;B89,'EXPERIENCIA '!$A$1:$AT$672,43,FALSE),"DESCARTADO"),"")</f>
        <v>DESCARTADO</v>
      </c>
      <c r="G89" s="33" t="str">
        <f>IF(C89&lt;&gt;"",IF(AND(D89="SI",E89="HÁBIL"),VLOOKUP("A"&amp;B89,'EXPERIENCIA '!$A$1:$AT$672,44,FALSE),"DESCARTADO"),"")</f>
        <v>DESCARTADO</v>
      </c>
      <c r="H89" s="33" t="str">
        <f>IF(C89&lt;&gt;"",IF(AND(D89="SI",E89="HÁBIL"),VLOOKUP("A"&amp;B89,'EXPERIENCIA '!$A$1:$AT$672,45,FALSE),"DESCARTADO"),"")</f>
        <v>DESCARTADO</v>
      </c>
      <c r="I89" s="46" t="str">
        <f t="shared" si="2"/>
        <v/>
      </c>
      <c r="J89" s="45">
        <f t="shared" si="3"/>
        <v>0</v>
      </c>
      <c r="X89" s="29" t="str">
        <f t="shared" si="0"/>
        <v/>
      </c>
      <c r="Y89" s="29" t="str">
        <f t="shared" si="4"/>
        <v/>
      </c>
      <c r="Z89" s="29" t="str">
        <f t="shared" si="1"/>
        <v/>
      </c>
      <c r="AB89" s="29" t="str">
        <f t="shared" si="5"/>
        <v/>
      </c>
      <c r="AC89" s="29" t="str">
        <f t="shared" si="6"/>
        <v/>
      </c>
      <c r="AD89" s="29" t="str">
        <f t="shared" si="7"/>
        <v/>
      </c>
    </row>
    <row r="90" spans="2:30" hidden="1">
      <c r="B90" s="36" t="s">
        <v>575</v>
      </c>
      <c r="C90" s="89">
        <f>+IFERROR(INDEX('DESEMPATE Y DISCAPACIDAD'!$B$3:$B$450,MATCH(B90,'DESEMPATE Y DISCAPACIDAD'!$A$3:$A$450,0)),"")</f>
        <v>0</v>
      </c>
      <c r="D90" s="25">
        <f>IF(C90&lt;&gt;"",VLOOKUP("A"&amp;B90,'EXPERIENCIA '!$A$1:$AT$672,41,FALSE),"")</f>
        <v>0</v>
      </c>
      <c r="E90" s="25" t="str">
        <f>IF(C90&lt;&gt;"",VLOOKUP(B90,CONSOLIDADO!$A$6:$I$1896,9,FALSE),"")</f>
        <v/>
      </c>
      <c r="F90" s="33" t="str">
        <f>IF(C90&lt;&gt;"",IF(AND(D90="SI",E90="HÁBIL"),VLOOKUP("A"&amp;B90,'EXPERIENCIA '!$A$1:$AT$672,43,FALSE),"DESCARTADO"),"")</f>
        <v>DESCARTADO</v>
      </c>
      <c r="G90" s="33" t="str">
        <f>IF(C90&lt;&gt;"",IF(AND(D90="SI",E90="HÁBIL"),VLOOKUP("A"&amp;B90,'EXPERIENCIA '!$A$1:$AT$672,44,FALSE),"DESCARTADO"),"")</f>
        <v>DESCARTADO</v>
      </c>
      <c r="H90" s="33" t="str">
        <f>IF(C90&lt;&gt;"",IF(AND(D90="SI",E90="HÁBIL"),VLOOKUP("A"&amp;B90,'EXPERIENCIA '!$A$1:$AT$672,45,FALSE),"DESCARTADO"),"")</f>
        <v>DESCARTADO</v>
      </c>
      <c r="I90" s="46" t="str">
        <f t="shared" si="2"/>
        <v/>
      </c>
      <c r="J90" s="45">
        <f t="shared" si="3"/>
        <v>0</v>
      </c>
      <c r="X90" s="29" t="str">
        <f t="shared" si="0"/>
        <v/>
      </c>
      <c r="Y90" s="29" t="str">
        <f t="shared" si="4"/>
        <v/>
      </c>
      <c r="Z90" s="29" t="str">
        <f t="shared" si="1"/>
        <v/>
      </c>
      <c r="AB90" s="29" t="str">
        <f t="shared" si="5"/>
        <v/>
      </c>
      <c r="AC90" s="29" t="str">
        <f t="shared" si="6"/>
        <v/>
      </c>
      <c r="AD90" s="29" t="str">
        <f t="shared" si="7"/>
        <v/>
      </c>
    </row>
    <row r="91" spans="2:30" hidden="1">
      <c r="B91" s="36" t="s">
        <v>589</v>
      </c>
      <c r="C91" s="89">
        <f>+IFERROR(INDEX('DESEMPATE Y DISCAPACIDAD'!$B$3:$B$450,MATCH(B91,'DESEMPATE Y DISCAPACIDAD'!$A$3:$A$450,0)),"")</f>
        <v>0</v>
      </c>
      <c r="D91" s="25">
        <f>IF(C91&lt;&gt;"",VLOOKUP("A"&amp;B91,'EXPERIENCIA '!$A$1:$AT$672,41,FALSE),"")</f>
        <v>0</v>
      </c>
      <c r="E91" s="25" t="str">
        <f>IF(C91&lt;&gt;"",VLOOKUP(B91,CONSOLIDADO!$A$6:$I$1896,9,FALSE),"")</f>
        <v/>
      </c>
      <c r="F91" s="33" t="str">
        <f>IF(C91&lt;&gt;"",IF(AND(D91="SI",E91="HÁBIL"),VLOOKUP("A"&amp;B91,'EXPERIENCIA '!$A$1:$AT$672,43,FALSE),"DESCARTADO"),"")</f>
        <v>DESCARTADO</v>
      </c>
      <c r="G91" s="33" t="str">
        <f>IF(C91&lt;&gt;"",IF(AND(D91="SI",E91="HÁBIL"),VLOOKUP("A"&amp;B91,'EXPERIENCIA '!$A$1:$AT$672,44,FALSE),"DESCARTADO"),"")</f>
        <v>DESCARTADO</v>
      </c>
      <c r="H91" s="33" t="str">
        <f>IF(C91&lt;&gt;"",IF(AND(D91="SI",E91="HÁBIL"),VLOOKUP("A"&amp;B91,'EXPERIENCIA '!$A$1:$AT$672,45,FALSE),"DESCARTADO"),"")</f>
        <v>DESCARTADO</v>
      </c>
      <c r="I91" s="46" t="str">
        <f t="shared" si="2"/>
        <v/>
      </c>
      <c r="J91" s="45">
        <f t="shared" si="3"/>
        <v>0</v>
      </c>
      <c r="X91" s="29" t="str">
        <f t="shared" ref="X91:X98" si="8">IF(H91="DESCARTADO","",IF($J$18="Impar","",IF(H91&gt;$J$13,"",$J$13-H91)))</f>
        <v/>
      </c>
      <c r="Y91" s="29" t="str">
        <f t="shared" ref="Y91:Y98" si="9">IF(X91=MIN($X$33:$X$90),"MÍNIMO","")</f>
        <v/>
      </c>
      <c r="Z91" s="29" t="str">
        <f t="shared" ref="Z91:Z98" si="10">IF(Y91="","",IF(Y91="MÍNIMO",H91,""))</f>
        <v/>
      </c>
      <c r="AB91" s="29" t="str">
        <f t="shared" ref="AB91:AB98" si="11">IF(H91="DESCARTADO","",ABS(H91-$J$23))</f>
        <v/>
      </c>
      <c r="AC91" s="29" t="str">
        <f t="shared" si="6"/>
        <v/>
      </c>
      <c r="AD91" s="29" t="str">
        <f t="shared" ref="AD91:AD98" si="12">IF(AC91="","",IF(AC91="MÍNIMO",H91,""))</f>
        <v/>
      </c>
    </row>
    <row r="92" spans="2:30" hidden="1">
      <c r="B92" s="36" t="s">
        <v>590</v>
      </c>
      <c r="C92" s="89">
        <f>+IFERROR(INDEX('DESEMPATE Y DISCAPACIDAD'!$B$3:$B$450,MATCH(B92,'DESEMPATE Y DISCAPACIDAD'!$A$3:$A$450,0)),"")</f>
        <v>0</v>
      </c>
      <c r="D92" s="25">
        <f>IF(C92&lt;&gt;"",VLOOKUP("A"&amp;B92,'EXPERIENCIA '!$A$1:$AT$672,41,FALSE),"")</f>
        <v>0</v>
      </c>
      <c r="E92" s="25" t="str">
        <f>IF(C92&lt;&gt;"",VLOOKUP(B92,CONSOLIDADO!$A$6:$I$1896,9,FALSE),"")</f>
        <v/>
      </c>
      <c r="F92" s="33" t="str">
        <f>IF(C92&lt;&gt;"",IF(AND(D92="SI",E92="HÁBIL"),VLOOKUP("A"&amp;B92,'EXPERIENCIA '!$A$1:$AT$672,43,FALSE),"DESCARTADO"),"")</f>
        <v>DESCARTADO</v>
      </c>
      <c r="G92" s="33" t="str">
        <f>IF(C92&lt;&gt;"",IF(AND(D92="SI",E92="HÁBIL"),VLOOKUP("A"&amp;B92,'EXPERIENCIA '!$A$1:$AT$672,44,FALSE),"DESCARTADO"),"")</f>
        <v>DESCARTADO</v>
      </c>
      <c r="H92" s="33" t="str">
        <f>IF(C92&lt;&gt;"",IF(AND(D92="SI",E92="HÁBIL"),VLOOKUP("A"&amp;B92,'EXPERIENCIA '!$A$1:$AT$672,45,FALSE),"DESCARTADO"),"")</f>
        <v>DESCARTADO</v>
      </c>
      <c r="I92" s="46" t="str">
        <f t="shared" si="2"/>
        <v/>
      </c>
      <c r="J92" s="45">
        <f t="shared" si="3"/>
        <v>0</v>
      </c>
      <c r="X92" s="29" t="str">
        <f t="shared" si="8"/>
        <v/>
      </c>
      <c r="Y92" s="29" t="str">
        <f t="shared" si="9"/>
        <v/>
      </c>
      <c r="Z92" s="29" t="str">
        <f t="shared" si="10"/>
        <v/>
      </c>
      <c r="AB92" s="29" t="str">
        <f t="shared" si="11"/>
        <v/>
      </c>
      <c r="AC92" s="29" t="str">
        <f t="shared" si="6"/>
        <v/>
      </c>
      <c r="AD92" s="29" t="str">
        <f t="shared" si="12"/>
        <v/>
      </c>
    </row>
    <row r="93" spans="2:30" hidden="1">
      <c r="B93" s="36" t="s">
        <v>591</v>
      </c>
      <c r="C93" s="89">
        <f>+IFERROR(INDEX('DESEMPATE Y DISCAPACIDAD'!$B$3:$B$450,MATCH(B93,'DESEMPATE Y DISCAPACIDAD'!$A$3:$A$450,0)),"")</f>
        <v>0</v>
      </c>
      <c r="D93" s="25">
        <f>IF(C93&lt;&gt;"",VLOOKUP("A"&amp;B93,'EXPERIENCIA '!$A$1:$AT$672,41,FALSE),"")</f>
        <v>0</v>
      </c>
      <c r="E93" s="25" t="str">
        <f>IF(C93&lt;&gt;"",VLOOKUP(B93,CONSOLIDADO!$A$6:$I$1896,9,FALSE),"")</f>
        <v/>
      </c>
      <c r="F93" s="33" t="str">
        <f>IF(C93&lt;&gt;"",IF(AND(D93="SI",E93="HÁBIL"),VLOOKUP("A"&amp;B93,'EXPERIENCIA '!$A$1:$AT$672,43,FALSE),"DESCARTADO"),"")</f>
        <v>DESCARTADO</v>
      </c>
      <c r="G93" s="33" t="str">
        <f>IF(C93&lt;&gt;"",IF(AND(D93="SI",E93="HÁBIL"),VLOOKUP("A"&amp;B93,'EXPERIENCIA '!$A$1:$AT$672,44,FALSE),"DESCARTADO"),"")</f>
        <v>DESCARTADO</v>
      </c>
      <c r="H93" s="33" t="str">
        <f>IF(C93&lt;&gt;"",IF(AND(D93="SI",E93="HÁBIL"),VLOOKUP("A"&amp;B93,'EXPERIENCIA '!$A$1:$AT$672,45,FALSE),"DESCARTADO"),"")</f>
        <v>DESCARTADO</v>
      </c>
      <c r="I93" s="46" t="str">
        <f t="shared" si="2"/>
        <v/>
      </c>
      <c r="J93" s="45">
        <f t="shared" si="3"/>
        <v>0</v>
      </c>
      <c r="X93" s="29" t="str">
        <f t="shared" si="8"/>
        <v/>
      </c>
      <c r="Y93" s="29" t="str">
        <f t="shared" si="9"/>
        <v/>
      </c>
      <c r="Z93" s="29" t="str">
        <f t="shared" si="10"/>
        <v/>
      </c>
      <c r="AB93" s="29" t="str">
        <f t="shared" si="11"/>
        <v/>
      </c>
      <c r="AC93" s="29" t="str">
        <f t="shared" si="6"/>
        <v/>
      </c>
      <c r="AD93" s="29" t="str">
        <f t="shared" si="12"/>
        <v/>
      </c>
    </row>
    <row r="94" spans="2:30" hidden="1">
      <c r="B94" s="36" t="s">
        <v>592</v>
      </c>
      <c r="C94" s="89">
        <f>+IFERROR(INDEX('DESEMPATE Y DISCAPACIDAD'!$B$3:$B$450,MATCH(B94,'DESEMPATE Y DISCAPACIDAD'!$A$3:$A$450,0)),"")</f>
        <v>0</v>
      </c>
      <c r="D94" s="25">
        <f>IF(C94&lt;&gt;"",VLOOKUP("A"&amp;B94,'EXPERIENCIA '!$A$1:$AT$672,41,FALSE),"")</f>
        <v>0</v>
      </c>
      <c r="E94" s="25" t="str">
        <f>IF(C94&lt;&gt;"",VLOOKUP(B94,CONSOLIDADO!$A$6:$I$1896,9,FALSE),"")</f>
        <v/>
      </c>
      <c r="F94" s="33" t="str">
        <f>IF(C94&lt;&gt;"",IF(AND(D94="SI",E94="HÁBIL"),VLOOKUP("A"&amp;B94,'EXPERIENCIA '!$A$1:$AT$672,43,FALSE),"DESCARTADO"),"")</f>
        <v>DESCARTADO</v>
      </c>
      <c r="G94" s="33" t="str">
        <f>IF(C94&lt;&gt;"",IF(AND(D94="SI",E94="HÁBIL"),VLOOKUP("A"&amp;B94,'EXPERIENCIA '!$A$1:$AT$672,44,FALSE),"DESCARTADO"),"")</f>
        <v>DESCARTADO</v>
      </c>
      <c r="H94" s="33" t="str">
        <f>IF(C94&lt;&gt;"",IF(AND(D94="SI",E94="HÁBIL"),VLOOKUP("A"&amp;B94,'EXPERIENCIA '!$A$1:$AT$672,45,FALSE),"DESCARTADO"),"")</f>
        <v>DESCARTADO</v>
      </c>
      <c r="I94" s="46" t="str">
        <f t="shared" si="2"/>
        <v/>
      </c>
      <c r="J94" s="45">
        <f t="shared" si="3"/>
        <v>0</v>
      </c>
      <c r="X94" s="29" t="str">
        <f t="shared" si="8"/>
        <v/>
      </c>
      <c r="Y94" s="29" t="str">
        <f t="shared" si="9"/>
        <v/>
      </c>
      <c r="Z94" s="29" t="str">
        <f t="shared" si="10"/>
        <v/>
      </c>
      <c r="AB94" s="29" t="str">
        <f t="shared" si="11"/>
        <v/>
      </c>
      <c r="AC94" s="29" t="str">
        <f t="shared" si="6"/>
        <v/>
      </c>
      <c r="AD94" s="29" t="str">
        <f t="shared" si="12"/>
        <v/>
      </c>
    </row>
    <row r="95" spans="2:30" hidden="1">
      <c r="B95" s="36" t="s">
        <v>593</v>
      </c>
      <c r="C95" s="89">
        <f>+IFERROR(INDEX('DESEMPATE Y DISCAPACIDAD'!$B$3:$B$450,MATCH(B95,'DESEMPATE Y DISCAPACIDAD'!$A$3:$A$450,0)),"")</f>
        <v>0</v>
      </c>
      <c r="D95" s="25">
        <f>IF(C95&lt;&gt;"",VLOOKUP("A"&amp;B95,'EXPERIENCIA '!$A$1:$AT$672,41,FALSE),"")</f>
        <v>0</v>
      </c>
      <c r="E95" s="25" t="str">
        <f>IF(C95&lt;&gt;"",VLOOKUP(B95,CONSOLIDADO!$A$6:$I$1896,9,FALSE),"")</f>
        <v/>
      </c>
      <c r="F95" s="33" t="str">
        <f>IF(C95&lt;&gt;"",IF(AND(D95="SI",E95="HÁBIL"),VLOOKUP("A"&amp;B95,'EXPERIENCIA '!$A$1:$AT$672,43,FALSE),"DESCARTADO"),"")</f>
        <v>DESCARTADO</v>
      </c>
      <c r="G95" s="33" t="str">
        <f>IF(C95&lt;&gt;"",IF(AND(D95="SI",E95="HÁBIL"),VLOOKUP("A"&amp;B95,'EXPERIENCIA '!$A$1:$AT$672,44,FALSE),"DESCARTADO"),"")</f>
        <v>DESCARTADO</v>
      </c>
      <c r="H95" s="33" t="str">
        <f>IF(C95&lt;&gt;"",IF(AND(D95="SI",E95="HÁBIL"),VLOOKUP("A"&amp;B95,'EXPERIENCIA '!$A$1:$AT$672,45,FALSE),"DESCARTADO"),"")</f>
        <v>DESCARTADO</v>
      </c>
      <c r="I95" s="46" t="str">
        <f t="shared" si="2"/>
        <v/>
      </c>
      <c r="J95" s="45">
        <f t="shared" si="3"/>
        <v>0</v>
      </c>
      <c r="X95" s="29" t="str">
        <f t="shared" si="8"/>
        <v/>
      </c>
      <c r="Y95" s="29" t="str">
        <f t="shared" si="9"/>
        <v/>
      </c>
      <c r="Z95" s="29" t="str">
        <f t="shared" si="10"/>
        <v/>
      </c>
      <c r="AB95" s="29" t="str">
        <f t="shared" si="11"/>
        <v/>
      </c>
      <c r="AC95" s="29" t="str">
        <f t="shared" si="6"/>
        <v/>
      </c>
      <c r="AD95" s="29" t="str">
        <f t="shared" si="12"/>
        <v/>
      </c>
    </row>
    <row r="96" spans="2:30" hidden="1">
      <c r="B96" s="36" t="s">
        <v>594</v>
      </c>
      <c r="C96" s="89">
        <f>+IFERROR(INDEX('DESEMPATE Y DISCAPACIDAD'!$B$3:$B$450,MATCH(B96,'DESEMPATE Y DISCAPACIDAD'!$A$3:$A$450,0)),"")</f>
        <v>0</v>
      </c>
      <c r="D96" s="25">
        <f>IF(C96&lt;&gt;"",VLOOKUP("A"&amp;B96,'EXPERIENCIA '!$A$1:$AT$672,41,FALSE),"")</f>
        <v>0</v>
      </c>
      <c r="E96" s="25" t="str">
        <f>IF(C96&lt;&gt;"",VLOOKUP(B96,CONSOLIDADO!$A$6:$I$1896,9,FALSE),"")</f>
        <v/>
      </c>
      <c r="F96" s="33" t="str">
        <f>IF(C96&lt;&gt;"",IF(AND(D96="SI",E96="HÁBIL"),VLOOKUP("A"&amp;B96,'EXPERIENCIA '!$A$1:$AT$672,43,FALSE),"DESCARTADO"),"")</f>
        <v>DESCARTADO</v>
      </c>
      <c r="G96" s="33" t="str">
        <f>IF(C96&lt;&gt;"",IF(AND(D96="SI",E96="HÁBIL"),VLOOKUP("A"&amp;B96,'EXPERIENCIA '!$A$1:$AT$672,44,FALSE),"DESCARTADO"),"")</f>
        <v>DESCARTADO</v>
      </c>
      <c r="H96" s="33" t="str">
        <f>IF(C96&lt;&gt;"",IF(AND(D96="SI",E96="HÁBIL"),VLOOKUP("A"&amp;B96,'EXPERIENCIA '!$A$1:$AT$672,45,FALSE),"DESCARTADO"),"")</f>
        <v>DESCARTADO</v>
      </c>
      <c r="I96" s="46" t="str">
        <f t="shared" si="2"/>
        <v/>
      </c>
      <c r="J96" s="45">
        <f t="shared" si="3"/>
        <v>0</v>
      </c>
      <c r="X96" s="29" t="str">
        <f t="shared" si="8"/>
        <v/>
      </c>
      <c r="Y96" s="29" t="str">
        <f t="shared" si="9"/>
        <v/>
      </c>
      <c r="Z96" s="29" t="str">
        <f t="shared" si="10"/>
        <v/>
      </c>
      <c r="AB96" s="29" t="str">
        <f t="shared" si="11"/>
        <v/>
      </c>
      <c r="AC96" s="29" t="str">
        <f t="shared" si="6"/>
        <v/>
      </c>
      <c r="AD96" s="29" t="str">
        <f t="shared" si="12"/>
        <v/>
      </c>
    </row>
    <row r="97" spans="2:30" hidden="1">
      <c r="B97" s="36" t="s">
        <v>595</v>
      </c>
      <c r="C97" s="89">
        <f>+IFERROR(INDEX('DESEMPATE Y DISCAPACIDAD'!$B$3:$B$450,MATCH(B97,'DESEMPATE Y DISCAPACIDAD'!$A$3:$A$450,0)),"")</f>
        <v>0</v>
      </c>
      <c r="D97" s="25">
        <f>IF(C97&lt;&gt;"",VLOOKUP("A"&amp;B97,'EXPERIENCIA '!$A$1:$AT$672,41,FALSE),"")</f>
        <v>0</v>
      </c>
      <c r="E97" s="25" t="str">
        <f>IF(C97&lt;&gt;"",VLOOKUP(B97,CONSOLIDADO!$A$6:$I$1896,9,FALSE),"")</f>
        <v/>
      </c>
      <c r="F97" s="33" t="str">
        <f>IF(C97&lt;&gt;"",IF(AND(D97="SI",E97="HÁBIL"),VLOOKUP("A"&amp;B97,'EXPERIENCIA '!$A$1:$AT$672,43,FALSE),"DESCARTADO"),"")</f>
        <v>DESCARTADO</v>
      </c>
      <c r="G97" s="33" t="str">
        <f>IF(C97&lt;&gt;"",IF(AND(D97="SI",E97="HÁBIL"),VLOOKUP("A"&amp;B97,'EXPERIENCIA '!$A$1:$AT$672,44,FALSE),"DESCARTADO"),"")</f>
        <v>DESCARTADO</v>
      </c>
      <c r="H97" s="33" t="str">
        <f>IF(C97&lt;&gt;"",IF(AND(D97="SI",E97="HÁBIL"),VLOOKUP("A"&amp;B97,'EXPERIENCIA '!$A$1:$AT$672,45,FALSE),"DESCARTADO"),"")</f>
        <v>DESCARTADO</v>
      </c>
      <c r="I97" s="46" t="str">
        <f t="shared" si="2"/>
        <v/>
      </c>
      <c r="J97" s="45">
        <f t="shared" si="3"/>
        <v>0</v>
      </c>
      <c r="X97" s="29" t="str">
        <f t="shared" si="8"/>
        <v/>
      </c>
      <c r="Y97" s="29" t="str">
        <f t="shared" si="9"/>
        <v/>
      </c>
      <c r="Z97" s="29" t="str">
        <f t="shared" si="10"/>
        <v/>
      </c>
      <c r="AB97" s="29" t="str">
        <f t="shared" si="11"/>
        <v/>
      </c>
      <c r="AC97" s="29" t="str">
        <f t="shared" si="6"/>
        <v/>
      </c>
      <c r="AD97" s="29" t="str">
        <f t="shared" si="12"/>
        <v/>
      </c>
    </row>
    <row r="98" spans="2:30" hidden="1">
      <c r="B98" s="36" t="s">
        <v>596</v>
      </c>
      <c r="C98" s="89">
        <f>+IFERROR(INDEX('DESEMPATE Y DISCAPACIDAD'!$B$3:$B$450,MATCH(B98,'DESEMPATE Y DISCAPACIDAD'!$A$3:$A$450,0)),"")</f>
        <v>0</v>
      </c>
      <c r="D98" s="25">
        <f>IF(C98&lt;&gt;"",VLOOKUP("A"&amp;B98,'EXPERIENCIA '!$A$1:$AT$672,41,FALSE),"")</f>
        <v>0</v>
      </c>
      <c r="E98" s="25" t="str">
        <f>IF(C98&lt;&gt;"",VLOOKUP(B98,CONSOLIDADO!$A$6:$I$1896,9,FALSE),"")</f>
        <v/>
      </c>
      <c r="F98" s="33" t="str">
        <f>IF(C98&lt;&gt;"",IF(AND(D98="SI",E98="HÁBIL"),VLOOKUP("A"&amp;B98,'EXPERIENCIA '!$A$1:$AT$672,43,FALSE),"DESCARTADO"),"")</f>
        <v>DESCARTADO</v>
      </c>
      <c r="G98" s="33" t="str">
        <f>IF(C98&lt;&gt;"",IF(AND(D98="SI",E98="HÁBIL"),VLOOKUP("A"&amp;B98,'EXPERIENCIA '!$A$1:$AT$672,44,FALSE),"DESCARTADO"),"")</f>
        <v>DESCARTADO</v>
      </c>
      <c r="H98" s="33" t="str">
        <f>IF(C98&lt;&gt;"",IF(AND(D98="SI",E98="HÁBIL"),VLOOKUP("A"&amp;B98,'EXPERIENCIA '!$A$1:$AT$672,45,FALSE),"DESCARTADO"),"")</f>
        <v>DESCARTADO</v>
      </c>
      <c r="I98" s="46" t="str">
        <f>IF(ISTEXT(H98),"",H98/10000000)</f>
        <v/>
      </c>
      <c r="J98" s="45">
        <f>IF(H98="DESCARTADO",0,IF($E$29="MEDIANA CON VALOR ABSOLUTO",IF(($J$14*(1-(ABS(($J$29-H98)/$J$29))))&lt;0,0,IF(H98=$J$29,$J$14,$J$14*(1-(ABS(($J$29-H98)/$J$29))))),IF($E$29="MEDIA GEOMÉTRICA",IF(($J$14*(1-((ABS($J$29-H98))/$J$29)))&lt;0,0,IF(H98=$J$21,$J$14,$J$14*(1-((ABS($J$29-H98))/$J$29)))),IF($E$29="MEDIA ARITMÉTICA ALTA",IF(H98&lt;=$J$29,$J$14*(1-(($J$29-H98)/$J$29)),$J$14*(1-2*((ABS($J$29-H98))/$J$29))),
IF($E$29="MEDIA ARITMÉTICA BAJA",IF(H98&lt;=$J$29,       IF(   ($J$14*(1-(($J$29-H98)/$J$29)))&lt;0,0,  ($J$14*(1-(($J$29-H98)/$J$29)))  ),   IF(     ($J$14*(1-((ABS($J$29-H98))/$J$29)))&lt;0,0,   ($J$14*(1-((ABS($J$29-H98))/$J$29))))         ),"")))))</f>
        <v>0</v>
      </c>
      <c r="X98" s="29" t="str">
        <f t="shared" si="8"/>
        <v/>
      </c>
      <c r="Y98" s="29" t="str">
        <f t="shared" si="9"/>
        <v/>
      </c>
      <c r="Z98" s="29" t="str">
        <f t="shared" si="10"/>
        <v/>
      </c>
      <c r="AB98" s="29" t="str">
        <f t="shared" si="11"/>
        <v/>
      </c>
      <c r="AC98" s="29" t="str">
        <f>IF(AB98=MIN($AB$33:$AB$99),"MÍNIMO","")</f>
        <v/>
      </c>
      <c r="AD98" s="29" t="str">
        <f t="shared" si="12"/>
        <v/>
      </c>
    </row>
    <row r="99" spans="2:30" ht="15" hidden="1" thickBot="1">
      <c r="B99" s="167" t="s">
        <v>597</v>
      </c>
      <c r="C99" s="168">
        <f>+IFERROR(INDEX('DESEMPATE Y DISCAPACIDAD'!$B$3:$B$450,MATCH(B99,'DESEMPATE Y DISCAPACIDAD'!$A$3:$A$450,0)),"")</f>
        <v>0</v>
      </c>
      <c r="D99" s="169">
        <f>IF(C99&lt;&gt;"",VLOOKUP("A"&amp;B99,'EXPERIENCIA '!$A$1:$AT$672,41,FALSE),"")</f>
        <v>0</v>
      </c>
      <c r="E99" s="169" t="str">
        <f>IF(C99&lt;&gt;"",VLOOKUP(B99,CONSOLIDADO!$A$6:$I$1896,9,FALSE),"")</f>
        <v/>
      </c>
      <c r="F99" s="170" t="str">
        <f>IF(C99&lt;&gt;"",IF(AND(D99="SI",E99="HÁBIL"),VLOOKUP("A"&amp;B99,'EXPERIENCIA '!$A$1:$AT$672,43,FALSE),"DESCARTADO"),"")</f>
        <v>DESCARTADO</v>
      </c>
      <c r="G99" s="170" t="str">
        <f>IF(C99&lt;&gt;"",IF(AND(D99="SI",E99="HÁBIL"),VLOOKUP("A"&amp;B99,'EXPERIENCIA '!$A$1:$AT$672,44,FALSE),"DESCARTADO"),"")</f>
        <v>DESCARTADO</v>
      </c>
      <c r="H99" s="170" t="str">
        <f>IF(C99&lt;&gt;"",IF(AND(D99="SI",E99="HÁBIL"),VLOOKUP("A"&amp;B99,'EXPERIENCIA '!$A$1:$AT$672,45,FALSE),"DESCARTADO"),"")</f>
        <v>DESCARTADO</v>
      </c>
      <c r="I99" s="171" t="str">
        <f>IF(ISTEXT(H99),"",H99/10000000)</f>
        <v/>
      </c>
      <c r="J99" s="172">
        <f>IF(H99="DESCARTADO",0,IF($E$29="MEDIANA CON VALOR ABSOLUTO",IF(($J$14*(1-(ABS(($J$29-H99)/$J$29))))&lt;0,0,IF(H99=$J$29,$J$14,$J$14*(1-(ABS(($J$29-H99)/$J$29))))),IF($E$29="MEDIA GEOMÉTRICA",IF(($J$14*(1-((ABS($J$29-H99))/$J$29)))&lt;0,0,IF(H99=$J$21,$J$14,$J$14*(1-((ABS($J$29-H99))/$J$29)))),IF($E$29="MEDIA ARITMÉTICA ALTA",IF(H99&lt;=$J$29,$J$14*(1-(($J$29-H99)/$J$29)),$J$14*(1-2*((ABS($J$29-H99))/$J$29))),
IF($E$29="MEDIA ARITMÉTICA BAJA",IF(H99&lt;=$J$29,       IF(   ($J$14*(1-(($J$29-H99)/$J$29)))&lt;0,0,  ($J$14*(1-(($J$29-H99)/$J$29)))  ),   IF(     ($J$14*(1-((ABS($J$29-H99))/$J$29)))&lt;0,0,   ($J$14*(1-((ABS($J$29-H99))/$J$29))))         ),"")))))</f>
        <v>0</v>
      </c>
      <c r="X99" s="29" t="str">
        <f>IF(H99="DESCARTADO","",IF($J$18="Impar","",IF(H99&gt;$J$13,"",$J$13-H99)))</f>
        <v/>
      </c>
      <c r="Y99" s="29" t="str">
        <f>IF(X99=MIN($X$33:$X$90),"MÍNIMO","")</f>
        <v/>
      </c>
      <c r="Z99" s="29" t="str">
        <f>IF(Y99="","",IF(Y99="MÍNIMO",H99,""))</f>
        <v/>
      </c>
      <c r="AB99" s="29" t="str">
        <f>IF(H99="DESCARTADO","",ABS(H99-$J$23))</f>
        <v/>
      </c>
      <c r="AC99" s="29" t="str">
        <f>IF(AB99=MIN($AB$33:$AB$99),"MÍNIMO","")</f>
        <v/>
      </c>
      <c r="AD99" s="29" t="str">
        <f>IF(AC99="","",IF(AC99="MÍNIMO",H99,""))</f>
        <v/>
      </c>
    </row>
    <row r="100" spans="2:30">
      <c r="X100" s="4"/>
      <c r="Y100" s="4"/>
      <c r="Z100" s="4"/>
      <c r="AB100" s="4"/>
      <c r="AC100" s="29"/>
      <c r="AD100" s="4"/>
    </row>
    <row r="101" spans="2:30">
      <c r="X101" s="4"/>
      <c r="Y101" s="4"/>
      <c r="Z101" s="4"/>
      <c r="AB101" s="4"/>
      <c r="AC101" s="4"/>
      <c r="AD101" s="4"/>
    </row>
    <row r="102" spans="2:30">
      <c r="X102" s="4"/>
      <c r="Y102" s="4"/>
      <c r="Z102" s="4"/>
      <c r="AB102" s="4"/>
      <c r="AC102" s="4"/>
      <c r="AD102" s="4"/>
    </row>
    <row r="103" spans="2:30">
      <c r="X103" s="4"/>
      <c r="Y103" s="4"/>
      <c r="Z103" s="4"/>
      <c r="AB103" s="4"/>
      <c r="AC103" s="4"/>
      <c r="AD103" s="4"/>
    </row>
    <row r="104" spans="2:30">
      <c r="X104" s="4"/>
      <c r="Y104" s="4"/>
      <c r="Z104" s="4"/>
      <c r="AB104" s="4"/>
      <c r="AC104" s="4"/>
      <c r="AD104" s="4"/>
    </row>
    <row r="105" spans="2:30">
      <c r="X105" s="4"/>
      <c r="Y105" s="4"/>
      <c r="Z105" s="4"/>
      <c r="AB105" s="4"/>
      <c r="AC105" s="4"/>
      <c r="AD105" s="4"/>
    </row>
    <row r="106" spans="2:30">
      <c r="X106" s="4"/>
      <c r="Y106" s="4"/>
      <c r="Z106" s="4"/>
      <c r="AB106" s="4"/>
      <c r="AC106" s="4"/>
      <c r="AD106" s="4"/>
    </row>
    <row r="107" spans="2:30">
      <c r="X107" s="4"/>
      <c r="Y107" s="4"/>
      <c r="Z107" s="4"/>
      <c r="AB107" s="4"/>
      <c r="AC107" s="4"/>
      <c r="AD107" s="4"/>
    </row>
    <row r="108" spans="2:30">
      <c r="X108" s="4"/>
      <c r="Y108" s="4"/>
      <c r="Z108" s="4"/>
      <c r="AB108" s="4"/>
      <c r="AC108" s="4"/>
      <c r="AD108" s="4"/>
    </row>
    <row r="109" spans="2:30">
      <c r="X109" s="4"/>
      <c r="Y109" s="4"/>
      <c r="Z109" s="4"/>
      <c r="AB109" s="4"/>
      <c r="AC109" s="4"/>
      <c r="AD109" s="4"/>
    </row>
    <row r="110" spans="2:30">
      <c r="X110" s="4"/>
      <c r="Y110" s="4"/>
      <c r="Z110" s="4"/>
      <c r="AB110" s="4"/>
      <c r="AC110" s="4"/>
      <c r="AD110" s="4"/>
    </row>
    <row r="111" spans="2:30">
      <c r="X111" s="4"/>
      <c r="Y111" s="4"/>
      <c r="Z111" s="4"/>
      <c r="AB111" s="4"/>
      <c r="AC111" s="4"/>
      <c r="AD111" s="4"/>
    </row>
    <row r="112" spans="2:30">
      <c r="X112" s="4"/>
      <c r="Y112" s="4"/>
      <c r="Z112" s="4"/>
      <c r="AB112" s="4"/>
      <c r="AC112" s="4"/>
      <c r="AD112" s="4"/>
    </row>
    <row r="113" s="4" customFormat="1"/>
    <row r="114" s="4" customFormat="1"/>
    <row r="115" s="4" customFormat="1"/>
    <row r="116" s="4" customFormat="1"/>
    <row r="117" s="4" customFormat="1"/>
    <row r="118" s="4" customFormat="1"/>
    <row r="119" s="4" customFormat="1"/>
    <row r="120" s="4" customFormat="1"/>
    <row r="121" s="4" customFormat="1"/>
    <row r="122" s="4" customFormat="1"/>
    <row r="123" s="4" customFormat="1"/>
    <row r="124" s="4" customFormat="1"/>
    <row r="125" s="4" customFormat="1"/>
    <row r="126" s="4" customFormat="1"/>
    <row r="127" s="4" customFormat="1"/>
    <row r="128" s="4" customFormat="1"/>
    <row r="129" s="4" customFormat="1"/>
    <row r="130" s="4" customFormat="1"/>
    <row r="131" s="4" customFormat="1"/>
    <row r="132" s="4" customFormat="1"/>
    <row r="133" s="4" customFormat="1"/>
    <row r="134" s="4" customFormat="1"/>
    <row r="135" s="4" customFormat="1"/>
    <row r="136" s="4" customFormat="1"/>
    <row r="137" s="4" customFormat="1"/>
    <row r="138" s="4" customFormat="1"/>
    <row r="139" s="4" customFormat="1"/>
    <row r="140" s="4" customFormat="1"/>
    <row r="141" s="4" customFormat="1"/>
    <row r="142" s="4" customFormat="1"/>
    <row r="143" s="4" customFormat="1"/>
    <row r="144" s="4" customFormat="1"/>
    <row r="145" s="4" customFormat="1"/>
    <row r="146" s="4" customFormat="1"/>
    <row r="147" s="4" customFormat="1"/>
    <row r="148" s="4" customFormat="1"/>
    <row r="149" s="4" customFormat="1"/>
    <row r="150" s="4" customFormat="1"/>
    <row r="151" s="4" customFormat="1"/>
    <row r="152" s="4" customFormat="1"/>
    <row r="153" s="4" customFormat="1"/>
    <row r="154" s="4" customFormat="1"/>
    <row r="155" s="4" customFormat="1"/>
    <row r="156" s="4" customFormat="1"/>
    <row r="157" s="4" customFormat="1"/>
    <row r="158" s="4" customFormat="1"/>
    <row r="159" s="4" customFormat="1"/>
    <row r="160" s="4" customFormat="1"/>
    <row r="161" s="4" customFormat="1"/>
    <row r="162" s="4" customFormat="1"/>
    <row r="163" s="4" customFormat="1"/>
    <row r="164" s="4" customFormat="1"/>
    <row r="165" s="4" customFormat="1"/>
    <row r="166" s="4" customFormat="1"/>
    <row r="167" s="4" customFormat="1"/>
    <row r="168" s="4" customFormat="1"/>
    <row r="169" s="4" customFormat="1"/>
    <row r="170" s="4" customFormat="1"/>
    <row r="171" s="4" customFormat="1"/>
    <row r="172" s="4" customFormat="1"/>
    <row r="173" s="4" customFormat="1"/>
    <row r="174" s="4" customFormat="1"/>
    <row r="175" s="4" customFormat="1"/>
    <row r="176" s="4" customFormat="1"/>
    <row r="177" s="4" customFormat="1"/>
    <row r="178" s="4" customFormat="1"/>
    <row r="179" s="4" customFormat="1"/>
    <row r="180" s="4" customFormat="1"/>
    <row r="181" s="4" customFormat="1"/>
    <row r="182" s="4" customFormat="1"/>
    <row r="183" s="4" customFormat="1"/>
    <row r="184" s="4" customFormat="1"/>
    <row r="185" s="4" customFormat="1"/>
    <row r="186" s="4" customFormat="1"/>
    <row r="187" s="4" customFormat="1"/>
    <row r="188" s="4" customFormat="1"/>
    <row r="189" s="4" customFormat="1"/>
    <row r="190" s="4" customFormat="1"/>
    <row r="191" s="4" customFormat="1"/>
    <row r="192" s="4" customFormat="1"/>
    <row r="193" s="4" customFormat="1"/>
    <row r="194" s="4" customFormat="1"/>
    <row r="195" s="4" customFormat="1"/>
    <row r="196" s="4" customFormat="1"/>
    <row r="197" s="4" customFormat="1"/>
    <row r="198" s="4" customFormat="1"/>
    <row r="199" s="4" customFormat="1"/>
    <row r="200" s="4" customFormat="1"/>
    <row r="201" s="4" customFormat="1"/>
    <row r="202" s="4" customFormat="1"/>
    <row r="203" s="4" customFormat="1"/>
    <row r="204" s="4" customFormat="1"/>
    <row r="205" s="4" customFormat="1"/>
    <row r="206" s="4" customFormat="1"/>
    <row r="207" s="4" customFormat="1"/>
    <row r="208" s="4" customFormat="1"/>
    <row r="209" s="4" customFormat="1"/>
    <row r="210" s="4" customFormat="1"/>
    <row r="211" s="4" customFormat="1"/>
    <row r="212" s="4" customFormat="1"/>
    <row r="213" s="4" customFormat="1"/>
    <row r="214" s="4" customFormat="1"/>
    <row r="215" s="4" customFormat="1"/>
    <row r="216" s="4" customFormat="1"/>
    <row r="217" s="4" customFormat="1"/>
    <row r="218" s="4" customFormat="1"/>
    <row r="219" s="4" customFormat="1"/>
    <row r="220" s="4" customFormat="1"/>
    <row r="221" s="4" customFormat="1"/>
    <row r="222" s="4" customFormat="1"/>
    <row r="223" s="4" customFormat="1"/>
    <row r="224" s="4" customFormat="1"/>
    <row r="225" s="4" customFormat="1"/>
    <row r="226" s="4" customFormat="1"/>
    <row r="227" s="4" customFormat="1"/>
    <row r="228" s="4" customFormat="1"/>
    <row r="229" s="4" customFormat="1"/>
    <row r="230" s="4" customFormat="1"/>
    <row r="231" s="4" customFormat="1"/>
    <row r="232" s="4" customFormat="1"/>
    <row r="233" s="4" customFormat="1"/>
    <row r="234" s="4" customFormat="1"/>
    <row r="235" s="4" customFormat="1"/>
    <row r="236" s="4" customFormat="1"/>
    <row r="237" s="4" customFormat="1"/>
    <row r="238" s="4" customFormat="1"/>
    <row r="239" s="4" customFormat="1"/>
    <row r="240" s="4" customFormat="1"/>
    <row r="241" s="4" customFormat="1"/>
    <row r="242" s="4" customFormat="1"/>
    <row r="243" s="4" customFormat="1"/>
    <row r="244" s="4" customFormat="1"/>
    <row r="245" s="4" customFormat="1"/>
    <row r="246" s="4" customFormat="1"/>
    <row r="247" s="4" customFormat="1"/>
    <row r="248" s="4" customFormat="1"/>
    <row r="249" s="4" customFormat="1"/>
    <row r="250" s="4" customFormat="1"/>
    <row r="251" s="4" customFormat="1"/>
    <row r="252" s="4" customFormat="1"/>
    <row r="253" s="4" customFormat="1"/>
    <row r="254" s="4" customFormat="1"/>
    <row r="255" s="4" customFormat="1"/>
    <row r="256" s="4" customFormat="1"/>
    <row r="257" s="4" customFormat="1"/>
    <row r="258" s="4" customFormat="1"/>
    <row r="259" s="4" customFormat="1"/>
    <row r="260" s="4" customFormat="1"/>
    <row r="261" s="4" customFormat="1"/>
    <row r="262" s="4" customFormat="1"/>
    <row r="263" s="4" customFormat="1"/>
    <row r="264" s="4" customFormat="1"/>
    <row r="265" s="4" customFormat="1"/>
    <row r="266" s="4" customFormat="1"/>
    <row r="267" s="4" customFormat="1"/>
    <row r="268" s="4" customFormat="1"/>
    <row r="269" s="4" customFormat="1"/>
    <row r="270" s="4" customFormat="1"/>
    <row r="271" s="4" customFormat="1"/>
    <row r="272" s="4" customFormat="1"/>
    <row r="273" s="4" customFormat="1"/>
    <row r="274" s="4" customFormat="1"/>
    <row r="275" s="4" customFormat="1"/>
    <row r="276" s="4" customFormat="1"/>
    <row r="277" s="4" customFormat="1"/>
    <row r="278" s="4" customFormat="1"/>
    <row r="279" s="4" customFormat="1"/>
    <row r="280" s="4" customFormat="1"/>
    <row r="281" s="4" customFormat="1"/>
    <row r="282" s="4" customFormat="1"/>
  </sheetData>
  <mergeCells count="32">
    <mergeCell ref="B1:J1"/>
    <mergeCell ref="B8:J8"/>
    <mergeCell ref="B16:J16"/>
    <mergeCell ref="B2:H2"/>
    <mergeCell ref="B3:H3"/>
    <mergeCell ref="B4:H4"/>
    <mergeCell ref="B5:H5"/>
    <mergeCell ref="B6:H6"/>
    <mergeCell ref="B14:I14"/>
    <mergeCell ref="I4:J4"/>
    <mergeCell ref="I5:J5"/>
    <mergeCell ref="I6:J6"/>
    <mergeCell ref="B9:I9"/>
    <mergeCell ref="B10:I10"/>
    <mergeCell ref="B11:I11"/>
    <mergeCell ref="B12:I12"/>
    <mergeCell ref="B31:J31"/>
    <mergeCell ref="B17:J17"/>
    <mergeCell ref="B20:J20"/>
    <mergeCell ref="B24:J24"/>
    <mergeCell ref="B26:J26"/>
    <mergeCell ref="B18:I18"/>
    <mergeCell ref="B19:I19"/>
    <mergeCell ref="B21:I21"/>
    <mergeCell ref="B23:I23"/>
    <mergeCell ref="B25:I25"/>
    <mergeCell ref="B22:I22"/>
    <mergeCell ref="B13:I13"/>
    <mergeCell ref="B27:I27"/>
    <mergeCell ref="B29:D29"/>
    <mergeCell ref="E29:I29"/>
    <mergeCell ref="N2:V29"/>
  </mergeCells>
  <phoneticPr fontId="24" type="noConversion"/>
  <conditionalFormatting sqref="D33:D99">
    <cfRule type="cellIs" dxfId="10" priority="8" operator="equal">
      <formula>"NO"</formula>
    </cfRule>
  </conditionalFormatting>
  <conditionalFormatting sqref="E33:E99">
    <cfRule type="cellIs" dxfId="9" priority="4" operator="equal">
      <formula>"NO HÁBIL"</formula>
    </cfRule>
    <cfRule type="cellIs" dxfId="8" priority="5" operator="equal">
      <formula>"PENDIENTE"</formula>
    </cfRule>
    <cfRule type="cellIs" dxfId="7" priority="6" operator="equal">
      <formula>"RECHAZADO"</formula>
    </cfRule>
  </conditionalFormatting>
  <conditionalFormatting sqref="F33:I99">
    <cfRule type="cellIs" dxfId="6" priority="7" operator="equal">
      <formula>"DESCARTADO"</formula>
    </cfRule>
  </conditionalFormatting>
  <dataValidations disablePrompts="1" count="1">
    <dataValidation type="list" allowBlank="1" showInputMessage="1" showErrorMessage="1" sqref="I5:J5" xr:uid="{00000000-0002-0000-0500-000000000000}">
      <formula1>METPONDERACION</formula1>
    </dataValidation>
  </dataValidations>
  <hyperlinks>
    <hyperlink ref="B3" r:id="rId1" xr:uid="{00000000-0004-0000-0500-000000000000}"/>
  </hyperlinks>
  <pageMargins left="0.7" right="0.7" top="0.75" bottom="0.75" header="0.3" footer="0.3"/>
  <pageSetup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002060"/>
  </sheetPr>
  <dimension ref="A1:AI72"/>
  <sheetViews>
    <sheetView zoomScale="30" zoomScaleNormal="30" workbookViewId="0">
      <pane ySplit="4" topLeftCell="A6" activePane="bottomLeft" state="frozen"/>
      <selection pane="bottomLeft" activeCell="C28" sqref="C28"/>
    </sheetView>
  </sheetViews>
  <sheetFormatPr baseColWidth="10" defaultColWidth="11.453125" defaultRowHeight="14.5"/>
  <cols>
    <col min="1" max="1" width="5.6328125" style="4" customWidth="1"/>
    <col min="2" max="2" width="51" style="4" customWidth="1"/>
    <col min="3" max="3" width="18.1796875" style="4" customWidth="1"/>
    <col min="4" max="4" width="17.6328125" style="4" customWidth="1"/>
    <col min="5" max="5" width="21.81640625" style="4" customWidth="1"/>
    <col min="6" max="8" width="19" style="4" customWidth="1"/>
    <col min="9" max="9" width="21.1796875" style="4" customWidth="1"/>
    <col min="10" max="10" width="15" style="4" customWidth="1"/>
    <col min="11" max="11" width="16.1796875" style="4" customWidth="1"/>
    <col min="12" max="12" width="14.1796875" style="4" customWidth="1"/>
    <col min="13" max="13" width="11.453125" style="4" customWidth="1"/>
    <col min="14" max="14" width="13.36328125" style="4" customWidth="1"/>
    <col min="15" max="15" width="16.453125" style="4" customWidth="1"/>
    <col min="16" max="16" width="16.1796875" style="4" customWidth="1"/>
    <col min="17" max="17" width="14.453125" style="4" customWidth="1"/>
    <col min="18" max="18" width="22.36328125" style="4" customWidth="1"/>
    <col min="19" max="19" width="18" style="4" customWidth="1"/>
    <col min="20" max="20" width="16" style="4" customWidth="1"/>
    <col min="21" max="21" width="2.6328125" style="4" hidden="1" customWidth="1"/>
    <col min="22" max="32" width="9.453125" style="4" hidden="1" customWidth="1"/>
    <col min="33" max="33" width="0" style="4" hidden="1" customWidth="1"/>
    <col min="34" max="34" width="63.6328125" style="4" customWidth="1"/>
    <col min="35" max="35" width="33.453125" style="4" bestFit="1" customWidth="1"/>
    <col min="36" max="16384" width="11.453125" style="4"/>
  </cols>
  <sheetData>
    <row r="1" spans="1:35" ht="100" customHeight="1">
      <c r="A1" s="434" t="str">
        <f>"CONCURSO DE MÉRITOS ABIERTO No. "&amp;NOMPROC</f>
        <v xml:space="preserve">CONCURSO DE MÉRITOS ABIERTO No. VJ-VEJ-CM-002-2026 </v>
      </c>
      <c r="B1" s="435"/>
      <c r="C1" s="435"/>
      <c r="D1" s="435"/>
      <c r="E1" s="435"/>
      <c r="F1" s="435"/>
      <c r="G1" s="435"/>
      <c r="H1" s="435"/>
      <c r="I1" s="435"/>
      <c r="J1" s="435"/>
      <c r="K1" s="435"/>
      <c r="L1" s="435"/>
      <c r="M1" s="435"/>
      <c r="N1" s="435"/>
      <c r="O1" s="435"/>
      <c r="P1" s="435"/>
      <c r="Q1" s="435"/>
      <c r="R1" s="435"/>
      <c r="S1" s="435"/>
      <c r="T1" s="436"/>
      <c r="V1" s="775" t="s">
        <v>72</v>
      </c>
      <c r="W1" s="776"/>
      <c r="X1" s="776"/>
      <c r="Y1" s="776"/>
      <c r="Z1" s="776"/>
      <c r="AA1" s="776"/>
      <c r="AB1" s="776"/>
      <c r="AC1" s="776"/>
      <c r="AD1" s="776"/>
      <c r="AE1" s="776"/>
      <c r="AF1" s="777"/>
    </row>
    <row r="2" spans="1:35" ht="80" customHeight="1">
      <c r="A2" s="437" t="s">
        <v>1386</v>
      </c>
      <c r="B2" s="438"/>
      <c r="C2" s="438"/>
      <c r="D2" s="438"/>
      <c r="E2" s="438"/>
      <c r="F2" s="438"/>
      <c r="G2" s="438"/>
      <c r="H2" s="438"/>
      <c r="I2" s="438"/>
      <c r="J2" s="438"/>
      <c r="K2" s="438"/>
      <c r="L2" s="438"/>
      <c r="M2" s="438"/>
      <c r="N2" s="438"/>
      <c r="O2" s="438"/>
      <c r="P2" s="438"/>
      <c r="Q2" s="438"/>
      <c r="R2" s="438"/>
      <c r="S2" s="438"/>
      <c r="T2" s="439"/>
      <c r="V2" s="778"/>
      <c r="W2" s="779"/>
      <c r="X2" s="779"/>
      <c r="Y2" s="779"/>
      <c r="Z2" s="779"/>
      <c r="AA2" s="779"/>
      <c r="AB2" s="779"/>
      <c r="AC2" s="779"/>
      <c r="AD2" s="779"/>
      <c r="AE2" s="779"/>
      <c r="AF2" s="780"/>
    </row>
    <row r="3" spans="1:35" ht="47.5" customHeight="1" thickBot="1">
      <c r="A3" s="440" t="s">
        <v>17</v>
      </c>
      <c r="B3" s="442" t="s">
        <v>18</v>
      </c>
      <c r="C3" s="444" t="s">
        <v>55</v>
      </c>
      <c r="D3" s="445"/>
      <c r="E3" s="445"/>
      <c r="F3" s="445"/>
      <c r="G3" s="445"/>
      <c r="H3" s="445"/>
      <c r="I3" s="446"/>
      <c r="J3" s="444" t="s">
        <v>56</v>
      </c>
      <c r="K3" s="445"/>
      <c r="L3" s="445"/>
      <c r="M3" s="445"/>
      <c r="N3" s="445"/>
      <c r="O3" s="445"/>
      <c r="P3" s="445"/>
      <c r="Q3" s="445"/>
      <c r="R3" s="445"/>
      <c r="S3" s="445"/>
      <c r="T3" s="447"/>
      <c r="V3" s="778"/>
      <c r="W3" s="779"/>
      <c r="X3" s="779"/>
      <c r="Y3" s="779"/>
      <c r="Z3" s="779"/>
      <c r="AA3" s="779"/>
      <c r="AB3" s="779"/>
      <c r="AC3" s="779"/>
      <c r="AD3" s="779"/>
      <c r="AE3" s="779"/>
      <c r="AF3" s="780"/>
    </row>
    <row r="4" spans="1:35" ht="160" customHeight="1">
      <c r="A4" s="441"/>
      <c r="B4" s="443"/>
      <c r="C4" s="57" t="s">
        <v>57</v>
      </c>
      <c r="D4" s="57" t="s">
        <v>58</v>
      </c>
      <c r="E4" s="57" t="s">
        <v>59</v>
      </c>
      <c r="F4" s="57" t="s">
        <v>153</v>
      </c>
      <c r="G4" s="57" t="s">
        <v>570</v>
      </c>
      <c r="H4" s="57" t="s">
        <v>573</v>
      </c>
      <c r="I4" s="57" t="s">
        <v>116</v>
      </c>
      <c r="J4" s="57" t="s">
        <v>165</v>
      </c>
      <c r="K4" s="57" t="s">
        <v>588</v>
      </c>
      <c r="L4" s="57" t="s">
        <v>158</v>
      </c>
      <c r="M4" s="57" t="s">
        <v>159</v>
      </c>
      <c r="N4" s="57" t="s">
        <v>162</v>
      </c>
      <c r="O4" s="58" t="s">
        <v>163</v>
      </c>
      <c r="P4" s="58" t="s">
        <v>164</v>
      </c>
      <c r="Q4" s="58" t="s">
        <v>160</v>
      </c>
      <c r="R4" s="58" t="s">
        <v>169</v>
      </c>
      <c r="S4" s="58" t="s">
        <v>168</v>
      </c>
      <c r="T4" s="59" t="s">
        <v>60</v>
      </c>
      <c r="V4" s="60" t="s">
        <v>61</v>
      </c>
      <c r="W4" s="61" t="s">
        <v>62</v>
      </c>
      <c r="X4" s="61" t="s">
        <v>63</v>
      </c>
      <c r="Y4" s="61" t="s">
        <v>64</v>
      </c>
      <c r="Z4" s="61" t="s">
        <v>65</v>
      </c>
      <c r="AA4" s="61" t="s">
        <v>66</v>
      </c>
      <c r="AB4" s="61" t="s">
        <v>67</v>
      </c>
      <c r="AC4" s="61" t="s">
        <v>68</v>
      </c>
      <c r="AD4" s="61" t="s">
        <v>69</v>
      </c>
      <c r="AE4" s="61" t="s">
        <v>70</v>
      </c>
      <c r="AF4" s="62" t="s">
        <v>71</v>
      </c>
      <c r="AH4" s="63" t="s">
        <v>206</v>
      </c>
    </row>
    <row r="5" spans="1:35" ht="18" customHeight="1" thickBot="1">
      <c r="A5" s="92"/>
      <c r="B5" s="93"/>
      <c r="C5" s="93"/>
      <c r="D5" s="93"/>
      <c r="E5" s="93"/>
      <c r="F5" s="93"/>
      <c r="G5" s="93"/>
      <c r="H5" s="93"/>
      <c r="I5" s="93"/>
      <c r="J5" s="93"/>
      <c r="K5" s="93"/>
      <c r="L5" s="93"/>
      <c r="M5" s="93"/>
      <c r="N5" s="93"/>
      <c r="O5" s="93"/>
      <c r="P5" s="93"/>
      <c r="Q5" s="93"/>
      <c r="R5" s="93"/>
      <c r="S5" s="93"/>
      <c r="T5" s="93"/>
      <c r="V5" s="94"/>
      <c r="W5" s="95"/>
      <c r="X5" s="95"/>
      <c r="Y5" s="95"/>
      <c r="Z5" s="95"/>
      <c r="AA5" s="95"/>
      <c r="AB5" s="95"/>
      <c r="AC5" s="95"/>
      <c r="AD5" s="95"/>
      <c r="AE5" s="95"/>
      <c r="AF5" s="96"/>
      <c r="AH5" s="97"/>
    </row>
    <row r="6" spans="1:35" ht="28.25" customHeight="1" thickBot="1">
      <c r="A6" s="152" t="s">
        <v>30</v>
      </c>
      <c r="B6" s="153" t="str">
        <f>IFERROR(INDEX('DESEMPATE Y DISCAPACIDAD'!$B$3:$B$450,MATCH(CONSOLIDADO!A6,'DESEMPATE Y DISCAPACIDAD'!$A$3:$A$450,0)),"")</f>
        <v>CONSORCIO VIAS DEL CAUCA CT</v>
      </c>
      <c r="C6" s="111" t="s">
        <v>77</v>
      </c>
      <c r="D6" s="111" t="s">
        <v>77</v>
      </c>
      <c r="E6" s="111" t="s">
        <v>77</v>
      </c>
      <c r="F6" s="111" t="str">
        <f>IFERROR(IF(B6&lt;&gt;"",IF(VLOOKUP("A"&amp;A6,'EXPERIENCIA '!$A$1:$AT$672,38,FALSE)="","",VLOOKUP("A"&amp;A6,'EXPERIENCIA '!$A$1:$AT$672,38,FALSE)),""),"")</f>
        <v>HÁBIL</v>
      </c>
      <c r="G6" s="111" t="s">
        <v>77</v>
      </c>
      <c r="H6" s="111" t="s">
        <v>77</v>
      </c>
      <c r="I6" s="111" t="str">
        <f>IFERROR(IF(COUNTIF(C6:H6,"RECHAZADO")&gt;0,"RECHAZADO",IF(COUNTIF(C6:H6,"NO HÁBIL")&gt;0,"NO HÁBIL",IF(COUNTIF(C6:H6,"PENDIENTE")&gt;0,"PENDIENTE",IF(AND(C6="HÁBIL",D6="HÁBIL",E6="HÁBIL",F6="HÁBIL",G6="HÁBIL",H6="HÁBIL"),"HÁBIL","")))),"")</f>
        <v>HÁBIL</v>
      </c>
      <c r="J6" s="189">
        <f>IFERROR(IF(B6&lt;&gt;"",IF(VLOOKUP(A6,'PONDERACIÓN '!$B$33:$J$99,9,FALSE)="","",VLOOKUP(A6,'PONDERACIÓN '!$B$33:$J$99,9,FALSE)),""),"")</f>
        <v>52.380245121130606</v>
      </c>
      <c r="K6" s="186">
        <v>10</v>
      </c>
      <c r="L6" s="186">
        <v>10</v>
      </c>
      <c r="M6" s="186">
        <f>IFERROR(IF(B6&lt;&gt;"",IF(VLOOKUP(A6,'DESEMPATE Y DISCAPACIDAD'!$A$3:$Q$450,17,FALSE)="","",VLOOKUP(A6,'DESEMPATE Y DISCAPACIDAD'!$A$3:$Q$450,17,FALSE)),""),"")</f>
        <v>1</v>
      </c>
      <c r="N6" s="186">
        <v>1</v>
      </c>
      <c r="O6" s="188">
        <v>0.25</v>
      </c>
      <c r="P6" s="188">
        <v>0.25</v>
      </c>
      <c r="Q6" s="189">
        <f t="shared" ref="Q6:Q20" si="0">IFERROR(SUM(J6:P6),"")</f>
        <v>74.880245121130599</v>
      </c>
      <c r="R6" s="190"/>
      <c r="S6" s="190"/>
      <c r="T6" s="191">
        <f t="shared" ref="T6:T20" si="1">IFERROR(SUM(Q6,-R6,-S6),"")</f>
        <v>74.880245121130599</v>
      </c>
      <c r="U6" s="98"/>
      <c r="V6" s="99" t="str">
        <f>IFERROR(IF(B6&lt;&gt;"",IF(VLOOKUP(A6,'DESEMPATE Y DISCAPACIDAD'!$A$3:$Q$96,7,FALSE)="","",VLOOKUP(A6,'DESEMPATE Y DISCAPACIDAD'!$A$3:$Q$96,7,FALSE)),""),"")</f>
        <v>NO ACREDITA</v>
      </c>
      <c r="W6" s="100"/>
      <c r="X6" s="100" t="str">
        <f>IFERROR(IF(B6&lt;&gt;"",IF(VLOOKUP(A6,'DESEMPATE Y DISCAPACIDAD'!$A$3:$Q$96,14,FALSE)="","",VLOOKUP(A6,'DESEMPATE Y DISCAPACIDAD'!$A$3:$Q$96,14,FALSE)),""),"")</f>
        <v/>
      </c>
      <c r="Y6" s="100"/>
      <c r="Z6" s="100"/>
      <c r="AA6" s="100"/>
      <c r="AB6" s="100"/>
      <c r="AC6" s="100"/>
      <c r="AD6" s="100"/>
      <c r="AE6" s="100"/>
      <c r="AF6" s="101"/>
      <c r="AG6" s="98"/>
      <c r="AH6" s="175"/>
    </row>
    <row r="7" spans="1:35" ht="28.25" customHeight="1" thickBot="1">
      <c r="A7" s="154" t="s">
        <v>123</v>
      </c>
      <c r="B7" s="155" t="str">
        <f>IFERROR(INDEX('DESEMPATE Y DISCAPACIDAD'!$B$3:$B$450,MATCH(CONSOLIDADO!A7,'DESEMPATE Y DISCAPACIDAD'!$A$3:$A$450,0)),"")</f>
        <v>CONSORCIO INTER CONCESIÓN POPAYAN.</v>
      </c>
      <c r="C7" s="125" t="s">
        <v>77</v>
      </c>
      <c r="D7" s="125" t="s">
        <v>77</v>
      </c>
      <c r="E7" s="125" t="s">
        <v>77</v>
      </c>
      <c r="F7" s="125" t="str">
        <f>IFERROR(IF(B7&lt;&gt;"",IF(VLOOKUP("A"&amp;A7,'EXPERIENCIA '!$A$1:$AT$672,38,FALSE)="","",VLOOKUP("A"&amp;A7,'EXPERIENCIA '!$A$1:$AT$672,38,FALSE)),""),"")</f>
        <v>HÁBIL</v>
      </c>
      <c r="G7" s="125" t="s">
        <v>77</v>
      </c>
      <c r="H7" s="125" t="s">
        <v>77</v>
      </c>
      <c r="I7" s="125" t="str">
        <f t="shared" ref="I7:I60" si="2">IFERROR(IF(COUNTIF(C7:H7,"RECHAZADO")&gt;0,"RECHAZADO",IF(COUNTIF(C7:H7,"NO HÁBIL")&gt;0,"NO HÁBIL",IF(COUNTIF(C7:H7,"PENDIENTE")&gt;0,"PENDIENTE",IF(AND(C7="HÁBIL",D7="HÁBIL",E7="HÁBIL",F7="HÁBIL",G7="HÁBIL",H7="HÁBIL"),"HÁBIL","")))),"")</f>
        <v>HÁBIL</v>
      </c>
      <c r="J7" s="192">
        <f>IFERROR(IF(B7&lt;&gt;"",IF(VLOOKUP(A7,'PONDERACIÓN '!$B$33:$J$99,9,FALSE)="","",VLOOKUP(A7,'PONDERACIÓN '!$B$33:$J$99,9,FALSE)),""),"")</f>
        <v>59.751117171389659</v>
      </c>
      <c r="K7" s="186">
        <v>10</v>
      </c>
      <c r="L7" s="186">
        <v>10</v>
      </c>
      <c r="M7" s="186">
        <f>IFERROR(IF(B7&lt;&gt;"",IF(VLOOKUP(A7,'DESEMPATE Y DISCAPACIDAD'!$A$3:$Q$450,17,FALSE)="","",VLOOKUP(A7,'DESEMPATE Y DISCAPACIDAD'!$A$3:$Q$450,17,FALSE)),""),"")</f>
        <v>1</v>
      </c>
      <c r="N7" s="186">
        <v>1</v>
      </c>
      <c r="O7" s="188">
        <v>0.25</v>
      </c>
      <c r="P7" s="188">
        <v>0.25</v>
      </c>
      <c r="Q7" s="192">
        <f t="shared" si="0"/>
        <v>82.251117171389666</v>
      </c>
      <c r="R7" s="193"/>
      <c r="S7" s="193"/>
      <c r="T7" s="194">
        <f t="shared" si="1"/>
        <v>82.251117171389666</v>
      </c>
      <c r="U7" s="56"/>
      <c r="V7" s="40" t="str">
        <f>IFERROR(IF(B7&lt;&gt;"",IF(VLOOKUP(A7,'DESEMPATE Y DISCAPACIDAD'!$A$3:$Q$96,7,FALSE)="","",VLOOKUP(A7,'DESEMPATE Y DISCAPACIDAD'!$A$3:$Q$96,7,FALSE)),""),"")</f>
        <v>ACREDITA</v>
      </c>
      <c r="W7" s="5"/>
      <c r="X7" s="5" t="str">
        <f>IFERROR(IF(B7&lt;&gt;"",IF(VLOOKUP(A7,'DESEMPATE Y DISCAPACIDAD'!$A$3:$Q$96,14,FALSE)="","",VLOOKUP(A7,'DESEMPATE Y DISCAPACIDAD'!$A$3:$Q$96,14,FALSE)),""),"")</f>
        <v/>
      </c>
      <c r="Y7" s="5"/>
      <c r="Z7" s="5"/>
      <c r="AA7" s="5"/>
      <c r="AB7" s="5"/>
      <c r="AC7" s="5"/>
      <c r="AD7" s="5"/>
      <c r="AE7" s="5"/>
      <c r="AF7" s="44"/>
      <c r="AG7" s="56"/>
      <c r="AH7" s="70"/>
    </row>
    <row r="8" spans="1:35" ht="28.25" customHeight="1" thickBot="1">
      <c r="A8" s="154" t="s">
        <v>124</v>
      </c>
      <c r="B8" s="155" t="str">
        <f>IFERROR(INDEX('DESEMPATE Y DISCAPACIDAD'!$B$3:$B$450,MATCH(CONSOLIDADO!A8,'DESEMPATE Y DISCAPACIDAD'!$A$3:$A$450,0)),"")</f>
        <v>CONSORCIO AC EL ESTANQUILLO</v>
      </c>
      <c r="C8" s="125" t="s">
        <v>77</v>
      </c>
      <c r="D8" s="125" t="s">
        <v>77</v>
      </c>
      <c r="E8" s="125" t="s">
        <v>77</v>
      </c>
      <c r="F8" s="125" t="str">
        <f>IFERROR(IF(B8&lt;&gt;"",IF(VLOOKUP("A"&amp;A8,'EXPERIENCIA '!$A$1:$AT$672,38,FALSE)="","",VLOOKUP("A"&amp;A8,'EXPERIENCIA '!$A$1:$AT$672,38,FALSE)),""),"")</f>
        <v>HÁBIL</v>
      </c>
      <c r="G8" s="125" t="s">
        <v>77</v>
      </c>
      <c r="H8" s="125" t="s">
        <v>77</v>
      </c>
      <c r="I8" s="125" t="str">
        <f t="shared" si="2"/>
        <v>HÁBIL</v>
      </c>
      <c r="J8" s="192">
        <f>IFERROR(IF(B8&lt;&gt;"",IF(VLOOKUP(A8,'PONDERACIÓN '!$B$33:$J$99,9,FALSE)="","",VLOOKUP(A8,'PONDERACIÓN '!$B$33:$J$99,9,FALSE)),""),"")</f>
        <v>72.543788645885201</v>
      </c>
      <c r="K8" s="186">
        <v>10</v>
      </c>
      <c r="L8" s="186">
        <v>10</v>
      </c>
      <c r="M8" s="186">
        <f>IFERROR(IF(B8&lt;&gt;"",IF(VLOOKUP(A8,'DESEMPATE Y DISCAPACIDAD'!$A$3:$Q$450,17,FALSE)="","",VLOOKUP(A8,'DESEMPATE Y DISCAPACIDAD'!$A$3:$Q$450,17,FALSE)),""),"")</f>
        <v>1</v>
      </c>
      <c r="N8" s="186">
        <v>1</v>
      </c>
      <c r="O8" s="188">
        <v>0.25</v>
      </c>
      <c r="P8" s="188">
        <v>0.25</v>
      </c>
      <c r="Q8" s="192">
        <f t="shared" si="0"/>
        <v>95.043788645885201</v>
      </c>
      <c r="R8" s="193"/>
      <c r="S8" s="193"/>
      <c r="T8" s="194">
        <f t="shared" si="1"/>
        <v>95.043788645885201</v>
      </c>
      <c r="U8" s="56"/>
      <c r="V8" s="40" t="str">
        <f>IFERROR(IF(B8&lt;&gt;"",IF(VLOOKUP(A8,'DESEMPATE Y DISCAPACIDAD'!$A$3:$Q$96,7,FALSE)="","",VLOOKUP(A8,'DESEMPATE Y DISCAPACIDAD'!$A$3:$Q$96,7,FALSE)),""),"")</f>
        <v>ACREDITA</v>
      </c>
      <c r="W8" s="5"/>
      <c r="X8" s="5" t="str">
        <f>IFERROR(IF(B8&lt;&gt;"",IF(VLOOKUP(A8,'DESEMPATE Y DISCAPACIDAD'!$A$3:$Q$96,14,FALSE)="","",VLOOKUP(A8,'DESEMPATE Y DISCAPACIDAD'!$A$3:$Q$96,14,FALSE)),""),"")</f>
        <v/>
      </c>
      <c r="Y8" s="5"/>
      <c r="Z8" s="5"/>
      <c r="AA8" s="5"/>
      <c r="AB8" s="5"/>
      <c r="AC8" s="5"/>
      <c r="AD8" s="5"/>
      <c r="AE8" s="5"/>
      <c r="AF8" s="44"/>
      <c r="AG8" s="56"/>
      <c r="AH8" s="70"/>
    </row>
    <row r="9" spans="1:35" ht="28.25" customHeight="1" thickBot="1">
      <c r="A9" s="154" t="s">
        <v>125</v>
      </c>
      <c r="B9" s="155" t="str">
        <f>IFERROR(INDEX('DESEMPATE Y DISCAPACIDAD'!$B$3:$B$450,MATCH(CONSOLIDADO!A9,'DESEMPATE Y DISCAPACIDAD'!$A$3:$A$450,0)),"")</f>
        <v>CONSORCIO INTERVIAL SUR</v>
      </c>
      <c r="C9" s="125" t="s">
        <v>77</v>
      </c>
      <c r="D9" s="125" t="s">
        <v>77</v>
      </c>
      <c r="E9" s="125" t="s">
        <v>77</v>
      </c>
      <c r="F9" s="125" t="str">
        <f>IFERROR(IF(B9&lt;&gt;"",IF(VLOOKUP("A"&amp;A9,'EXPERIENCIA '!$A$1:$AT$672,38,FALSE)="","",VLOOKUP("A"&amp;A9,'EXPERIENCIA '!$A$1:$AT$672,38,FALSE)),""),"")</f>
        <v>HÁBIL</v>
      </c>
      <c r="G9" s="125" t="s">
        <v>77</v>
      </c>
      <c r="H9" s="125" t="s">
        <v>77</v>
      </c>
      <c r="I9" s="125" t="str">
        <f t="shared" si="2"/>
        <v>HÁBIL</v>
      </c>
      <c r="J9" s="192">
        <f>IFERROR(IF(B9&lt;&gt;"",IF(VLOOKUP(A9,'PONDERACIÓN '!$B$33:$J$99,9,FALSE)="","",VLOOKUP(A9,'PONDERACIÓN '!$B$33:$J$99,9,FALSE)),""),"")</f>
        <v>43.027901417191032</v>
      </c>
      <c r="K9" s="186">
        <v>10</v>
      </c>
      <c r="L9" s="186">
        <v>10</v>
      </c>
      <c r="M9" s="186">
        <f>IFERROR(IF(B9&lt;&gt;"",IF(VLOOKUP(A9,'DESEMPATE Y DISCAPACIDAD'!$A$3:$Q$450,17,FALSE)="","",VLOOKUP(A9,'DESEMPATE Y DISCAPACIDAD'!$A$3:$Q$450,17,FALSE)),""),"")</f>
        <v>1</v>
      </c>
      <c r="N9" s="186">
        <v>1</v>
      </c>
      <c r="O9" s="188">
        <v>0.25</v>
      </c>
      <c r="P9" s="188">
        <v>0.25</v>
      </c>
      <c r="Q9" s="192">
        <f t="shared" si="0"/>
        <v>65.527901417191032</v>
      </c>
      <c r="R9" s="193"/>
      <c r="S9" s="193"/>
      <c r="T9" s="194">
        <f t="shared" si="1"/>
        <v>65.527901417191032</v>
      </c>
      <c r="U9" s="56"/>
      <c r="V9" s="40" t="str">
        <f>IFERROR(IF(B9&lt;&gt;"",IF(VLOOKUP(A9,'DESEMPATE Y DISCAPACIDAD'!$A$3:$Q$96,7,FALSE)="","",VLOOKUP(A9,'DESEMPATE Y DISCAPACIDAD'!$A$3:$Q$96,7,FALSE)),""),"")</f>
        <v>NO ACREDITA</v>
      </c>
      <c r="W9" s="5"/>
      <c r="X9" s="5" t="str">
        <f>IFERROR(IF(B9&lt;&gt;"",IF(VLOOKUP(A9,'DESEMPATE Y DISCAPACIDAD'!$A$3:$Q$96,14,FALSE)="","",VLOOKUP(A9,'DESEMPATE Y DISCAPACIDAD'!$A$3:$Q$96,14,FALSE)),""),"")</f>
        <v/>
      </c>
      <c r="Y9" s="5"/>
      <c r="Z9" s="5"/>
      <c r="AA9" s="5"/>
      <c r="AB9" s="5"/>
      <c r="AC9" s="5"/>
      <c r="AD9" s="5"/>
      <c r="AE9" s="5"/>
      <c r="AF9" s="44"/>
      <c r="AG9" s="56"/>
      <c r="AH9" s="70"/>
    </row>
    <row r="10" spans="1:35" ht="28.25" customHeight="1" thickBot="1">
      <c r="A10" s="154" t="s">
        <v>126</v>
      </c>
      <c r="B10" s="155" t="str">
        <f>IFERROR(INDEX('DESEMPATE Y DISCAPACIDAD'!$B$3:$B$450,MATCH(CONSOLIDADO!A10,'DESEMPATE Y DISCAPACIDAD'!$A$3:$A$450,0)),"")</f>
        <v>CONSORCIO CTE – ING APP CAUCA</v>
      </c>
      <c r="C10" s="125" t="s">
        <v>77</v>
      </c>
      <c r="D10" s="125" t="s">
        <v>77</v>
      </c>
      <c r="E10" s="125" t="s">
        <v>77</v>
      </c>
      <c r="F10" s="125" t="str">
        <f>IFERROR(IF(B10&lt;&gt;"",IF(VLOOKUP("A"&amp;A10,'EXPERIENCIA '!$A$1:$AT$672,38,FALSE)="","",VLOOKUP("A"&amp;A10,'EXPERIENCIA '!$A$1:$AT$672,38,FALSE)),""),"")</f>
        <v>HÁBIL</v>
      </c>
      <c r="G10" s="125" t="s">
        <v>77</v>
      </c>
      <c r="H10" s="125" t="s">
        <v>77</v>
      </c>
      <c r="I10" s="125" t="str">
        <f t="shared" si="2"/>
        <v>HÁBIL</v>
      </c>
      <c r="J10" s="192">
        <f>IFERROR(IF(B10&lt;&gt;"",IF(VLOOKUP(A10,'PONDERACIÓN '!$B$33:$J$99,9,FALSE)="","",VLOOKUP(A10,'PONDERACIÓN '!$B$33:$J$99,9,FALSE)),""),"")</f>
        <v>64.07905665847116</v>
      </c>
      <c r="K10" s="186">
        <v>10</v>
      </c>
      <c r="L10" s="125">
        <v>10</v>
      </c>
      <c r="M10" s="186">
        <f>IFERROR(IF(B10&lt;&gt;"",IF(VLOOKUP(A10,'DESEMPATE Y DISCAPACIDAD'!$A$3:$Q$450,17,FALSE)="","",VLOOKUP(A10,'DESEMPATE Y DISCAPACIDAD'!$A$3:$Q$450,17,FALSE)),""),"")</f>
        <v>1</v>
      </c>
      <c r="N10" s="186">
        <v>1</v>
      </c>
      <c r="O10" s="188">
        <v>0.25</v>
      </c>
      <c r="P10" s="188">
        <v>0.25</v>
      </c>
      <c r="Q10" s="192">
        <f t="shared" si="0"/>
        <v>86.57905665847116</v>
      </c>
      <c r="R10" s="193"/>
      <c r="S10" s="193"/>
      <c r="T10" s="194">
        <f t="shared" si="1"/>
        <v>86.57905665847116</v>
      </c>
      <c r="U10" s="56"/>
      <c r="V10" s="40" t="str">
        <f>IFERROR(IF(B10&lt;&gt;"",IF(VLOOKUP(A10,'DESEMPATE Y DISCAPACIDAD'!$A$3:$Q$96,7,FALSE)="","",VLOOKUP(A10,'DESEMPATE Y DISCAPACIDAD'!$A$3:$Q$96,7,FALSE)),""),"")</f>
        <v>ACREDITA</v>
      </c>
      <c r="W10" s="5"/>
      <c r="X10" s="5" t="str">
        <f>IFERROR(IF(B10&lt;&gt;"",IF(VLOOKUP(A10,'DESEMPATE Y DISCAPACIDAD'!$A$3:$Q$96,14,FALSE)="","",VLOOKUP(A10,'DESEMPATE Y DISCAPACIDAD'!$A$3:$Q$96,14,FALSE)),""),"")</f>
        <v/>
      </c>
      <c r="Y10" s="5"/>
      <c r="Z10" s="5"/>
      <c r="AA10" s="5"/>
      <c r="AB10" s="5"/>
      <c r="AC10" s="5"/>
      <c r="AD10" s="5"/>
      <c r="AE10" s="5"/>
      <c r="AF10" s="44"/>
      <c r="AG10" s="56"/>
      <c r="AH10" s="70"/>
    </row>
    <row r="11" spans="1:35" ht="28.25" customHeight="1" thickBot="1">
      <c r="A11" s="395" t="s">
        <v>127</v>
      </c>
      <c r="B11" s="396" t="str">
        <f>IFERROR(INDEX('DESEMPATE Y DISCAPACIDAD'!$B$3:$B$450,MATCH(CONSOLIDADO!A11,'DESEMPATE Y DISCAPACIDAD'!$A$3:$A$450,0)),"")</f>
        <v>CONSORCIO CORREDOR EL ESTANQUILLO ITLSC</v>
      </c>
      <c r="C11" s="397" t="s">
        <v>80</v>
      </c>
      <c r="D11" s="397" t="s">
        <v>77</v>
      </c>
      <c r="E11" s="397" t="s">
        <v>77</v>
      </c>
      <c r="F11" s="397" t="str">
        <f>IFERROR(IF(B11&lt;&gt;"",IF(VLOOKUP("A"&amp;A11,'EXPERIENCIA '!$A$1:$AT$672,38,FALSE)="","",VLOOKUP("A"&amp;A11,'EXPERIENCIA '!$A$1:$AT$672,38,FALSE)),""),"")</f>
        <v>HÁBIL</v>
      </c>
      <c r="G11" s="397" t="s">
        <v>77</v>
      </c>
      <c r="H11" s="397" t="s">
        <v>77</v>
      </c>
      <c r="I11" s="397" t="str">
        <f t="shared" si="2"/>
        <v>RECHAZADO</v>
      </c>
      <c r="J11" s="398">
        <f>IFERROR(IF(B11&lt;&gt;"",IF(VLOOKUP(A11,'PONDERACIÓN '!$B$33:$J$99,9,FALSE)="","",VLOOKUP(A11,'PONDERACIÓN '!$B$33:$J$99,9,FALSE)),""),"")</f>
        <v>0</v>
      </c>
      <c r="K11" s="399"/>
      <c r="L11" s="399"/>
      <c r="M11" s="399"/>
      <c r="N11" s="399"/>
      <c r="O11" s="400"/>
      <c r="P11" s="400"/>
      <c r="Q11" s="398">
        <f t="shared" si="0"/>
        <v>0</v>
      </c>
      <c r="R11" s="401"/>
      <c r="S11" s="401"/>
      <c r="T11" s="402">
        <f t="shared" si="1"/>
        <v>0</v>
      </c>
      <c r="U11" s="56"/>
      <c r="V11" s="40" t="str">
        <f>IFERROR(IF(B11&lt;&gt;"",IF(VLOOKUP(A11,'DESEMPATE Y DISCAPACIDAD'!$A$3:$Q$96,7,FALSE)="","",VLOOKUP(A11,'DESEMPATE Y DISCAPACIDAD'!$A$3:$Q$96,7,FALSE)),""),"")</f>
        <v>ACREDITA</v>
      </c>
      <c r="W11" s="5"/>
      <c r="X11" s="5" t="str">
        <f>IFERROR(IF(B11&lt;&gt;"",IF(VLOOKUP(A11,'DESEMPATE Y DISCAPACIDAD'!$A$3:$Q$96,14,FALSE)="","",VLOOKUP(A11,'DESEMPATE Y DISCAPACIDAD'!$A$3:$Q$96,14,FALSE)),""),"")</f>
        <v/>
      </c>
      <c r="Y11" s="5"/>
      <c r="Z11" s="5"/>
      <c r="AA11" s="5"/>
      <c r="AB11" s="5"/>
      <c r="AC11" s="5"/>
      <c r="AD11" s="5"/>
      <c r="AE11" s="5"/>
      <c r="AF11" s="44"/>
      <c r="AG11" s="56"/>
      <c r="AH11" s="105"/>
    </row>
    <row r="12" spans="1:35" ht="28.25" customHeight="1" thickBot="1">
      <c r="A12" s="154" t="s">
        <v>128</v>
      </c>
      <c r="B12" s="155" t="str">
        <f>IFERROR(INDEX('DESEMPATE Y DISCAPACIDAD'!$B$3:$B$450,MATCH(CONSOLIDADO!A12,'DESEMPATE Y DISCAPACIDAD'!$A$3:$A$450,0)),"")</f>
        <v>CONSORCIO INTERAPP POPAYÁN.</v>
      </c>
      <c r="C12" s="125" t="s">
        <v>77</v>
      </c>
      <c r="D12" s="125" t="s">
        <v>77</v>
      </c>
      <c r="E12" s="125" t="s">
        <v>77</v>
      </c>
      <c r="F12" s="125" t="str">
        <f>IFERROR(IF(B12&lt;&gt;"",IF(VLOOKUP("A"&amp;A12,'EXPERIENCIA '!$A$1:$AT$672,38,FALSE)="","",VLOOKUP("A"&amp;A12,'EXPERIENCIA '!$A$1:$AT$672,38,FALSE)),""),"")</f>
        <v>HÁBIL</v>
      </c>
      <c r="G12" s="125" t="s">
        <v>77</v>
      </c>
      <c r="H12" s="125" t="s">
        <v>77</v>
      </c>
      <c r="I12" s="125" t="str">
        <f t="shared" si="2"/>
        <v>HÁBIL</v>
      </c>
      <c r="J12" s="192">
        <f>IFERROR(IF(B12&lt;&gt;"",IF(VLOOKUP(A12,'PONDERACIÓN '!$B$33:$J$99,9,FALSE)="","",VLOOKUP(A12,'PONDERACIÓN '!$B$33:$J$99,9,FALSE)),""),"")</f>
        <v>54.022660300334181</v>
      </c>
      <c r="K12" s="186">
        <v>10</v>
      </c>
      <c r="L12" s="125">
        <v>10</v>
      </c>
      <c r="M12" s="186">
        <f>IFERROR(IF(B12&lt;&gt;"",IF(VLOOKUP(A12,'DESEMPATE Y DISCAPACIDAD'!$A$3:$Q$450,17,FALSE)="","",VLOOKUP(A12,'DESEMPATE Y DISCAPACIDAD'!$A$3:$Q$450,17,FALSE)),""),"")</f>
        <v>1</v>
      </c>
      <c r="N12" s="186">
        <v>1</v>
      </c>
      <c r="O12" s="188">
        <v>0.25</v>
      </c>
      <c r="P12" s="188">
        <v>0.25</v>
      </c>
      <c r="Q12" s="192">
        <f t="shared" si="0"/>
        <v>76.522660300334181</v>
      </c>
      <c r="R12" s="193"/>
      <c r="S12" s="193"/>
      <c r="T12" s="194">
        <f t="shared" si="1"/>
        <v>76.522660300334181</v>
      </c>
      <c r="U12" s="56"/>
      <c r="V12" s="40" t="str">
        <f>IFERROR(IF(B12&lt;&gt;"",IF(VLOOKUP(A12,'DESEMPATE Y DISCAPACIDAD'!$A$3:$Q$96,7,FALSE)="","",VLOOKUP(A12,'DESEMPATE Y DISCAPACIDAD'!$A$3:$Q$96,7,FALSE)),""),"")</f>
        <v>ACREDITA</v>
      </c>
      <c r="W12" s="5"/>
      <c r="X12" s="5" t="str">
        <f>IFERROR(IF(B12&lt;&gt;"",IF(VLOOKUP(A12,'DESEMPATE Y DISCAPACIDAD'!$A$3:$Q$96,14,FALSE)="","",VLOOKUP(A12,'DESEMPATE Y DISCAPACIDAD'!$A$3:$Q$96,14,FALSE)),""),"")</f>
        <v/>
      </c>
      <c r="Y12" s="5"/>
      <c r="Z12" s="5"/>
      <c r="AA12" s="5"/>
      <c r="AB12" s="5"/>
      <c r="AC12" s="5"/>
      <c r="AD12" s="5"/>
      <c r="AE12" s="5"/>
      <c r="AF12" s="44"/>
      <c r="AG12" s="56"/>
      <c r="AH12" s="70"/>
      <c r="AI12" s="185"/>
    </row>
    <row r="13" spans="1:35" ht="28.25" customHeight="1" thickBot="1">
      <c r="A13" s="395" t="s">
        <v>129</v>
      </c>
      <c r="B13" s="396" t="str">
        <f>IFERROR(INDEX('DESEMPATE Y DISCAPACIDAD'!$B$3:$B$450,MATCH(CONSOLIDADO!A13,'DESEMPATE Y DISCAPACIDAD'!$A$3:$A$450,0)),"")</f>
        <v>CONSORCIO INTERVENTOR DE OCCIDENTE</v>
      </c>
      <c r="C13" s="397" t="s">
        <v>77</v>
      </c>
      <c r="D13" s="397" t="s">
        <v>80</v>
      </c>
      <c r="E13" s="397" t="s">
        <v>77</v>
      </c>
      <c r="F13" s="397" t="str">
        <f>IFERROR(IF(B13&lt;&gt;"",IF(VLOOKUP("A"&amp;A13,'EXPERIENCIA '!$A$1:$AT$672,38,FALSE)="","",VLOOKUP("A"&amp;A13,'EXPERIENCIA '!$A$1:$AT$672,38,FALSE)),""),"")</f>
        <v>HÁBIL</v>
      </c>
      <c r="G13" s="397" t="s">
        <v>77</v>
      </c>
      <c r="H13" s="397" t="s">
        <v>77</v>
      </c>
      <c r="I13" s="397" t="str">
        <f t="shared" si="2"/>
        <v>RECHAZADO</v>
      </c>
      <c r="J13" s="398">
        <f>IFERROR(IF(B13&lt;&gt;"",IF(VLOOKUP(A13,'PONDERACIÓN '!$B$33:$J$99,9,FALSE)="","",VLOOKUP(A13,'PONDERACIÓN '!$B$33:$J$99,9,FALSE)),""),"")</f>
        <v>0</v>
      </c>
      <c r="K13" s="399"/>
      <c r="L13" s="399"/>
      <c r="M13" s="399"/>
      <c r="N13" s="399"/>
      <c r="O13" s="400"/>
      <c r="P13" s="400"/>
      <c r="Q13" s="398">
        <f t="shared" si="0"/>
        <v>0</v>
      </c>
      <c r="R13" s="401"/>
      <c r="S13" s="401"/>
      <c r="T13" s="402">
        <f t="shared" si="1"/>
        <v>0</v>
      </c>
      <c r="U13" s="56"/>
      <c r="V13" s="40" t="str">
        <f>IFERROR(IF(B13&lt;&gt;"",IF(VLOOKUP(A13,'DESEMPATE Y DISCAPACIDAD'!$A$3:$Q$96,7,FALSE)="","",VLOOKUP(A13,'DESEMPATE Y DISCAPACIDAD'!$A$3:$Q$96,7,FALSE)),""),"")</f>
        <v>ACREDITA</v>
      </c>
      <c r="W13" s="5"/>
      <c r="X13" s="5" t="str">
        <f>IFERROR(IF(B13&lt;&gt;"",IF(VLOOKUP(A13,'DESEMPATE Y DISCAPACIDAD'!$A$3:$Q$96,14,FALSE)="","",VLOOKUP(A13,'DESEMPATE Y DISCAPACIDAD'!$A$3:$Q$96,14,FALSE)),""),"")</f>
        <v/>
      </c>
      <c r="Y13" s="5"/>
      <c r="Z13" s="5"/>
      <c r="AA13" s="5"/>
      <c r="AB13" s="5"/>
      <c r="AC13" s="5"/>
      <c r="AD13" s="5"/>
      <c r="AE13" s="5"/>
      <c r="AF13" s="44"/>
      <c r="AG13" s="56"/>
      <c r="AH13" s="87"/>
    </row>
    <row r="14" spans="1:35" ht="28.25" customHeight="1" thickBot="1">
      <c r="A14" s="154" t="s">
        <v>130</v>
      </c>
      <c r="B14" s="155" t="str">
        <f>IFERROR(INDEX('DESEMPATE Y DISCAPACIDAD'!$B$3:$B$450,MATCH(CONSOLIDADO!A14,'DESEMPATE Y DISCAPACIDAD'!$A$3:$A$450,0)),"")</f>
        <v>CONSORCIO ALIANZA PACIFICO</v>
      </c>
      <c r="C14" s="125" t="s">
        <v>77</v>
      </c>
      <c r="D14" s="125" t="s">
        <v>77</v>
      </c>
      <c r="E14" s="125" t="s">
        <v>77</v>
      </c>
      <c r="F14" s="125" t="str">
        <f>IFERROR(IF(B14&lt;&gt;"",IF(VLOOKUP("A"&amp;A14,'EXPERIENCIA '!$A$1:$AT$672,38,FALSE)="","",VLOOKUP("A"&amp;A14,'EXPERIENCIA '!$A$1:$AT$672,38,FALSE)),""),"")</f>
        <v>HÁBIL</v>
      </c>
      <c r="G14" s="125" t="s">
        <v>77</v>
      </c>
      <c r="H14" s="125" t="s">
        <v>77</v>
      </c>
      <c r="I14" s="125" t="str">
        <f t="shared" si="2"/>
        <v>HÁBIL</v>
      </c>
      <c r="J14" s="192">
        <f>IFERROR(IF(B14&lt;&gt;"",IF(VLOOKUP(A14,'PONDERACIÓN '!$B$33:$J$99,9,FALSE)="","",VLOOKUP(A14,'PONDERACIÓN '!$B$33:$J$99,9,FALSE)),""),"")</f>
        <v>50.699000139138242</v>
      </c>
      <c r="K14" s="186">
        <v>10</v>
      </c>
      <c r="L14" s="125">
        <v>10</v>
      </c>
      <c r="M14" s="186">
        <f>IFERROR(IF(B14&lt;&gt;"",IF(VLOOKUP(A14,'DESEMPATE Y DISCAPACIDAD'!$A$3:$Q$450,17,FALSE)="","",VLOOKUP(A14,'DESEMPATE Y DISCAPACIDAD'!$A$3:$Q$450,17,FALSE)),""),"")</f>
        <v>1</v>
      </c>
      <c r="N14" s="125">
        <v>1</v>
      </c>
      <c r="O14" s="188">
        <v>0.25</v>
      </c>
      <c r="P14" s="230">
        <v>0.25</v>
      </c>
      <c r="Q14" s="192">
        <f t="shared" si="0"/>
        <v>73.199000139138235</v>
      </c>
      <c r="R14" s="193"/>
      <c r="S14" s="193"/>
      <c r="T14" s="194">
        <f t="shared" si="1"/>
        <v>73.199000139138235</v>
      </c>
      <c r="U14" s="56"/>
      <c r="V14" s="40" t="str">
        <f>IFERROR(IF(B14&lt;&gt;"",IF(VLOOKUP(A14,'DESEMPATE Y DISCAPACIDAD'!$A$3:$Q$96,7,FALSE)="","",VLOOKUP(A14,'DESEMPATE Y DISCAPACIDAD'!$A$3:$Q$96,7,FALSE)),""),"")</f>
        <v>ACREDITA</v>
      </c>
      <c r="W14" s="5"/>
      <c r="X14" s="5" t="str">
        <f>IFERROR(IF(B14&lt;&gt;"",IF(VLOOKUP(A14,'DESEMPATE Y DISCAPACIDAD'!$A$3:$Q$96,14,FALSE)="","",VLOOKUP(A14,'DESEMPATE Y DISCAPACIDAD'!$A$3:$Q$96,14,FALSE)),""),"")</f>
        <v/>
      </c>
      <c r="Y14" s="5"/>
      <c r="Z14" s="5"/>
      <c r="AA14" s="5"/>
      <c r="AB14" s="5"/>
      <c r="AC14" s="5"/>
      <c r="AD14" s="5"/>
      <c r="AE14" s="5"/>
      <c r="AF14" s="44"/>
      <c r="AG14" s="56"/>
      <c r="AH14" s="70" t="s">
        <v>1354</v>
      </c>
    </row>
    <row r="15" spans="1:35" ht="28.25" customHeight="1" thickBot="1">
      <c r="A15" s="154" t="s">
        <v>131</v>
      </c>
      <c r="B15" s="155" t="str">
        <f>IFERROR(INDEX('DESEMPATE Y DISCAPACIDAD'!$B$3:$B$450,MATCH(CONSOLIDADO!A15,'DESEMPATE Y DISCAPACIDAD'!$A$3:$A$450,0)),"")</f>
        <v>CONSORCIO EPSILON CAUCA</v>
      </c>
      <c r="C15" s="125" t="s">
        <v>77</v>
      </c>
      <c r="D15" s="125" t="s">
        <v>77</v>
      </c>
      <c r="E15" s="125" t="s">
        <v>77</v>
      </c>
      <c r="F15" s="125" t="str">
        <f>IFERROR(IF(B15&lt;&gt;"",IF(VLOOKUP("A"&amp;A15,'EXPERIENCIA '!$A$1:$AT$672,38,FALSE)="","",VLOOKUP("A"&amp;A15,'EXPERIENCIA '!$A$1:$AT$672,38,FALSE)),""),"")</f>
        <v>HÁBIL</v>
      </c>
      <c r="G15" s="125" t="s">
        <v>77</v>
      </c>
      <c r="H15" s="125" t="s">
        <v>77</v>
      </c>
      <c r="I15" s="125" t="str">
        <f t="shared" si="2"/>
        <v>HÁBIL</v>
      </c>
      <c r="J15" s="192">
        <f>IFERROR(IF(B15&lt;&gt;"",IF(VLOOKUP(A15,'PONDERACIÓN '!$B$33:$J$99,9,FALSE)="","",VLOOKUP(A15,'PONDERACIÓN '!$B$33:$J$99,9,FALSE)),""),"")</f>
        <v>56.212063885036777</v>
      </c>
      <c r="K15" s="186">
        <v>10</v>
      </c>
      <c r="L15" s="125">
        <v>10</v>
      </c>
      <c r="M15" s="186">
        <f>IFERROR(IF(B15&lt;&gt;"",IF(VLOOKUP(A15,'DESEMPATE Y DISCAPACIDAD'!$A$3:$Q$450,17,FALSE)="","",VLOOKUP(A15,'DESEMPATE Y DISCAPACIDAD'!$A$3:$Q$450,17,FALSE)),""),"")</f>
        <v>1</v>
      </c>
      <c r="N15" s="125">
        <v>1</v>
      </c>
      <c r="O15" s="188">
        <v>0.25</v>
      </c>
      <c r="P15" s="188">
        <v>0.25</v>
      </c>
      <c r="Q15" s="192">
        <f t="shared" si="0"/>
        <v>78.71206388503677</v>
      </c>
      <c r="R15" s="193"/>
      <c r="S15" s="193"/>
      <c r="T15" s="194">
        <f t="shared" si="1"/>
        <v>78.71206388503677</v>
      </c>
      <c r="U15" s="56"/>
      <c r="V15" s="40" t="str">
        <f>IFERROR(IF(B15&lt;&gt;"",IF(VLOOKUP(A15,'DESEMPATE Y DISCAPACIDAD'!$A$3:$Q$96,7,FALSE)="","",VLOOKUP(A15,'DESEMPATE Y DISCAPACIDAD'!$A$3:$Q$96,7,FALSE)),""),"")</f>
        <v>ACREDITA</v>
      </c>
      <c r="W15" s="5"/>
      <c r="X15" s="5" t="str">
        <f>IFERROR(IF(B15&lt;&gt;"",IF(VLOOKUP(A15,'DESEMPATE Y DISCAPACIDAD'!$A$3:$Q$96,14,FALSE)="","",VLOOKUP(A15,'DESEMPATE Y DISCAPACIDAD'!$A$3:$Q$96,14,FALSE)),""),"")</f>
        <v/>
      </c>
      <c r="Y15" s="5"/>
      <c r="Z15" s="5"/>
      <c r="AA15" s="5"/>
      <c r="AB15" s="5"/>
      <c r="AC15" s="5"/>
      <c r="AD15" s="5"/>
      <c r="AE15" s="5"/>
      <c r="AF15" s="44"/>
      <c r="AG15" s="56"/>
      <c r="AH15" s="70"/>
    </row>
    <row r="16" spans="1:35" ht="28" customHeight="1" thickBot="1">
      <c r="A16" s="213" t="s">
        <v>132</v>
      </c>
      <c r="B16" s="225" t="str">
        <f>IFERROR(INDEX('DESEMPATE Y DISCAPACIDAD'!$B$3:$B$450,MATCH(CONSOLIDADO!A16,'DESEMPATE Y DISCAPACIDAD'!$A$3:$A$450,0)),"")</f>
        <v>CONSORCIO ESTANQUILLO POPAYÁN SU</v>
      </c>
      <c r="C16" s="3" t="s">
        <v>77</v>
      </c>
      <c r="D16" s="3" t="s">
        <v>77</v>
      </c>
      <c r="E16" s="3" t="s">
        <v>77</v>
      </c>
      <c r="F16" s="3" t="str">
        <f>IFERROR(IF(B16&lt;&gt;"",IF(VLOOKUP("A"&amp;A16,'EXPERIENCIA '!$A$1:$AT$672,38,FALSE)="","",VLOOKUP("A"&amp;A16,'EXPERIENCIA '!$A$1:$AT$672,38,FALSE)),""),"")</f>
        <v>HÁBIL</v>
      </c>
      <c r="G16" s="3" t="s">
        <v>77</v>
      </c>
      <c r="H16" s="3" t="s">
        <v>77</v>
      </c>
      <c r="I16" s="3" t="str">
        <f t="shared" si="2"/>
        <v>HÁBIL</v>
      </c>
      <c r="J16" s="228">
        <f>IFERROR(IF(B16&lt;&gt;"",IF(VLOOKUP(A16,'PONDERACIÓN '!$B$33:$J$99,9,FALSE)="","",VLOOKUP(A16,'PONDERACIÓN '!$B$33:$J$99,9,FALSE)),""),"")</f>
        <v>55.43508994556236</v>
      </c>
      <c r="K16" s="229">
        <v>10</v>
      </c>
      <c r="L16" s="229">
        <v>10</v>
      </c>
      <c r="M16" s="229">
        <f>IFERROR(IF(B16&lt;&gt;"",IF(VLOOKUP(A16,'DESEMPATE Y DISCAPACIDAD'!$A$3:$Q$450,17,FALSE)="","",VLOOKUP(A16,'DESEMPATE Y DISCAPACIDAD'!$A$3:$Q$450,17,FALSE)),""),"")</f>
        <v>1</v>
      </c>
      <c r="N16" s="229">
        <v>1</v>
      </c>
      <c r="O16" s="230">
        <v>0.25</v>
      </c>
      <c r="P16" s="230">
        <v>0.25</v>
      </c>
      <c r="Q16" s="228">
        <f t="shared" si="0"/>
        <v>77.935089945562368</v>
      </c>
      <c r="R16" s="231"/>
      <c r="S16" s="231"/>
      <c r="T16" s="232">
        <f t="shared" si="1"/>
        <v>77.935089945562368</v>
      </c>
      <c r="U16" s="56"/>
      <c r="V16" s="40" t="str">
        <f>IFERROR(IF(B16&lt;&gt;"",IF(VLOOKUP(A16,'DESEMPATE Y DISCAPACIDAD'!$A$3:$Q$96,7,FALSE)="","",VLOOKUP(A16,'DESEMPATE Y DISCAPACIDAD'!$A$3:$Q$96,7,FALSE)),""),"")</f>
        <v>ACREDITA</v>
      </c>
      <c r="W16" s="5"/>
      <c r="X16" s="5" t="str">
        <f>IFERROR(IF(B16&lt;&gt;"",IF(VLOOKUP(A16,'DESEMPATE Y DISCAPACIDAD'!$A$3:$Q$96,14,FALSE)="","",VLOOKUP(A16,'DESEMPATE Y DISCAPACIDAD'!$A$3:$Q$96,14,FALSE)),""),"")</f>
        <v/>
      </c>
      <c r="Y16" s="5"/>
      <c r="Z16" s="5"/>
      <c r="AA16" s="5"/>
      <c r="AB16" s="5"/>
      <c r="AC16" s="5"/>
      <c r="AD16" s="5"/>
      <c r="AE16" s="5"/>
      <c r="AF16" s="44"/>
      <c r="AG16" s="56"/>
      <c r="AH16" s="70"/>
    </row>
    <row r="17" spans="1:34" ht="28" customHeight="1" thickBot="1">
      <c r="A17" s="213" t="s">
        <v>133</v>
      </c>
      <c r="B17" s="225" t="str">
        <f>IFERROR(INDEX('DESEMPATE Y DISCAPACIDAD'!$B$3:$B$450,MATCH(CONSOLIDADO!A17,'DESEMPATE Y DISCAPACIDAD'!$A$3:$A$450,0)),"")</f>
        <v>CONSORCIO ESTANQUILLO CLA</v>
      </c>
      <c r="C17" s="3" t="s">
        <v>77</v>
      </c>
      <c r="D17" s="3" t="s">
        <v>77</v>
      </c>
      <c r="E17" s="3" t="s">
        <v>77</v>
      </c>
      <c r="F17" s="3" t="str">
        <f>IFERROR(IF(B17&lt;&gt;"",IF(VLOOKUP("A"&amp;A17,'EXPERIENCIA '!$A$1:$AT$672,38,FALSE)="","",VLOOKUP("A"&amp;A17,'EXPERIENCIA '!$A$1:$AT$672,38,FALSE)),""),"")</f>
        <v>HÁBIL</v>
      </c>
      <c r="G17" s="3" t="s">
        <v>77</v>
      </c>
      <c r="H17" s="3" t="s">
        <v>77</v>
      </c>
      <c r="I17" s="3" t="str">
        <f t="shared" si="2"/>
        <v>HÁBIL</v>
      </c>
      <c r="J17" s="228">
        <f>IFERROR(IF(B17&lt;&gt;"",IF(VLOOKUP(A17,'PONDERACIÓN '!$B$33:$J$99,9,FALSE)="","",VLOOKUP(A17,'PONDERACIÓN '!$B$33:$J$99,9,FALSE)),""),"")</f>
        <v>76.3530008375173</v>
      </c>
      <c r="K17" s="229">
        <v>10</v>
      </c>
      <c r="L17" s="229">
        <v>10</v>
      </c>
      <c r="M17" s="229">
        <f>IFERROR(IF(B17&lt;&gt;"",IF(VLOOKUP(A17,'DESEMPATE Y DISCAPACIDAD'!$A$3:$Q$450,17,FALSE)="","",VLOOKUP(A17,'DESEMPATE Y DISCAPACIDAD'!$A$3:$Q$450,17,FALSE)),""),"")</f>
        <v>1</v>
      </c>
      <c r="N17" s="229">
        <v>1</v>
      </c>
      <c r="O17" s="230">
        <v>0.25</v>
      </c>
      <c r="P17" s="230">
        <v>0.25</v>
      </c>
      <c r="Q17" s="228">
        <f t="shared" si="0"/>
        <v>98.8530008375173</v>
      </c>
      <c r="R17" s="231"/>
      <c r="S17" s="231"/>
      <c r="T17" s="232">
        <f t="shared" si="1"/>
        <v>98.8530008375173</v>
      </c>
      <c r="U17" s="56"/>
      <c r="V17" s="40" t="str">
        <f>IFERROR(IF(B17&lt;&gt;"",IF(VLOOKUP(A17,'DESEMPATE Y DISCAPACIDAD'!$A$3:$Q$96,7,FALSE)="","",VLOOKUP(A17,'DESEMPATE Y DISCAPACIDAD'!$A$3:$Q$96,7,FALSE)),""),"")</f>
        <v>ACREDITA</v>
      </c>
      <c r="W17" s="5"/>
      <c r="X17" s="5" t="str">
        <f>IFERROR(IF(B17&lt;&gt;"",IF(VLOOKUP(A17,'DESEMPATE Y DISCAPACIDAD'!$A$3:$Q$96,14,FALSE)="","",VLOOKUP(A17,'DESEMPATE Y DISCAPACIDAD'!$A$3:$Q$96,14,FALSE)),""),"")</f>
        <v/>
      </c>
      <c r="Y17" s="5"/>
      <c r="Z17" s="5"/>
      <c r="AA17" s="5"/>
      <c r="AB17" s="5"/>
      <c r="AC17" s="5"/>
      <c r="AD17" s="5"/>
      <c r="AE17" s="5"/>
      <c r="AF17" s="44"/>
      <c r="AG17" s="56"/>
      <c r="AH17" s="70"/>
    </row>
    <row r="18" spans="1:34" ht="28.25" customHeight="1" thickBot="1">
      <c r="A18" s="154" t="s">
        <v>134</v>
      </c>
      <c r="B18" s="155" t="str">
        <f>IFERROR(INDEX('DESEMPATE Y DISCAPACIDAD'!$B$3:$B$450,MATCH(CONSOLIDADO!A18,'DESEMPATE Y DISCAPACIDAD'!$A$3:$A$450,0)),"")</f>
        <v>CONSORCIO INTERVENTOR CONCESIÓN APP</v>
      </c>
      <c r="C18" s="125" t="s">
        <v>77</v>
      </c>
      <c r="D18" s="125" t="s">
        <v>77</v>
      </c>
      <c r="E18" s="125" t="s">
        <v>77</v>
      </c>
      <c r="F18" s="125" t="str">
        <f>IFERROR(IF(B18&lt;&gt;"",IF(VLOOKUP("A"&amp;A18,'EXPERIENCIA '!$A$1:$AT$672,38,FALSE)="","",VLOOKUP("A"&amp;A18,'EXPERIENCIA '!$A$1:$AT$672,38,FALSE)),""),"")</f>
        <v>HÁBIL</v>
      </c>
      <c r="G18" s="125" t="s">
        <v>77</v>
      </c>
      <c r="H18" s="125" t="s">
        <v>77</v>
      </c>
      <c r="I18" s="125" t="str">
        <f t="shared" si="2"/>
        <v>HÁBIL</v>
      </c>
      <c r="J18" s="192">
        <f>IFERROR(IF(B18&lt;&gt;"",IF(VLOOKUP(A18,'PONDERACIÓN '!$B$33:$J$99,9,FALSE)="","",VLOOKUP(A18,'PONDERACIÓN '!$B$33:$J$99,9,FALSE)),""),"")</f>
        <v>62.135285493343325</v>
      </c>
      <c r="K18" s="229">
        <v>10</v>
      </c>
      <c r="L18" s="229">
        <v>10</v>
      </c>
      <c r="M18" s="186">
        <f>IFERROR(IF(B18&lt;&gt;"",IF(VLOOKUP(A18,'DESEMPATE Y DISCAPACIDAD'!$A$3:$Q$450,17,FALSE)="","",VLOOKUP(A18,'DESEMPATE Y DISCAPACIDAD'!$A$3:$Q$450,17,FALSE)),""),"")</f>
        <v>1</v>
      </c>
      <c r="N18" s="186">
        <v>1</v>
      </c>
      <c r="O18" s="188">
        <v>0.25</v>
      </c>
      <c r="P18" s="188">
        <v>0.25</v>
      </c>
      <c r="Q18" s="192">
        <f t="shared" si="0"/>
        <v>84.635285493343332</v>
      </c>
      <c r="R18" s="193"/>
      <c r="S18" s="193"/>
      <c r="T18" s="194">
        <f t="shared" si="1"/>
        <v>84.635285493343332</v>
      </c>
      <c r="U18" s="56"/>
      <c r="V18" s="40" t="str">
        <f>IFERROR(IF(B18&lt;&gt;"",IF(VLOOKUP(A18,'DESEMPATE Y DISCAPACIDAD'!$A$3:$Q$96,7,FALSE)="","",VLOOKUP(A18,'DESEMPATE Y DISCAPACIDAD'!$A$3:$Q$96,7,FALSE)),""),"")</f>
        <v>ACREDITA</v>
      </c>
      <c r="W18" s="5"/>
      <c r="X18" s="5" t="str">
        <f>IFERROR(IF(B18&lt;&gt;"",IF(VLOOKUP(A18,'DESEMPATE Y DISCAPACIDAD'!$A$3:$Q$96,14,FALSE)="","",VLOOKUP(A18,'DESEMPATE Y DISCAPACIDAD'!$A$3:$Q$96,14,FALSE)),""),"")</f>
        <v/>
      </c>
      <c r="Y18" s="5"/>
      <c r="Z18" s="5"/>
      <c r="AA18" s="5"/>
      <c r="AB18" s="5"/>
      <c r="AC18" s="5"/>
      <c r="AD18" s="5"/>
      <c r="AE18" s="5"/>
      <c r="AF18" s="44"/>
      <c r="AG18" s="56"/>
      <c r="AH18" s="87"/>
    </row>
    <row r="19" spans="1:34" ht="28.25" customHeight="1" thickBot="1">
      <c r="A19" s="154" t="s">
        <v>135</v>
      </c>
      <c r="B19" s="155" t="str">
        <f>IFERROR(INDEX('DESEMPATE Y DISCAPACIDAD'!$B$3:$B$450,MATCH(CONSOLIDADO!A19,'DESEMPATE Y DISCAPACIDAD'!$A$3:$A$450,0)),"")</f>
        <v>CONSORCIO CORREDOR CAUCA 3M</v>
      </c>
      <c r="C19" s="125" t="s">
        <v>77</v>
      </c>
      <c r="D19" s="125" t="s">
        <v>77</v>
      </c>
      <c r="E19" s="125" t="s">
        <v>77</v>
      </c>
      <c r="F19" s="125" t="str">
        <f>IFERROR(IF(B19&lt;&gt;"",IF(VLOOKUP("A"&amp;A19,'EXPERIENCIA '!$A$1:$AT$672,38,FALSE)="","",VLOOKUP("A"&amp;A19,'EXPERIENCIA '!$A$1:$AT$672,38,FALSE)),""),"")</f>
        <v>HÁBIL</v>
      </c>
      <c r="G19" s="125" t="s">
        <v>77</v>
      </c>
      <c r="H19" s="125" t="s">
        <v>77</v>
      </c>
      <c r="I19" s="125" t="str">
        <f t="shared" si="2"/>
        <v>HÁBIL</v>
      </c>
      <c r="J19" s="192">
        <f>IFERROR(IF(B19&lt;&gt;"",IF(VLOOKUP(A19,'PONDERACIÓN '!$B$33:$J$99,9,FALSE)="","",VLOOKUP(A19,'PONDERACIÓN '!$B$33:$J$99,9,FALSE)),""),"")</f>
        <v>62.432679007109172</v>
      </c>
      <c r="K19" s="229">
        <v>10</v>
      </c>
      <c r="L19" s="229">
        <v>10</v>
      </c>
      <c r="M19" s="186">
        <f>IFERROR(IF(B19&lt;&gt;"",IF(VLOOKUP(A19,'DESEMPATE Y DISCAPACIDAD'!$A$3:$Q$450,17,FALSE)="","",VLOOKUP(A19,'DESEMPATE Y DISCAPACIDAD'!$A$3:$Q$450,17,FALSE)),""),"")</f>
        <v>1</v>
      </c>
      <c r="N19" s="186">
        <v>1</v>
      </c>
      <c r="O19" s="188">
        <v>0.25</v>
      </c>
      <c r="P19" s="188">
        <v>0.25</v>
      </c>
      <c r="Q19" s="192">
        <f t="shared" si="0"/>
        <v>84.932679007109172</v>
      </c>
      <c r="R19" s="193"/>
      <c r="S19" s="193"/>
      <c r="T19" s="194">
        <f t="shared" si="1"/>
        <v>84.932679007109172</v>
      </c>
      <c r="U19" s="56"/>
      <c r="V19" s="40" t="str">
        <f>IFERROR(IF(B19&lt;&gt;"",IF(VLOOKUP(A19,'DESEMPATE Y DISCAPACIDAD'!$A$3:$Q$96,7,FALSE)="","",VLOOKUP(A19,'DESEMPATE Y DISCAPACIDAD'!$A$3:$Q$96,7,FALSE)),""),"")</f>
        <v>ACREDITA</v>
      </c>
      <c r="W19" s="5"/>
      <c r="X19" s="5" t="str">
        <f>IFERROR(IF(B19&lt;&gt;"",IF(VLOOKUP(A19,'DESEMPATE Y DISCAPACIDAD'!$A$3:$Q$96,14,FALSE)="","",VLOOKUP(A19,'DESEMPATE Y DISCAPACIDAD'!$A$3:$Q$96,14,FALSE)),""),"")</f>
        <v/>
      </c>
      <c r="Y19" s="5"/>
      <c r="Z19" s="5"/>
      <c r="AA19" s="5"/>
      <c r="AB19" s="5"/>
      <c r="AC19" s="5"/>
      <c r="AD19" s="5"/>
      <c r="AE19" s="5"/>
      <c r="AF19" s="44"/>
      <c r="AG19" s="56"/>
      <c r="AH19" s="70"/>
    </row>
    <row r="20" spans="1:34" ht="28.25" customHeight="1" thickBot="1">
      <c r="A20" s="154" t="s">
        <v>136</v>
      </c>
      <c r="B20" s="155" t="str">
        <f>IFERROR(INDEX('DESEMPATE Y DISCAPACIDAD'!$B$3:$B$450,MATCH(CONSOLIDADO!A20,'DESEMPATE Y DISCAPACIDAD'!$A$3:$A$450,0)),"")</f>
        <v>CONSORCIO CONCESIÓN ESTANQUILLO AG</v>
      </c>
      <c r="C20" s="125" t="s">
        <v>77</v>
      </c>
      <c r="D20" s="125" t="s">
        <v>77</v>
      </c>
      <c r="E20" s="125" t="s">
        <v>77</v>
      </c>
      <c r="F20" s="125" t="str">
        <f>IFERROR(IF(B20&lt;&gt;"",IF(VLOOKUP("A"&amp;A20,'EXPERIENCIA '!$A$1:$AT$672,38,FALSE)="","",VLOOKUP("A"&amp;A20,'EXPERIENCIA '!$A$1:$AT$672,38,FALSE)),""),"")</f>
        <v>HÁBIL</v>
      </c>
      <c r="G20" s="125" t="s">
        <v>77</v>
      </c>
      <c r="H20" s="125" t="s">
        <v>77</v>
      </c>
      <c r="I20" s="125" t="str">
        <f t="shared" si="2"/>
        <v>HÁBIL</v>
      </c>
      <c r="J20" s="192">
        <f>IFERROR(IF(B20&lt;&gt;"",IF(VLOOKUP(A20,'PONDERACIÓN '!$B$33:$J$99,9,FALSE)="","",VLOOKUP(A20,'PONDERACIÓN '!$B$33:$J$99,9,FALSE)),""),"")</f>
        <v>64.465570433320096</v>
      </c>
      <c r="K20" s="229">
        <v>10</v>
      </c>
      <c r="L20" s="229">
        <v>10</v>
      </c>
      <c r="M20" s="186">
        <f>IFERROR(IF(B20&lt;&gt;"",IF(VLOOKUP(A20,'DESEMPATE Y DISCAPACIDAD'!$A$3:$Q$450,17,FALSE)="","",VLOOKUP(A20,'DESEMPATE Y DISCAPACIDAD'!$A$3:$Q$450,17,FALSE)),""),"")</f>
        <v>1</v>
      </c>
      <c r="N20" s="186">
        <v>1</v>
      </c>
      <c r="O20" s="188">
        <v>0.25</v>
      </c>
      <c r="P20" s="188">
        <v>0.25</v>
      </c>
      <c r="Q20" s="192">
        <f t="shared" si="0"/>
        <v>86.965570433320096</v>
      </c>
      <c r="R20" s="193"/>
      <c r="S20" s="193"/>
      <c r="T20" s="194">
        <f t="shared" si="1"/>
        <v>86.965570433320096</v>
      </c>
      <c r="U20" s="56"/>
      <c r="V20" s="40" t="str">
        <f>IFERROR(IF(B20&lt;&gt;"",IF(VLOOKUP(A20,'DESEMPATE Y DISCAPACIDAD'!$A$3:$Q$96,7,FALSE)="","",VLOOKUP(A20,'DESEMPATE Y DISCAPACIDAD'!$A$3:$Q$96,7,FALSE)),""),"")</f>
        <v>ACREDITA</v>
      </c>
      <c r="W20" s="5"/>
      <c r="X20" s="5" t="str">
        <f>IFERROR(IF(B20&lt;&gt;"",IF(VLOOKUP(A20,'DESEMPATE Y DISCAPACIDAD'!$A$3:$Q$96,14,FALSE)="","",VLOOKUP(A20,'DESEMPATE Y DISCAPACIDAD'!$A$3:$Q$96,14,FALSE)),""),"")</f>
        <v/>
      </c>
      <c r="Y20" s="5"/>
      <c r="Z20" s="5"/>
      <c r="AA20" s="5"/>
      <c r="AB20" s="5"/>
      <c r="AC20" s="5"/>
      <c r="AD20" s="5"/>
      <c r="AE20" s="5"/>
      <c r="AF20" s="44"/>
      <c r="AG20" s="56"/>
      <c r="AH20" s="70"/>
    </row>
    <row r="21" spans="1:34" ht="28.25" customHeight="1" thickBot="1">
      <c r="A21" s="154" t="s">
        <v>137</v>
      </c>
      <c r="B21" s="155" t="str">
        <f>IFERROR(INDEX('DESEMPATE Y DISCAPACIDAD'!$B$3:$B$450,MATCH(CONSOLIDADO!A21,'DESEMPATE Y DISCAPACIDAD'!$A$3:$A$450,0)),"")</f>
        <v>CONSORCIO VIAS POPAYAN</v>
      </c>
      <c r="C21" s="125" t="s">
        <v>77</v>
      </c>
      <c r="D21" s="125" t="s">
        <v>77</v>
      </c>
      <c r="E21" s="125" t="s">
        <v>77</v>
      </c>
      <c r="F21" s="125" t="str">
        <f>IFERROR(IF(B21&lt;&gt;"",IF(VLOOKUP("A"&amp;A21,'EXPERIENCIA '!$A$1:$AT$672,38,FALSE)="","",VLOOKUP("A"&amp;A21,'EXPERIENCIA '!$A$1:$AT$672,38,FALSE)),""),"")</f>
        <v>HÁBIL</v>
      </c>
      <c r="G21" s="125" t="s">
        <v>77</v>
      </c>
      <c r="H21" s="125" t="s">
        <v>77</v>
      </c>
      <c r="I21" s="125" t="str">
        <f t="shared" si="2"/>
        <v>HÁBIL</v>
      </c>
      <c r="J21" s="192">
        <f>IFERROR(IF(B21&lt;&gt;"",IF(VLOOKUP(A21,'PONDERACIÓN '!$B$33:$J$99,9,FALSE)="","",VLOOKUP(A21,'PONDERACIÓN '!$B$33:$J$99,9,FALSE)),""),"")</f>
        <v>62.288918642213673</v>
      </c>
      <c r="K21" s="229">
        <v>10</v>
      </c>
      <c r="L21" s="229">
        <v>10</v>
      </c>
      <c r="M21" s="186">
        <f>IFERROR(IF(B21&lt;&gt;"",IF(VLOOKUP(A21,'DESEMPATE Y DISCAPACIDAD'!$A$3:$Q$450,17,FALSE)="","",VLOOKUP(A21,'DESEMPATE Y DISCAPACIDAD'!$A$3:$Q$450,17,FALSE)),""),"")</f>
        <v>1</v>
      </c>
      <c r="N21" s="186">
        <v>1</v>
      </c>
      <c r="O21" s="188">
        <v>0.25</v>
      </c>
      <c r="P21" s="188">
        <v>0.25</v>
      </c>
      <c r="Q21" s="192">
        <f t="shared" ref="Q21:Q27" si="3">IFERROR(SUM(J21:P21),"")</f>
        <v>84.788918642213673</v>
      </c>
      <c r="R21" s="193"/>
      <c r="S21" s="193"/>
      <c r="T21" s="194">
        <f t="shared" ref="T21:T27" si="4">IFERROR(SUM(Q21,-R21,-S21),"")</f>
        <v>84.788918642213673</v>
      </c>
      <c r="U21" s="56"/>
      <c r="V21" s="40" t="str">
        <f>IFERROR(IF(B21&lt;&gt;"",IF(VLOOKUP(A21,'DESEMPATE Y DISCAPACIDAD'!$A$3:$Q$96,7,FALSE)="","",VLOOKUP(A21,'DESEMPATE Y DISCAPACIDAD'!$A$3:$Q$96,7,FALSE)),""),"")</f>
        <v>ACREDITA</v>
      </c>
      <c r="W21" s="5"/>
      <c r="X21" s="5" t="str">
        <f>IFERROR(IF(B21&lt;&gt;"",IF(VLOOKUP(A21,'DESEMPATE Y DISCAPACIDAD'!$A$3:$Q$96,14,FALSE)="","",VLOOKUP(A21,'DESEMPATE Y DISCAPACIDAD'!$A$3:$Q$96,14,FALSE)),""),"")</f>
        <v/>
      </c>
      <c r="Y21" s="5"/>
      <c r="Z21" s="5"/>
      <c r="AA21" s="5"/>
      <c r="AB21" s="5"/>
      <c r="AC21" s="5"/>
      <c r="AD21" s="5"/>
      <c r="AE21" s="5"/>
      <c r="AF21" s="44"/>
      <c r="AG21" s="56"/>
      <c r="AH21" s="70"/>
    </row>
    <row r="22" spans="1:34" ht="28" customHeight="1" thickBot="1">
      <c r="A22" s="154" t="s">
        <v>138</v>
      </c>
      <c r="B22" s="155" t="str">
        <f>IFERROR(INDEX('DESEMPATE Y DISCAPACIDAD'!$B$3:$B$450,MATCH(CONSOLIDADO!A22,'DESEMPATE Y DISCAPACIDAD'!$A$3:$A$450,0)),"")</f>
        <v>Consorcio APPLUS ANI 002.</v>
      </c>
      <c r="C22" s="125" t="s">
        <v>77</v>
      </c>
      <c r="D22" s="125" t="s">
        <v>77</v>
      </c>
      <c r="E22" s="125" t="s">
        <v>77</v>
      </c>
      <c r="F22" s="125" t="str">
        <f>IFERROR(IF(B22&lt;&gt;"",IF(VLOOKUP("A"&amp;A22,'EXPERIENCIA '!$A$1:$AT$672,38,FALSE)="","",VLOOKUP("A"&amp;A22,'EXPERIENCIA '!$A$1:$AT$672,38,FALSE)),""),"")</f>
        <v>HÁBIL</v>
      </c>
      <c r="G22" s="125" t="s">
        <v>77</v>
      </c>
      <c r="H22" s="125" t="s">
        <v>77</v>
      </c>
      <c r="I22" s="125" t="str">
        <f t="shared" si="2"/>
        <v>HÁBIL</v>
      </c>
      <c r="J22" s="192">
        <f>IFERROR(IF(B22&lt;&gt;"",IF(VLOOKUP(A22,'PONDERACIÓN '!$B$33:$J$99,9,FALSE)="","",VLOOKUP(A22,'PONDERACIÓN '!$B$33:$J$99,9,FALSE)),""),"")</f>
        <v>43.127327937526161</v>
      </c>
      <c r="K22" s="229">
        <v>10</v>
      </c>
      <c r="L22" s="229">
        <v>10</v>
      </c>
      <c r="M22" s="229">
        <f>IFERROR(IF(B22&lt;&gt;"",IF(VLOOKUP(A22,'DESEMPATE Y DISCAPACIDAD'!$A$3:$Q$450,17,FALSE)="","",VLOOKUP(A22,'DESEMPATE Y DISCAPACIDAD'!$A$3:$Q$450,17,FALSE)),""),"")</f>
        <v>1</v>
      </c>
      <c r="N22" s="186">
        <v>1</v>
      </c>
      <c r="O22" s="188">
        <v>0.25</v>
      </c>
      <c r="P22" s="251">
        <v>0</v>
      </c>
      <c r="Q22" s="192">
        <f t="shared" si="3"/>
        <v>65.377327937526161</v>
      </c>
      <c r="R22" s="193"/>
      <c r="S22" s="193"/>
      <c r="T22" s="194">
        <f t="shared" si="4"/>
        <v>65.377327937526161</v>
      </c>
      <c r="U22" s="56"/>
      <c r="V22" s="40" t="str">
        <f>IFERROR(IF(B22&lt;&gt;"",IF(VLOOKUP(A22,'DESEMPATE Y DISCAPACIDAD'!$A$3:$Q$96,7,FALSE)="","",VLOOKUP(A22,'DESEMPATE Y DISCAPACIDAD'!$A$3:$Q$96,7,FALSE)),""),"")</f>
        <v/>
      </c>
      <c r="W22" s="5"/>
      <c r="X22" s="5" t="str">
        <f>IFERROR(IF(B22&lt;&gt;"",IF(VLOOKUP(A22,'DESEMPATE Y DISCAPACIDAD'!$A$3:$Q$96,14,FALSE)="","",VLOOKUP(A22,'DESEMPATE Y DISCAPACIDAD'!$A$3:$Q$96,14,FALSE)),""),"")</f>
        <v/>
      </c>
      <c r="Y22" s="5"/>
      <c r="Z22" s="5"/>
      <c r="AA22" s="5"/>
      <c r="AB22" s="5"/>
      <c r="AC22" s="5"/>
      <c r="AD22" s="5"/>
      <c r="AE22" s="5"/>
      <c r="AF22" s="44"/>
      <c r="AG22" s="56"/>
      <c r="AH22" s="234" t="s">
        <v>1362</v>
      </c>
    </row>
    <row r="23" spans="1:34" ht="28.25" customHeight="1" thickBot="1">
      <c r="A23" s="154" t="s">
        <v>139</v>
      </c>
      <c r="B23" s="155" t="str">
        <f>IFERROR(INDEX('DESEMPATE Y DISCAPACIDAD'!$B$3:$B$450,MATCH(CONSOLIDADO!A23,'DESEMPATE Y DISCAPACIDAD'!$A$3:$A$450,0)),"")</f>
        <v>CONSORCIO INTERVIAL RJ.</v>
      </c>
      <c r="C23" s="125" t="s">
        <v>77</v>
      </c>
      <c r="D23" s="125" t="s">
        <v>77</v>
      </c>
      <c r="E23" s="125" t="s">
        <v>77</v>
      </c>
      <c r="F23" s="125" t="str">
        <f>IFERROR(IF(B23&lt;&gt;"",IF(VLOOKUP("A"&amp;A23,'EXPERIENCIA '!$A$1:$AT$672,38,FALSE)="","",VLOOKUP("A"&amp;A23,'EXPERIENCIA '!$A$1:$AT$672,38,FALSE)),""),"")</f>
        <v>HÁBIL</v>
      </c>
      <c r="G23" s="125" t="s">
        <v>77</v>
      </c>
      <c r="H23" s="125" t="s">
        <v>77</v>
      </c>
      <c r="I23" s="125" t="str">
        <f t="shared" si="2"/>
        <v>HÁBIL</v>
      </c>
      <c r="J23" s="192">
        <f>IFERROR(IF(B23&lt;&gt;"",IF(VLOOKUP(A23,'PONDERACIÓN '!$B$33:$J$99,9,FALSE)="","",VLOOKUP(A23,'PONDERACIÓN '!$B$33:$J$99,9,FALSE)),""),"")</f>
        <v>54.09132043048907</v>
      </c>
      <c r="K23" s="229">
        <v>10</v>
      </c>
      <c r="L23" s="229">
        <v>10</v>
      </c>
      <c r="M23" s="186">
        <f>IFERROR(IF(B23&lt;&gt;"",IF(VLOOKUP(A23,'DESEMPATE Y DISCAPACIDAD'!$A$3:$Q$450,17,FALSE)="","",VLOOKUP(A23,'DESEMPATE Y DISCAPACIDAD'!$A$3:$Q$450,17,FALSE)),""),"")</f>
        <v>1</v>
      </c>
      <c r="N23" s="125">
        <v>1</v>
      </c>
      <c r="O23" s="188">
        <v>0.25</v>
      </c>
      <c r="P23" s="188">
        <v>0.25</v>
      </c>
      <c r="Q23" s="192">
        <f t="shared" si="3"/>
        <v>76.591320430489077</v>
      </c>
      <c r="R23" s="193"/>
      <c r="S23" s="193"/>
      <c r="T23" s="194">
        <f t="shared" si="4"/>
        <v>76.591320430489077</v>
      </c>
      <c r="U23" s="174"/>
      <c r="V23" s="156" t="str">
        <f>IFERROR(IF(B23&lt;&gt;"",IF(VLOOKUP(A23,'DESEMPATE Y DISCAPACIDAD'!$A$3:$Q$96,7,FALSE)="","",VLOOKUP(A23,'DESEMPATE Y DISCAPACIDAD'!$A$3:$Q$96,7,FALSE)),""),"")</f>
        <v/>
      </c>
      <c r="W23" s="133"/>
      <c r="X23" s="133" t="str">
        <f>IFERROR(IF(B23&lt;&gt;"",IF(VLOOKUP(A23,'DESEMPATE Y DISCAPACIDAD'!$A$3:$Q$96,14,FALSE)="","",VLOOKUP(A23,'DESEMPATE Y DISCAPACIDAD'!$A$3:$Q$96,14,FALSE)),""),"")</f>
        <v/>
      </c>
      <c r="Y23" s="133"/>
      <c r="Z23" s="133"/>
      <c r="AA23" s="133"/>
      <c r="AB23" s="133"/>
      <c r="AC23" s="133"/>
      <c r="AD23" s="133"/>
      <c r="AE23" s="133"/>
      <c r="AF23" s="160"/>
      <c r="AG23" s="174"/>
      <c r="AH23" s="105"/>
    </row>
    <row r="24" spans="1:34" ht="28.25" customHeight="1" thickBot="1">
      <c r="A24" s="154" t="s">
        <v>140</v>
      </c>
      <c r="B24" s="155" t="str">
        <f>IFERROR(INDEX('DESEMPATE Y DISCAPACIDAD'!$B$3:$B$450,MATCH(CONSOLIDADO!A24,'DESEMPATE Y DISCAPACIDAD'!$A$3:$A$450,0)),"")</f>
        <v>CONSORCIO EVOLUCION.</v>
      </c>
      <c r="C24" s="125" t="s">
        <v>77</v>
      </c>
      <c r="D24" s="125" t="s">
        <v>77</v>
      </c>
      <c r="E24" s="125" t="s">
        <v>77</v>
      </c>
      <c r="F24" s="125" t="str">
        <f>IFERROR(IF(B24&lt;&gt;"",IF(VLOOKUP("A"&amp;A24,'EXPERIENCIA '!$A$1:$AT$672,38,FALSE)="","",VLOOKUP("A"&amp;A24,'EXPERIENCIA '!$A$1:$AT$672,38,FALSE)),""),"")</f>
        <v>HÁBIL</v>
      </c>
      <c r="G24" s="125" t="s">
        <v>77</v>
      </c>
      <c r="H24" s="125" t="s">
        <v>77</v>
      </c>
      <c r="I24" s="125" t="str">
        <f t="shared" si="2"/>
        <v>HÁBIL</v>
      </c>
      <c r="J24" s="192">
        <f>IFERROR(IF(B24&lt;&gt;"",IF(VLOOKUP(A24,'PONDERACIÓN '!$B$33:$J$99,9,FALSE)="","",VLOOKUP(A24,'PONDERACIÓN '!$B$33:$J$99,9,FALSE)),""),"")</f>
        <v>45.001210392399223</v>
      </c>
      <c r="K24" s="186">
        <v>10</v>
      </c>
      <c r="L24" s="125">
        <v>10</v>
      </c>
      <c r="M24" s="229">
        <f>IFERROR(IF(B24&lt;&gt;"",IF(VLOOKUP(A24,'DESEMPATE Y DISCAPACIDAD'!$A$3:$Q$450,17,FALSE)="","",VLOOKUP(A24,'DESEMPATE Y DISCAPACIDAD'!$A$3:$Q$450,17,FALSE)),""),"")</f>
        <v>1</v>
      </c>
      <c r="N24" s="186">
        <v>1</v>
      </c>
      <c r="O24" s="188">
        <v>0.25</v>
      </c>
      <c r="P24" s="188">
        <v>0.25</v>
      </c>
      <c r="Q24" s="192">
        <f t="shared" si="3"/>
        <v>67.50121039239923</v>
      </c>
      <c r="R24" s="193"/>
      <c r="S24" s="193"/>
      <c r="T24" s="194">
        <f t="shared" si="4"/>
        <v>67.50121039239923</v>
      </c>
      <c r="U24" s="174"/>
      <c r="V24" s="156" t="str">
        <f>IFERROR(IF(B24&lt;&gt;"",IF(VLOOKUP(A24,'DESEMPATE Y DISCAPACIDAD'!$A$3:$Q$96,7,FALSE)="","",VLOOKUP(A24,'DESEMPATE Y DISCAPACIDAD'!$A$3:$Q$96,7,FALSE)),""),"")</f>
        <v/>
      </c>
      <c r="W24" s="133"/>
      <c r="X24" s="133" t="str">
        <f>IFERROR(IF(B24&lt;&gt;"",IF(VLOOKUP(A24,'DESEMPATE Y DISCAPACIDAD'!$A$3:$Q$96,14,FALSE)="","",VLOOKUP(A24,'DESEMPATE Y DISCAPACIDAD'!$A$3:$Q$96,14,FALSE)),""),"")</f>
        <v/>
      </c>
      <c r="Y24" s="133"/>
      <c r="Z24" s="133"/>
      <c r="AA24" s="133"/>
      <c r="AB24" s="133"/>
      <c r="AC24" s="133"/>
      <c r="AD24" s="133"/>
      <c r="AE24" s="133"/>
      <c r="AF24" s="160"/>
      <c r="AG24" s="174"/>
      <c r="AH24" s="105"/>
    </row>
    <row r="25" spans="1:34" ht="28.25" customHeight="1" thickBot="1">
      <c r="A25" s="154" t="s">
        <v>141</v>
      </c>
      <c r="B25" s="155" t="str">
        <f>IFERROR(INDEX('DESEMPATE Y DISCAPACIDAD'!$B$3:$B$450,MATCH(CONSOLIDADO!A25,'DESEMPATE Y DISCAPACIDAD'!$A$3:$A$450,0)),"")</f>
        <v>CONSORCIO INTERVENTOR ESTANQUILLO H-H.</v>
      </c>
      <c r="C25" s="125" t="s">
        <v>77</v>
      </c>
      <c r="D25" s="125" t="s">
        <v>77</v>
      </c>
      <c r="E25" s="125" t="s">
        <v>77</v>
      </c>
      <c r="F25" s="125" t="str">
        <f>IFERROR(IF(B25&lt;&gt;"",IF(VLOOKUP("A"&amp;A25,'EXPERIENCIA '!$A$1:$AT$672,38,FALSE)="","",VLOOKUP("A"&amp;A25,'EXPERIENCIA '!$A$1:$AT$672,38,FALSE)),""),"")</f>
        <v>HÁBIL</v>
      </c>
      <c r="G25" s="125" t="s">
        <v>77</v>
      </c>
      <c r="H25" s="125" t="s">
        <v>77</v>
      </c>
      <c r="I25" s="125" t="str">
        <f t="shared" si="2"/>
        <v>HÁBIL</v>
      </c>
      <c r="J25" s="192">
        <f>IFERROR(IF(B25&lt;&gt;"",IF(VLOOKUP(A25,'PONDERACIÓN '!$B$33:$J$99,9,FALSE)="","",VLOOKUP(A25,'PONDERACIÓN '!$B$33:$J$99,9,FALSE)),""),"")</f>
        <v>46.360805067936482</v>
      </c>
      <c r="K25" s="186">
        <v>10</v>
      </c>
      <c r="L25" s="125">
        <v>10</v>
      </c>
      <c r="M25" s="186">
        <f>IFERROR(IF(B25&lt;&gt;"",IF(VLOOKUP(A25,'DESEMPATE Y DISCAPACIDAD'!$A$3:$Q$450,17,FALSE)="","",VLOOKUP(A25,'DESEMPATE Y DISCAPACIDAD'!$A$3:$Q$450,17,FALSE)),""),"")</f>
        <v>1</v>
      </c>
      <c r="N25" s="125">
        <v>1</v>
      </c>
      <c r="O25" s="188">
        <v>0.25</v>
      </c>
      <c r="P25" s="188">
        <v>0.25</v>
      </c>
      <c r="Q25" s="192">
        <f t="shared" si="3"/>
        <v>68.860805067936482</v>
      </c>
      <c r="R25" s="193"/>
      <c r="S25" s="193"/>
      <c r="T25" s="194">
        <f t="shared" si="4"/>
        <v>68.860805067936482</v>
      </c>
      <c r="U25" s="56"/>
      <c r="V25" s="40" t="str">
        <f>IFERROR(IF(B25&lt;&gt;"",IF(VLOOKUP(A25,'DESEMPATE Y DISCAPACIDAD'!$A$3:$Q$96,7,FALSE)="","",VLOOKUP(A25,'DESEMPATE Y DISCAPACIDAD'!$A$3:$Q$96,7,FALSE)),""),"")</f>
        <v/>
      </c>
      <c r="W25" s="5"/>
      <c r="X25" s="5" t="str">
        <f>IFERROR(IF(B25&lt;&gt;"",IF(VLOOKUP(A25,'DESEMPATE Y DISCAPACIDAD'!$A$3:$Q$96,14,FALSE)="","",VLOOKUP(A25,'DESEMPATE Y DISCAPACIDAD'!$A$3:$Q$96,14,FALSE)),""),"")</f>
        <v/>
      </c>
      <c r="Y25" s="5"/>
      <c r="Z25" s="5"/>
      <c r="AA25" s="5"/>
      <c r="AB25" s="5"/>
      <c r="AC25" s="5"/>
      <c r="AD25" s="5"/>
      <c r="AE25" s="5"/>
      <c r="AF25" s="44"/>
      <c r="AG25" s="56"/>
      <c r="AH25" s="87"/>
    </row>
    <row r="26" spans="1:34" ht="28" customHeight="1" thickBot="1">
      <c r="A26" s="154" t="s">
        <v>142</v>
      </c>
      <c r="B26" s="155" t="str">
        <f>IFERROR(INDEX('DESEMPATE Y DISCAPACIDAD'!$B$3:$B$450,MATCH(CONSOLIDADO!A26,'DESEMPATE Y DISCAPACIDAD'!$A$3:$A$450,0)),"")</f>
        <v>CONSORCIO SURCOLOMBIA 002-26</v>
      </c>
      <c r="C26" s="125" t="s">
        <v>77</v>
      </c>
      <c r="D26" s="125" t="s">
        <v>77</v>
      </c>
      <c r="E26" s="125" t="s">
        <v>77</v>
      </c>
      <c r="F26" s="125" t="str">
        <f>IFERROR(IF(B26&lt;&gt;"",IF(VLOOKUP("A"&amp;A26,'EXPERIENCIA '!$A$1:$AT$672,38,FALSE)="","",VLOOKUP("A"&amp;A26,'EXPERIENCIA '!$A$1:$AT$672,38,FALSE)),""),"")</f>
        <v>HÁBIL</v>
      </c>
      <c r="G26" s="125" t="s">
        <v>77</v>
      </c>
      <c r="H26" s="125" t="s">
        <v>77</v>
      </c>
      <c r="I26" s="125" t="str">
        <f t="shared" si="2"/>
        <v>HÁBIL</v>
      </c>
      <c r="J26" s="192">
        <f>IFERROR(IF(B26&lt;&gt;"",IF(VLOOKUP(A26,'PONDERACIÓN '!$B$33:$J$99,9,FALSE)="","",VLOOKUP(A26,'PONDERACIÓN '!$B$33:$J$99,9,FALSE)),""),"")</f>
        <v>55.339911524950942</v>
      </c>
      <c r="K26" s="186">
        <v>10</v>
      </c>
      <c r="L26" s="125">
        <v>10</v>
      </c>
      <c r="M26" s="186">
        <f>IFERROR(IF(B26&lt;&gt;"",IF(VLOOKUP(A26,'DESEMPATE Y DISCAPACIDAD'!$A$3:$Q$450,17,FALSE)="","",VLOOKUP(A26,'DESEMPATE Y DISCAPACIDAD'!$A$3:$Q$450,17,FALSE)),""),"")</f>
        <v>1</v>
      </c>
      <c r="N26" s="125">
        <v>1</v>
      </c>
      <c r="O26" s="188">
        <v>0.25</v>
      </c>
      <c r="P26" s="188">
        <v>0.25</v>
      </c>
      <c r="Q26" s="192">
        <f t="shared" si="3"/>
        <v>77.839911524950935</v>
      </c>
      <c r="R26" s="193"/>
      <c r="S26" s="193"/>
      <c r="T26" s="194">
        <f t="shared" si="4"/>
        <v>77.839911524950935</v>
      </c>
      <c r="U26" s="56"/>
      <c r="V26" s="40" t="str">
        <f>IFERROR(IF(B26&lt;&gt;"",IF(VLOOKUP(A26,'DESEMPATE Y DISCAPACIDAD'!$A$3:$Q$96,7,FALSE)="","",VLOOKUP(A26,'DESEMPATE Y DISCAPACIDAD'!$A$3:$Q$96,7,FALSE)),""),"")</f>
        <v/>
      </c>
      <c r="W26" s="5"/>
      <c r="X26" s="5" t="str">
        <f>IFERROR(IF(B26&lt;&gt;"",IF(VLOOKUP(A26,'DESEMPATE Y DISCAPACIDAD'!$A$3:$Q$96,14,FALSE)="","",VLOOKUP(A26,'DESEMPATE Y DISCAPACIDAD'!$A$3:$Q$96,14,FALSE)),""),"")</f>
        <v/>
      </c>
      <c r="Y26" s="5"/>
      <c r="Z26" s="5"/>
      <c r="AA26" s="5"/>
      <c r="AB26" s="5"/>
      <c r="AC26" s="5"/>
      <c r="AD26" s="5"/>
      <c r="AE26" s="5"/>
      <c r="AF26" s="44"/>
      <c r="AG26" s="56"/>
      <c r="AH26" s="409"/>
    </row>
    <row r="27" spans="1:34" ht="28.25" customHeight="1" thickBot="1">
      <c r="A27" s="154" t="s">
        <v>283</v>
      </c>
      <c r="B27" s="155" t="str">
        <f>IFERROR(INDEX('DESEMPATE Y DISCAPACIDAD'!$B$3:$B$450,MATCH(CONSOLIDADO!A27,'DESEMPATE Y DISCAPACIDAD'!$A$3:$A$450,0)),"")</f>
        <v>CONSORCIO CAUCA MIP</v>
      </c>
      <c r="C27" s="125" t="s">
        <v>77</v>
      </c>
      <c r="D27" s="125" t="s">
        <v>77</v>
      </c>
      <c r="E27" s="125" t="s">
        <v>77</v>
      </c>
      <c r="F27" s="125" t="str">
        <f>IFERROR(IF(B27&lt;&gt;"",IF(VLOOKUP("A"&amp;A27,'EXPERIENCIA '!$A$1:$AT$672,38,FALSE)="","",VLOOKUP("A"&amp;A27,'EXPERIENCIA '!$A$1:$AT$672,38,FALSE)),""),"")</f>
        <v>HÁBIL</v>
      </c>
      <c r="G27" s="125" t="s">
        <v>77</v>
      </c>
      <c r="H27" s="125" t="s">
        <v>77</v>
      </c>
      <c r="I27" s="125" t="str">
        <f t="shared" si="2"/>
        <v>HÁBIL</v>
      </c>
      <c r="J27" s="192">
        <f>IFERROR(IF(B27&lt;&gt;"",IF(VLOOKUP(A27,'PONDERACIÓN '!$B$33:$J$99,9,FALSE)="","",VLOOKUP(A27,'PONDERACIÓN '!$B$33:$J$99,9,FALSE)),""),"")</f>
        <v>39.388448340529578</v>
      </c>
      <c r="K27" s="186">
        <v>10</v>
      </c>
      <c r="L27" s="186">
        <v>10</v>
      </c>
      <c r="M27" s="229">
        <f>IFERROR(IF(B27&lt;&gt;"",IF(VLOOKUP(A27,'DESEMPATE Y DISCAPACIDAD'!$A$3:$Q$450,17,FALSE)="","",VLOOKUP(A27,'DESEMPATE Y DISCAPACIDAD'!$A$3:$Q$450,17,FALSE)),""),"")</f>
        <v>1</v>
      </c>
      <c r="N27" s="186">
        <v>1</v>
      </c>
      <c r="O27" s="188">
        <v>0.25</v>
      </c>
      <c r="P27" s="188">
        <v>0.25</v>
      </c>
      <c r="Q27" s="192">
        <f t="shared" si="3"/>
        <v>61.888448340529578</v>
      </c>
      <c r="R27" s="193"/>
      <c r="S27" s="193"/>
      <c r="T27" s="194">
        <f t="shared" si="4"/>
        <v>61.888448340529578</v>
      </c>
      <c r="U27" s="56"/>
      <c r="V27" s="40" t="str">
        <f>IFERROR(IF(B27&lt;&gt;"",IF(VLOOKUP(A27,'DESEMPATE Y DISCAPACIDAD'!$A$3:$Q$96,7,FALSE)="","",VLOOKUP(A27,'DESEMPATE Y DISCAPACIDAD'!$A$3:$Q$96,7,FALSE)),""),"")</f>
        <v/>
      </c>
      <c r="W27" s="5"/>
      <c r="X27" s="5" t="str">
        <f>IFERROR(IF(B27&lt;&gt;"",IF(VLOOKUP(A27,'DESEMPATE Y DISCAPACIDAD'!$A$3:$Q$96,14,FALSE)="","",VLOOKUP(A27,'DESEMPATE Y DISCAPACIDAD'!$A$3:$Q$96,14,FALSE)),""),"")</f>
        <v/>
      </c>
      <c r="Y27" s="5"/>
      <c r="Z27" s="5"/>
      <c r="AA27" s="5"/>
      <c r="AB27" s="5"/>
      <c r="AC27" s="5"/>
      <c r="AD27" s="5"/>
      <c r="AE27" s="5"/>
      <c r="AF27" s="44"/>
      <c r="AG27" s="56"/>
      <c r="AH27" s="70"/>
    </row>
    <row r="28" spans="1:34" ht="28.25" customHeight="1" thickBot="1">
      <c r="A28" s="395" t="s">
        <v>284</v>
      </c>
      <c r="B28" s="396" t="str">
        <f>IFERROR(INDEX('DESEMPATE Y DISCAPACIDAD'!$B$3:$B$450,MATCH(CONSOLIDADO!A28,'DESEMPATE Y DISCAPACIDAD'!$A$3:$A$450,0)),"")</f>
        <v>CONSORCIO PIVICSA POPAYAN</v>
      </c>
      <c r="C28" s="397" t="s">
        <v>77</v>
      </c>
      <c r="D28" s="397" t="s">
        <v>80</v>
      </c>
      <c r="E28" s="397" t="s">
        <v>77</v>
      </c>
      <c r="F28" s="397" t="str">
        <f>IFERROR(IF(B28&lt;&gt;"",IF(VLOOKUP("A"&amp;A28,'EXPERIENCIA '!$A$1:$AT$672,38,FALSE)="","",VLOOKUP("A"&amp;A28,'EXPERIENCIA '!$A$1:$AT$672,38,FALSE)),""),"")</f>
        <v>HÁBIL</v>
      </c>
      <c r="G28" s="397" t="s">
        <v>77</v>
      </c>
      <c r="H28" s="397" t="s">
        <v>77</v>
      </c>
      <c r="I28" s="397" t="str">
        <f t="shared" si="2"/>
        <v>RECHAZADO</v>
      </c>
      <c r="J28" s="398">
        <f>IFERROR(IF(B28&lt;&gt;"",IF(VLOOKUP(A28,'PONDERACIÓN '!$B$33:$J$99,9,FALSE)="","",VLOOKUP(A28,'PONDERACIÓN '!$B$33:$J$99,9,FALSE)),""),"")</f>
        <v>0</v>
      </c>
      <c r="K28" s="399"/>
      <c r="L28" s="399"/>
      <c r="M28" s="399"/>
      <c r="N28" s="399"/>
      <c r="O28" s="400"/>
      <c r="P28" s="400"/>
      <c r="Q28" s="398">
        <f t="shared" ref="Q28:Q43" si="5">IFERROR(SUM(J28:P28),"")</f>
        <v>0</v>
      </c>
      <c r="R28" s="401"/>
      <c r="S28" s="401"/>
      <c r="T28" s="402">
        <f t="shared" ref="T28:T43" si="6">IFERROR(SUM(Q28,-R28,-S28),"")</f>
        <v>0</v>
      </c>
      <c r="U28" s="56"/>
      <c r="V28" s="40" t="str">
        <f>IFERROR(IF(B28&lt;&gt;"",IF(VLOOKUP(A28,'DESEMPATE Y DISCAPACIDAD'!$A$3:$Q$96,7,FALSE)="","",VLOOKUP(A28,'DESEMPATE Y DISCAPACIDAD'!$A$3:$Q$96,7,FALSE)),""),"")</f>
        <v/>
      </c>
      <c r="W28" s="5"/>
      <c r="X28" s="5" t="str">
        <f>IFERROR(IF(B28&lt;&gt;"",IF(VLOOKUP(A28,'DESEMPATE Y DISCAPACIDAD'!$A$3:$Q$96,14,FALSE)="","",VLOOKUP(A28,'DESEMPATE Y DISCAPACIDAD'!$A$3:$Q$96,14,FALSE)),""),"")</f>
        <v/>
      </c>
      <c r="Y28" s="5"/>
      <c r="Z28" s="5"/>
      <c r="AA28" s="5"/>
      <c r="AB28" s="5"/>
      <c r="AC28" s="5"/>
      <c r="AD28" s="5"/>
      <c r="AE28" s="5"/>
      <c r="AF28" s="44"/>
      <c r="AG28" s="56"/>
      <c r="AH28" s="410" t="s">
        <v>1083</v>
      </c>
    </row>
    <row r="29" spans="1:34" ht="28.25" customHeight="1" thickBot="1">
      <c r="A29" s="154" t="s">
        <v>285</v>
      </c>
      <c r="B29" s="155" t="str">
        <f>IFERROR(INDEX('DESEMPATE Y DISCAPACIDAD'!$B$3:$B$450,MATCH(CONSOLIDADO!A29,'DESEMPATE Y DISCAPACIDAD'!$A$3:$A$450,0)),"")</f>
        <v>CONSORCIO INTERVENTOR VIAL</v>
      </c>
      <c r="C29" s="125" t="s">
        <v>77</v>
      </c>
      <c r="D29" s="125" t="s">
        <v>77</v>
      </c>
      <c r="E29" s="125" t="s">
        <v>77</v>
      </c>
      <c r="F29" s="125" t="str">
        <f>IFERROR(IF(B29&lt;&gt;"",IF(VLOOKUP("A"&amp;A29,'EXPERIENCIA '!$A$1:$AT$672,38,FALSE)="","",VLOOKUP("A"&amp;A29,'EXPERIENCIA '!$A$1:$AT$672,38,FALSE)),""),"")</f>
        <v>HÁBIL</v>
      </c>
      <c r="G29" s="125" t="s">
        <v>77</v>
      </c>
      <c r="H29" s="125" t="s">
        <v>77</v>
      </c>
      <c r="I29" s="125" t="str">
        <f t="shared" si="2"/>
        <v>HÁBIL</v>
      </c>
      <c r="J29" s="192">
        <f>IFERROR(IF(B29&lt;&gt;"",IF(VLOOKUP(A29,'PONDERACIÓN '!$B$33:$J$99,9,FALSE)="","",VLOOKUP(A29,'PONDERACIÓN '!$B$33:$J$99,9,FALSE)),""),"")</f>
        <v>55.82933141615775</v>
      </c>
      <c r="K29" s="186">
        <v>10</v>
      </c>
      <c r="L29" s="125">
        <v>10</v>
      </c>
      <c r="M29" s="229">
        <f>IFERROR(IF(B29&lt;&gt;"",IF(VLOOKUP(A29,'DESEMPATE Y DISCAPACIDAD'!$A$3:$Q$450,17,FALSE)="","",VLOOKUP(A29,'DESEMPATE Y DISCAPACIDAD'!$A$3:$Q$450,17,FALSE)),""),"")</f>
        <v>1</v>
      </c>
      <c r="N29" s="125">
        <v>1</v>
      </c>
      <c r="O29" s="188">
        <v>0.25</v>
      </c>
      <c r="P29" s="188">
        <v>0.25</v>
      </c>
      <c r="Q29" s="192">
        <f t="shared" si="5"/>
        <v>78.329331416157743</v>
      </c>
      <c r="R29" s="193"/>
      <c r="S29" s="193"/>
      <c r="T29" s="194">
        <f t="shared" si="6"/>
        <v>78.329331416157743</v>
      </c>
      <c r="U29" s="56"/>
      <c r="V29" s="40" t="str">
        <f>IFERROR(IF(B29&lt;&gt;"",IF(VLOOKUP(A29,'DESEMPATE Y DISCAPACIDAD'!$A$3:$Q$96,7,FALSE)="","",VLOOKUP(A29,'DESEMPATE Y DISCAPACIDAD'!$A$3:$Q$96,7,FALSE)),""),"")</f>
        <v/>
      </c>
      <c r="W29" s="5"/>
      <c r="X29" s="5" t="str">
        <f>IFERROR(IF(B29&lt;&gt;"",IF(VLOOKUP(A29,'DESEMPATE Y DISCAPACIDAD'!$A$3:$Q$96,14,FALSE)="","",VLOOKUP(A29,'DESEMPATE Y DISCAPACIDAD'!$A$3:$Q$96,14,FALSE)),""),"")</f>
        <v/>
      </c>
      <c r="Y29" s="5"/>
      <c r="Z29" s="5"/>
      <c r="AA29" s="5"/>
      <c r="AB29" s="5"/>
      <c r="AC29" s="5"/>
      <c r="AD29" s="5"/>
      <c r="AE29" s="5"/>
      <c r="AF29" s="44"/>
      <c r="AG29" s="56"/>
      <c r="AH29" s="409"/>
    </row>
    <row r="30" spans="1:34" ht="28.25" customHeight="1" thickBot="1">
      <c r="A30" s="395" t="s">
        <v>286</v>
      </c>
      <c r="B30" s="396" t="str">
        <f>IFERROR(INDEX('DESEMPATE Y DISCAPACIDAD'!$B$3:$B$450,MATCH(CONSOLIDADO!A30,'DESEMPATE Y DISCAPACIDAD'!$A$3:$A$450,0)),"")</f>
        <v>CONSORCIO ID ESTANQUILLO POPAYAN</v>
      </c>
      <c r="C30" s="397" t="s">
        <v>80</v>
      </c>
      <c r="D30" s="397" t="s">
        <v>77</v>
      </c>
      <c r="E30" s="397" t="s">
        <v>77</v>
      </c>
      <c r="F30" s="397" t="str">
        <f>IFERROR(IF(B30&lt;&gt;"",IF(VLOOKUP("A"&amp;A30,'EXPERIENCIA '!$A$1:$AT$672,38,FALSE)="","",VLOOKUP("A"&amp;A30,'EXPERIENCIA '!$A$1:$AT$672,38,FALSE)),""),"")</f>
        <v>HÁBIL</v>
      </c>
      <c r="G30" s="397" t="s">
        <v>80</v>
      </c>
      <c r="H30" s="397" t="s">
        <v>77</v>
      </c>
      <c r="I30" s="397" t="str">
        <f t="shared" si="2"/>
        <v>RECHAZADO</v>
      </c>
      <c r="J30" s="398">
        <f>IFERROR(IF(B30&lt;&gt;"",IF(VLOOKUP(A30,'PONDERACIÓN '!$B$33:$J$99,9,FALSE)="","",VLOOKUP(A30,'PONDERACIÓN '!$B$33:$J$99,9,FALSE)),""),"")</f>
        <v>0</v>
      </c>
      <c r="K30" s="399"/>
      <c r="L30" s="399"/>
      <c r="M30" s="399"/>
      <c r="N30" s="399"/>
      <c r="O30" s="400"/>
      <c r="P30" s="400"/>
      <c r="Q30" s="398">
        <f t="shared" si="5"/>
        <v>0</v>
      </c>
      <c r="R30" s="401"/>
      <c r="S30" s="401"/>
      <c r="T30" s="402">
        <f t="shared" si="6"/>
        <v>0</v>
      </c>
      <c r="U30" s="56"/>
      <c r="V30" s="40" t="str">
        <f>IFERROR(IF(B30&lt;&gt;"",IF(VLOOKUP(A30,'DESEMPATE Y DISCAPACIDAD'!$A$3:$Q$96,7,FALSE)="","",VLOOKUP(A30,'DESEMPATE Y DISCAPACIDAD'!$A$3:$Q$96,7,FALSE)),""),"")</f>
        <v/>
      </c>
      <c r="W30" s="5"/>
      <c r="X30" s="5" t="str">
        <f>IFERROR(IF(B30&lt;&gt;"",IF(VLOOKUP(A30,'DESEMPATE Y DISCAPACIDAD'!$A$3:$Q$96,14,FALSE)="","",VLOOKUP(A30,'DESEMPATE Y DISCAPACIDAD'!$A$3:$Q$96,14,FALSE)),""),"")</f>
        <v/>
      </c>
      <c r="Y30" s="5"/>
      <c r="Z30" s="5"/>
      <c r="AA30" s="5"/>
      <c r="AB30" s="5"/>
      <c r="AC30" s="5"/>
      <c r="AD30" s="5"/>
      <c r="AE30" s="5"/>
      <c r="AF30" s="44"/>
      <c r="AG30" s="56"/>
      <c r="AH30" s="70"/>
    </row>
    <row r="31" spans="1:34" ht="28.25" customHeight="1" thickBot="1">
      <c r="A31" s="154" t="s">
        <v>287</v>
      </c>
      <c r="B31" s="155" t="str">
        <f>IFERROR(INDEX('DESEMPATE Y DISCAPACIDAD'!$B$3:$B$450,MATCH(CONSOLIDADO!A31,'DESEMPATE Y DISCAPACIDAD'!$A$3:$A$450,0)),"")</f>
        <v>CONSORCIO TG ESTANQUILLO POPAYAN</v>
      </c>
      <c r="C31" s="125" t="s">
        <v>77</v>
      </c>
      <c r="D31" s="125" t="s">
        <v>77</v>
      </c>
      <c r="E31" s="125" t="s">
        <v>77</v>
      </c>
      <c r="F31" s="125" t="str">
        <f>IFERROR(IF(B31&lt;&gt;"",IF(VLOOKUP("A"&amp;A31,'EXPERIENCIA '!$A$1:$AT$672,38,FALSE)="","",VLOOKUP("A"&amp;A31,'EXPERIENCIA '!$A$1:$AT$672,38,FALSE)),""),"")</f>
        <v>HÁBIL</v>
      </c>
      <c r="G31" s="125" t="s">
        <v>77</v>
      </c>
      <c r="H31" s="125" t="s">
        <v>77</v>
      </c>
      <c r="I31" s="125" t="str">
        <f t="shared" si="2"/>
        <v>HÁBIL</v>
      </c>
      <c r="J31" s="192">
        <f>IFERROR(IF(B31&lt;&gt;"",IF(VLOOKUP(A31,'PONDERACIÓN '!$B$33:$J$99,9,FALSE)="","",VLOOKUP(A31,'PONDERACIÓN '!$B$33:$J$99,9,FALSE)),""),"")</f>
        <v>56.529138700858091</v>
      </c>
      <c r="K31" s="186">
        <v>10</v>
      </c>
      <c r="L31" s="186">
        <v>10</v>
      </c>
      <c r="M31" s="229">
        <f>IFERROR(IF(B31&lt;&gt;"",IF(VLOOKUP(A31,'DESEMPATE Y DISCAPACIDAD'!$A$3:$Q$450,17,FALSE)="","",VLOOKUP(A31,'DESEMPATE Y DISCAPACIDAD'!$A$3:$Q$450,17,FALSE)),""),"")</f>
        <v>1</v>
      </c>
      <c r="N31" s="186">
        <v>1</v>
      </c>
      <c r="O31" s="188">
        <v>0.25</v>
      </c>
      <c r="P31" s="188">
        <v>0.25</v>
      </c>
      <c r="Q31" s="192">
        <f t="shared" si="5"/>
        <v>79.029138700858084</v>
      </c>
      <c r="R31" s="193"/>
      <c r="S31" s="193"/>
      <c r="T31" s="194">
        <f t="shared" si="6"/>
        <v>79.029138700858084</v>
      </c>
      <c r="U31" s="56"/>
      <c r="V31" s="40" t="str">
        <f>IFERROR(IF(B31&lt;&gt;"",IF(VLOOKUP(A31,'DESEMPATE Y DISCAPACIDAD'!$A$3:$Q$96,7,FALSE)="","",VLOOKUP(A31,'DESEMPATE Y DISCAPACIDAD'!$A$3:$Q$96,7,FALSE)),""),"")</f>
        <v/>
      </c>
      <c r="W31" s="5"/>
      <c r="X31" s="5" t="str">
        <f>IFERROR(IF(B31&lt;&gt;"",IF(VLOOKUP(A31,'DESEMPATE Y DISCAPACIDAD'!$A$3:$Q$96,14,FALSE)="","",VLOOKUP(A31,'DESEMPATE Y DISCAPACIDAD'!$A$3:$Q$96,14,FALSE)),""),"")</f>
        <v/>
      </c>
      <c r="Y31" s="5"/>
      <c r="Z31" s="5"/>
      <c r="AA31" s="5"/>
      <c r="AB31" s="5"/>
      <c r="AC31" s="5"/>
      <c r="AD31" s="5"/>
      <c r="AE31" s="5"/>
      <c r="AF31" s="44"/>
      <c r="AG31" s="56"/>
      <c r="AH31" s="105"/>
    </row>
    <row r="32" spans="1:34" ht="28.25" customHeight="1" thickBot="1">
      <c r="A32" s="154" t="s">
        <v>288</v>
      </c>
      <c r="B32" s="155" t="str">
        <f>IFERROR(INDEX('DESEMPATE Y DISCAPACIDAD'!$B$3:$B$450,MATCH(CONSOLIDADO!A32,'DESEMPATE Y DISCAPACIDAD'!$A$3:$A$450,0)),"")</f>
        <v>CONSORCIO CONCESIÓN ESTANQUILLO- POPAYAN</v>
      </c>
      <c r="C32" s="125" t="s">
        <v>77</v>
      </c>
      <c r="D32" s="125" t="s">
        <v>77</v>
      </c>
      <c r="E32" s="125" t="s">
        <v>77</v>
      </c>
      <c r="F32" s="125" t="str">
        <f>IFERROR(IF(B32&lt;&gt;"",IF(VLOOKUP("A"&amp;A32,'EXPERIENCIA '!$A$1:$AT$672,38,FALSE)="","",VLOOKUP("A"&amp;A32,'EXPERIENCIA '!$A$1:$AT$672,38,FALSE)),""),"")</f>
        <v>HÁBIL</v>
      </c>
      <c r="G32" s="125" t="s">
        <v>77</v>
      </c>
      <c r="H32" s="125" t="s">
        <v>77</v>
      </c>
      <c r="I32" s="125" t="str">
        <f t="shared" si="2"/>
        <v>HÁBIL</v>
      </c>
      <c r="J32" s="192">
        <f>IFERROR(IF(B32&lt;&gt;"",IF(VLOOKUP(A32,'PONDERACIÓN '!$B$33:$J$99,9,FALSE)="","",VLOOKUP(A32,'PONDERACIÓN '!$B$33:$J$99,9,FALSE)),""),"")</f>
        <v>48.91276847612</v>
      </c>
      <c r="K32" s="186">
        <v>10</v>
      </c>
      <c r="L32" s="125">
        <v>10</v>
      </c>
      <c r="M32" s="229">
        <f>IFERROR(IF(B32&lt;&gt;"",IF(VLOOKUP(A32,'DESEMPATE Y DISCAPACIDAD'!$A$3:$Q$450,17,FALSE)="","",VLOOKUP(A32,'DESEMPATE Y DISCAPACIDAD'!$A$3:$Q$450,17,FALSE)),""),"")</f>
        <v>1</v>
      </c>
      <c r="N32" s="125">
        <v>1</v>
      </c>
      <c r="O32" s="188">
        <v>0.25</v>
      </c>
      <c r="P32" s="188">
        <v>0.25</v>
      </c>
      <c r="Q32" s="192">
        <f t="shared" si="5"/>
        <v>71.412768476119993</v>
      </c>
      <c r="R32" s="193"/>
      <c r="S32" s="193"/>
      <c r="T32" s="194">
        <f t="shared" si="6"/>
        <v>71.412768476119993</v>
      </c>
      <c r="U32" s="56"/>
      <c r="V32" s="40" t="str">
        <f>IFERROR(IF(B32&lt;&gt;"",IF(VLOOKUP(A32,'DESEMPATE Y DISCAPACIDAD'!$A$3:$Q$96,7,FALSE)="","",VLOOKUP(A32,'DESEMPATE Y DISCAPACIDAD'!$A$3:$Q$96,7,FALSE)),""),"")</f>
        <v/>
      </c>
      <c r="W32" s="5"/>
      <c r="X32" s="5" t="str">
        <f>IFERROR(IF(B32&lt;&gt;"",IF(VLOOKUP(A32,'DESEMPATE Y DISCAPACIDAD'!$A$3:$Q$96,14,FALSE)="","",VLOOKUP(A32,'DESEMPATE Y DISCAPACIDAD'!$A$3:$Q$96,14,FALSE)),""),"")</f>
        <v/>
      </c>
      <c r="Y32" s="5"/>
      <c r="Z32" s="5"/>
      <c r="AA32" s="5"/>
      <c r="AB32" s="5"/>
      <c r="AC32" s="5"/>
      <c r="AD32" s="5"/>
      <c r="AE32" s="5"/>
      <c r="AF32" s="44"/>
      <c r="AG32" s="56"/>
      <c r="AH32" s="87"/>
    </row>
    <row r="33" spans="1:34" ht="28.25" customHeight="1" thickBot="1">
      <c r="A33" s="395" t="s">
        <v>289</v>
      </c>
      <c r="B33" s="396" t="str">
        <f>IFERROR(INDEX('DESEMPATE Y DISCAPACIDAD'!$B$3:$B$450,MATCH(CONSOLIDADO!A33,'DESEMPATE Y DISCAPACIDAD'!$A$3:$A$450,0)),"")</f>
        <v>CONSORCIO CORREDOR EP 2026</v>
      </c>
      <c r="C33" s="397" t="s">
        <v>77</v>
      </c>
      <c r="D33" s="397" t="s">
        <v>80</v>
      </c>
      <c r="E33" s="397" t="s">
        <v>77</v>
      </c>
      <c r="F33" s="397" t="str">
        <f>IFERROR(IF(B33&lt;&gt;"",IF(VLOOKUP("A"&amp;A33,'EXPERIENCIA '!$A$1:$AT$672,38,FALSE)="","",VLOOKUP("A"&amp;A33,'EXPERIENCIA '!$A$1:$AT$672,38,FALSE)),""),"")</f>
        <v>HÁBIL</v>
      </c>
      <c r="G33" s="397" t="s">
        <v>77</v>
      </c>
      <c r="H33" s="397" t="s">
        <v>77</v>
      </c>
      <c r="I33" s="125" t="str">
        <f t="shared" si="2"/>
        <v>RECHAZADO</v>
      </c>
      <c r="J33" s="398">
        <f>IFERROR(IF(B33&lt;&gt;"",IF(VLOOKUP(A33,'PONDERACIÓN '!$B$33:$J$99,9,FALSE)="","",VLOOKUP(A33,'PONDERACIÓN '!$B$33:$J$99,9,FALSE)),""),"")</f>
        <v>0</v>
      </c>
      <c r="K33" s="399"/>
      <c r="L33" s="399"/>
      <c r="M33" s="399"/>
      <c r="N33" s="397"/>
      <c r="O33" s="400"/>
      <c r="P33" s="400"/>
      <c r="Q33" s="398">
        <f t="shared" si="5"/>
        <v>0</v>
      </c>
      <c r="R33" s="401"/>
      <c r="S33" s="401"/>
      <c r="T33" s="402">
        <f t="shared" si="6"/>
        <v>0</v>
      </c>
      <c r="U33" s="56"/>
      <c r="V33" s="40" t="str">
        <f>IFERROR(IF(B33&lt;&gt;"",IF(VLOOKUP(A33,'DESEMPATE Y DISCAPACIDAD'!$A$3:$Q$96,7,FALSE)="","",VLOOKUP(A33,'DESEMPATE Y DISCAPACIDAD'!$A$3:$Q$96,7,FALSE)),""),"")</f>
        <v/>
      </c>
      <c r="W33" s="5"/>
      <c r="X33" s="5" t="str">
        <f>IFERROR(IF(B33&lt;&gt;"",IF(VLOOKUP(A33,'DESEMPATE Y DISCAPACIDAD'!$A$3:$Q$96,14,FALSE)="","",VLOOKUP(A33,'DESEMPATE Y DISCAPACIDAD'!$A$3:$Q$96,14,FALSE)),""),"")</f>
        <v/>
      </c>
      <c r="Y33" s="5"/>
      <c r="Z33" s="5"/>
      <c r="AA33" s="5"/>
      <c r="AB33" s="5"/>
      <c r="AC33" s="5"/>
      <c r="AD33" s="5"/>
      <c r="AE33" s="5"/>
      <c r="AF33" s="44"/>
      <c r="AG33" s="56"/>
      <c r="AH33" s="70"/>
    </row>
    <row r="34" spans="1:34" ht="28.25" customHeight="1" thickBot="1">
      <c r="A34" s="154" t="s">
        <v>290</v>
      </c>
      <c r="B34" s="155" t="str">
        <f>IFERROR(INDEX('DESEMPATE Y DISCAPACIDAD'!$B$3:$B$450,MATCH(CONSOLIDADO!A34,'DESEMPATE Y DISCAPACIDAD'!$A$3:$A$450,0)),"")</f>
        <v>CONSORCIO DEL SUR SEG - SAITEC - INCOPLAN</v>
      </c>
      <c r="C34" s="125" t="s">
        <v>77</v>
      </c>
      <c r="D34" s="125" t="s">
        <v>77</v>
      </c>
      <c r="E34" s="125" t="s">
        <v>77</v>
      </c>
      <c r="F34" s="125" t="str">
        <f>IFERROR(IF(B34&lt;&gt;"",IF(VLOOKUP("A"&amp;A34,'EXPERIENCIA '!$A$1:$AT$672,38,FALSE)="","",VLOOKUP("A"&amp;A34,'EXPERIENCIA '!$A$1:$AT$672,38,FALSE)),""),"")</f>
        <v>HÁBIL</v>
      </c>
      <c r="G34" s="125" t="s">
        <v>77</v>
      </c>
      <c r="H34" s="125" t="s">
        <v>77</v>
      </c>
      <c r="I34" s="125" t="str">
        <f t="shared" si="2"/>
        <v>HÁBIL</v>
      </c>
      <c r="J34" s="192">
        <f>IFERROR(IF(B34&lt;&gt;"",IF(VLOOKUP(A34,'PONDERACIÓN '!$B$33:$J$99,9,FALSE)="","",VLOOKUP(A34,'PONDERACIÓN '!$B$33:$J$99,9,FALSE)),""),"")</f>
        <v>36.912773493130274</v>
      </c>
      <c r="K34" s="229">
        <v>10</v>
      </c>
      <c r="L34" s="229">
        <v>10</v>
      </c>
      <c r="M34" s="186">
        <f>IFERROR(IF(B34&lt;&gt;"",IF(VLOOKUP(A34,'DESEMPATE Y DISCAPACIDAD'!$A$3:$Q$450,17,FALSE)="","",VLOOKUP(A34,'DESEMPATE Y DISCAPACIDAD'!$A$3:$Q$450,17,FALSE)),""),"")</f>
        <v>1</v>
      </c>
      <c r="N34" s="3">
        <v>1</v>
      </c>
      <c r="O34" s="230">
        <v>0.25</v>
      </c>
      <c r="P34" s="230">
        <v>0.25</v>
      </c>
      <c r="Q34" s="192">
        <f t="shared" si="5"/>
        <v>59.412773493130274</v>
      </c>
      <c r="R34" s="193"/>
      <c r="S34" s="193"/>
      <c r="T34" s="194">
        <f t="shared" si="6"/>
        <v>59.412773493130274</v>
      </c>
      <c r="U34" s="56"/>
      <c r="V34" s="40" t="str">
        <f>IFERROR(IF(B34&lt;&gt;"",IF(VLOOKUP(A34,'DESEMPATE Y DISCAPACIDAD'!$A$3:$Q$96,7,FALSE)="","",VLOOKUP(A34,'DESEMPATE Y DISCAPACIDAD'!$A$3:$Q$96,7,FALSE)),""),"")</f>
        <v/>
      </c>
      <c r="W34" s="5"/>
      <c r="X34" s="5" t="str">
        <f>IFERROR(IF(B34&lt;&gt;"",IF(VLOOKUP(A34,'DESEMPATE Y DISCAPACIDAD'!$A$3:$Q$96,14,FALSE)="","",VLOOKUP(A34,'DESEMPATE Y DISCAPACIDAD'!$A$3:$Q$96,14,FALSE)),""),"")</f>
        <v/>
      </c>
      <c r="Y34" s="5"/>
      <c r="Z34" s="5"/>
      <c r="AA34" s="5"/>
      <c r="AB34" s="5"/>
      <c r="AC34" s="5"/>
      <c r="AD34" s="5"/>
      <c r="AE34" s="5"/>
      <c r="AF34" s="44"/>
      <c r="AG34" s="56"/>
      <c r="AH34" s="70"/>
    </row>
    <row r="35" spans="1:34" ht="28.25" customHeight="1" thickBot="1">
      <c r="A35" s="154" t="s">
        <v>291</v>
      </c>
      <c r="B35" s="155" t="str">
        <f>IFERROR(INDEX('DESEMPATE Y DISCAPACIDAD'!$B$3:$B$450,MATCH(CONSOLIDADO!A35,'DESEMPATE Y DISCAPACIDAD'!$A$3:$A$450,0)),"")</f>
        <v>CONSORCIO CONEXIÓN POPAYÁN</v>
      </c>
      <c r="C35" s="125" t="s">
        <v>77</v>
      </c>
      <c r="D35" s="125" t="s">
        <v>77</v>
      </c>
      <c r="E35" s="125" t="s">
        <v>77</v>
      </c>
      <c r="F35" s="125" t="str">
        <f>IFERROR(IF(B35&lt;&gt;"",IF(VLOOKUP("A"&amp;A35,'EXPERIENCIA '!$A$1:$AT$672,38,FALSE)="","",VLOOKUP("A"&amp;A35,'EXPERIENCIA '!$A$1:$AT$672,38,FALSE)),""),"")</f>
        <v>HÁBIL</v>
      </c>
      <c r="G35" s="125" t="s">
        <v>77</v>
      </c>
      <c r="H35" s="125" t="s">
        <v>77</v>
      </c>
      <c r="I35" s="125" t="str">
        <f t="shared" si="2"/>
        <v>HÁBIL</v>
      </c>
      <c r="J35" s="192">
        <f>IFERROR(IF(B35&lt;&gt;"",IF(VLOOKUP(A35,'PONDERACIÓN '!$B$33:$J$99,9,FALSE)="","",VLOOKUP(A35,'PONDERACIÓN '!$B$33:$J$99,9,FALSE)),""),"")</f>
        <v>61.937633973099757</v>
      </c>
      <c r="K35" s="229">
        <v>10</v>
      </c>
      <c r="L35" s="229">
        <v>10</v>
      </c>
      <c r="M35" s="186">
        <f>IFERROR(IF(B35&lt;&gt;"",IF(VLOOKUP(A35,'DESEMPATE Y DISCAPACIDAD'!$A$3:$Q$450,17,FALSE)="","",VLOOKUP(A35,'DESEMPATE Y DISCAPACIDAD'!$A$3:$Q$450,17,FALSE)),""),"")</f>
        <v>1</v>
      </c>
      <c r="N35" s="3">
        <v>1</v>
      </c>
      <c r="O35" s="230">
        <v>0.25</v>
      </c>
      <c r="P35" s="230">
        <v>0.25</v>
      </c>
      <c r="Q35" s="192">
        <f t="shared" si="5"/>
        <v>84.437633973099764</v>
      </c>
      <c r="R35" s="193"/>
      <c r="S35" s="193"/>
      <c r="T35" s="194">
        <f t="shared" si="6"/>
        <v>84.437633973099764</v>
      </c>
      <c r="U35" s="56"/>
      <c r="V35" s="40" t="str">
        <f>IFERROR(IF(B35&lt;&gt;"",IF(VLOOKUP(A35,'DESEMPATE Y DISCAPACIDAD'!$A$3:$Q$96,7,FALSE)="","",VLOOKUP(A35,'DESEMPATE Y DISCAPACIDAD'!$A$3:$Q$96,7,FALSE)),""),"")</f>
        <v/>
      </c>
      <c r="W35" s="5"/>
      <c r="X35" s="5" t="str">
        <f>IFERROR(IF(B35&lt;&gt;"",IF(VLOOKUP(A35,'DESEMPATE Y DISCAPACIDAD'!$A$3:$Q$96,14,FALSE)="","",VLOOKUP(A35,'DESEMPATE Y DISCAPACIDAD'!$A$3:$Q$96,14,FALSE)),""),"")</f>
        <v/>
      </c>
      <c r="Y35" s="5"/>
      <c r="Z35" s="5"/>
      <c r="AA35" s="5"/>
      <c r="AB35" s="5"/>
      <c r="AC35" s="5"/>
      <c r="AD35" s="5"/>
      <c r="AE35" s="5"/>
      <c r="AF35" s="44"/>
      <c r="AG35" s="56"/>
      <c r="AH35" s="70"/>
    </row>
    <row r="36" spans="1:34" ht="28.25" customHeight="1" thickBot="1">
      <c r="A36" s="395" t="s">
        <v>292</v>
      </c>
      <c r="B36" s="396" t="str">
        <f>IFERROR(INDEX('DESEMPATE Y DISCAPACIDAD'!$B$3:$B$450,MATCH(CONSOLIDADO!A36,'DESEMPATE Y DISCAPACIDAD'!$A$3:$A$450,0)),"")</f>
        <v>CONSORCIO CORREDOR SUR</v>
      </c>
      <c r="C36" s="397" t="s">
        <v>80</v>
      </c>
      <c r="D36" s="397" t="s">
        <v>77</v>
      </c>
      <c r="E36" s="397" t="s">
        <v>77</v>
      </c>
      <c r="F36" s="397" t="str">
        <f>IFERROR(IF(B36&lt;&gt;"",IF(VLOOKUP("A"&amp;A36,'EXPERIENCIA '!$A$1:$AT$672,38,FALSE)="","",VLOOKUP("A"&amp;A36,'EXPERIENCIA '!$A$1:$AT$672,38,FALSE)),""),"")</f>
        <v>HÁBIL</v>
      </c>
      <c r="G36" s="397" t="s">
        <v>77</v>
      </c>
      <c r="H36" s="397" t="s">
        <v>77</v>
      </c>
      <c r="I36" s="397" t="str">
        <f t="shared" si="2"/>
        <v>RECHAZADO</v>
      </c>
      <c r="J36" s="398">
        <f>IFERROR(IF(B36&lt;&gt;"",IF(VLOOKUP(A36,'PONDERACIÓN '!$B$33:$J$99,9,FALSE)="","",VLOOKUP(A36,'PONDERACIÓN '!$B$33:$J$99,9,FALSE)),""),"")</f>
        <v>0</v>
      </c>
      <c r="K36" s="399"/>
      <c r="L36" s="399"/>
      <c r="M36" s="399"/>
      <c r="N36" s="397"/>
      <c r="O36" s="400"/>
      <c r="P36" s="400"/>
      <c r="Q36" s="398">
        <f t="shared" si="5"/>
        <v>0</v>
      </c>
      <c r="R36" s="401"/>
      <c r="S36" s="401"/>
      <c r="T36" s="402">
        <f t="shared" si="6"/>
        <v>0</v>
      </c>
      <c r="U36" s="56"/>
      <c r="V36" s="40" t="str">
        <f>IFERROR(IF(B36&lt;&gt;"",IF(VLOOKUP(A36,'DESEMPATE Y DISCAPACIDAD'!$A$3:$Q$96,7,FALSE)="","",VLOOKUP(A36,'DESEMPATE Y DISCAPACIDAD'!$A$3:$Q$96,7,FALSE)),""),"")</f>
        <v/>
      </c>
      <c r="W36" s="5"/>
      <c r="X36" s="5" t="str">
        <f>IFERROR(IF(B36&lt;&gt;"",IF(VLOOKUP(A36,'DESEMPATE Y DISCAPACIDAD'!$A$3:$Q$96,14,FALSE)="","",VLOOKUP(A36,'DESEMPATE Y DISCAPACIDAD'!$A$3:$Q$96,14,FALSE)),""),"")</f>
        <v/>
      </c>
      <c r="Y36" s="5"/>
      <c r="Z36" s="5"/>
      <c r="AA36" s="5"/>
      <c r="AB36" s="5"/>
      <c r="AC36" s="5"/>
      <c r="AD36" s="5"/>
      <c r="AE36" s="5"/>
      <c r="AF36" s="44"/>
      <c r="AG36" s="56"/>
      <c r="AH36" s="70"/>
    </row>
    <row r="37" spans="1:34" ht="28" customHeight="1" thickBot="1">
      <c r="A37" s="154" t="s">
        <v>293</v>
      </c>
      <c r="B37" s="155" t="str">
        <f>IFERROR(INDEX('DESEMPATE Y DISCAPACIDAD'!$B$3:$B$450,MATCH(CONSOLIDADO!A37,'DESEMPATE Y DISCAPACIDAD'!$A$3:$A$450,0)),"")</f>
        <v>CONSORCIO ESTANQUILLO SCD</v>
      </c>
      <c r="C37" s="125" t="s">
        <v>77</v>
      </c>
      <c r="D37" s="125" t="s">
        <v>77</v>
      </c>
      <c r="E37" s="125" t="s">
        <v>77</v>
      </c>
      <c r="F37" s="125" t="str">
        <f>IFERROR(IF(B37&lt;&gt;"",IF(VLOOKUP("A"&amp;A37,'EXPERIENCIA '!$A$1:$AT$672,38,FALSE)="","",VLOOKUP("A"&amp;A37,'EXPERIENCIA '!$A$1:$AT$672,38,FALSE)),""),"")</f>
        <v>HÁBIL</v>
      </c>
      <c r="G37" s="125" t="s">
        <v>77</v>
      </c>
      <c r="H37" s="125" t="s">
        <v>77</v>
      </c>
      <c r="I37" s="125" t="str">
        <f t="shared" si="2"/>
        <v>HÁBIL</v>
      </c>
      <c r="J37" s="192">
        <f>IFERROR(IF(B37&lt;&gt;"",IF(VLOOKUP(A37,'PONDERACIÓN '!$B$33:$J$99,9,FALSE)="","",VLOOKUP(A37,'PONDERACIÓN '!$B$33:$J$99,9,FALSE)),""),"")</f>
        <v>55.212212094115301</v>
      </c>
      <c r="K37" s="229">
        <v>10</v>
      </c>
      <c r="L37" s="229">
        <v>10</v>
      </c>
      <c r="M37" s="186">
        <f>IFERROR(IF(B37&lt;&gt;"",IF(VLOOKUP(A37,'DESEMPATE Y DISCAPACIDAD'!$A$3:$Q$450,17,FALSE)="","",VLOOKUP(A37,'DESEMPATE Y DISCAPACIDAD'!$A$3:$Q$450,17,FALSE)),""),"")</f>
        <v>1</v>
      </c>
      <c r="N37" s="3">
        <v>1</v>
      </c>
      <c r="O37" s="230">
        <v>0.25</v>
      </c>
      <c r="P37" s="230">
        <v>0.25</v>
      </c>
      <c r="Q37" s="192">
        <f t="shared" si="5"/>
        <v>77.712212094115301</v>
      </c>
      <c r="R37" s="193"/>
      <c r="S37" s="193"/>
      <c r="T37" s="194">
        <f t="shared" si="6"/>
        <v>77.712212094115301</v>
      </c>
      <c r="U37" s="56"/>
      <c r="V37" s="40" t="str">
        <f>IFERROR(IF(B37&lt;&gt;"",IF(VLOOKUP(A37,'DESEMPATE Y DISCAPACIDAD'!$A$3:$Q$96,7,FALSE)="","",VLOOKUP(A37,'DESEMPATE Y DISCAPACIDAD'!$A$3:$Q$96,7,FALSE)),""),"")</f>
        <v/>
      </c>
      <c r="W37" s="5"/>
      <c r="X37" s="5" t="str">
        <f>IFERROR(IF(B37&lt;&gt;"",IF(VLOOKUP(A37,'DESEMPATE Y DISCAPACIDAD'!$A$3:$Q$96,14,FALSE)="","",VLOOKUP(A37,'DESEMPATE Y DISCAPACIDAD'!$A$3:$Q$96,14,FALSE)),""),"")</f>
        <v/>
      </c>
      <c r="Y37" s="5"/>
      <c r="Z37" s="5"/>
      <c r="AA37" s="5"/>
      <c r="AB37" s="5"/>
      <c r="AC37" s="5"/>
      <c r="AD37" s="5"/>
      <c r="AE37" s="5"/>
      <c r="AF37" s="44"/>
      <c r="AG37" s="56"/>
      <c r="AH37" s="70"/>
    </row>
    <row r="38" spans="1:34" ht="28.25" customHeight="1" thickBot="1">
      <c r="A38" s="154" t="s">
        <v>294</v>
      </c>
      <c r="B38" s="155" t="str">
        <f>IFERROR(INDEX('DESEMPATE Y DISCAPACIDAD'!$B$3:$B$450,MATCH(CONSOLIDADO!A38,'DESEMPATE Y DISCAPACIDAD'!$A$3:$A$450,0)),"")</f>
        <v>CONSORCIO GIS INFRAVISIÓN PACÍFICO</v>
      </c>
      <c r="C38" s="125" t="s">
        <v>77</v>
      </c>
      <c r="D38" s="125" t="s">
        <v>77</v>
      </c>
      <c r="E38" s="125" t="s">
        <v>77</v>
      </c>
      <c r="F38" s="125" t="str">
        <f>IFERROR(IF(B38&lt;&gt;"",IF(VLOOKUP("A"&amp;A38,'EXPERIENCIA '!$A$1:$AT$672,38,FALSE)="","",VLOOKUP("A"&amp;A38,'EXPERIENCIA '!$A$1:$AT$672,38,FALSE)),""),"")</f>
        <v>HÁBIL</v>
      </c>
      <c r="G38" s="125" t="s">
        <v>77</v>
      </c>
      <c r="H38" s="125" t="s">
        <v>77</v>
      </c>
      <c r="I38" s="125" t="str">
        <f t="shared" si="2"/>
        <v>HÁBIL</v>
      </c>
      <c r="J38" s="192">
        <f>IFERROR(IF(B38&lt;&gt;"",IF(VLOOKUP(A38,'PONDERACIÓN '!$B$33:$J$99,9,FALSE)="","",VLOOKUP(A38,'PONDERACIÓN '!$B$33:$J$99,9,FALSE)),""),"")</f>
        <v>52.775812166995827</v>
      </c>
      <c r="K38" s="229">
        <v>10</v>
      </c>
      <c r="L38" s="229">
        <v>10</v>
      </c>
      <c r="M38" s="186">
        <f>IFERROR(IF(B38&lt;&gt;"",IF(VLOOKUP(A38,'DESEMPATE Y DISCAPACIDAD'!$A$3:$Q$450,17,FALSE)="","",VLOOKUP(A38,'DESEMPATE Y DISCAPACIDAD'!$A$3:$Q$450,17,FALSE)),""),"")</f>
        <v>1</v>
      </c>
      <c r="N38" s="3">
        <v>1</v>
      </c>
      <c r="O38" s="230">
        <v>0.25</v>
      </c>
      <c r="P38" s="230">
        <v>0.25</v>
      </c>
      <c r="Q38" s="192">
        <f t="shared" si="5"/>
        <v>75.27581216699582</v>
      </c>
      <c r="R38" s="193"/>
      <c r="S38" s="193"/>
      <c r="T38" s="194">
        <f t="shared" si="6"/>
        <v>75.27581216699582</v>
      </c>
      <c r="U38" s="56"/>
      <c r="V38" s="40" t="str">
        <f>IFERROR(IF(B38&lt;&gt;"",IF(VLOOKUP(A38,'DESEMPATE Y DISCAPACIDAD'!$A$3:$Q$96,7,FALSE)="","",VLOOKUP(A38,'DESEMPATE Y DISCAPACIDAD'!$A$3:$Q$96,7,FALSE)),""),"")</f>
        <v/>
      </c>
      <c r="W38" s="5"/>
      <c r="X38" s="5" t="str">
        <f>IFERROR(IF(B38&lt;&gt;"",IF(VLOOKUP(A38,'DESEMPATE Y DISCAPACIDAD'!$A$3:$Q$96,14,FALSE)="","",VLOOKUP(A38,'DESEMPATE Y DISCAPACIDAD'!$A$3:$Q$96,14,FALSE)),""),"")</f>
        <v/>
      </c>
      <c r="Y38" s="5"/>
      <c r="Z38" s="5"/>
      <c r="AA38" s="5"/>
      <c r="AB38" s="5"/>
      <c r="AC38" s="5"/>
      <c r="AD38" s="5"/>
      <c r="AE38" s="5"/>
      <c r="AF38" s="44"/>
      <c r="AG38" s="56"/>
      <c r="AH38" s="70"/>
    </row>
    <row r="39" spans="1:34" ht="28.25" customHeight="1" thickBot="1">
      <c r="A39" s="154" t="s">
        <v>295</v>
      </c>
      <c r="B39" s="155" t="str">
        <f>IFERROR(INDEX('DESEMPATE Y DISCAPACIDAD'!$B$3:$B$450,MATCH(CONSOLIDADO!A39,'DESEMPATE Y DISCAPACIDAD'!$A$3:$A$450,0)),"")</f>
        <v>CONSORCIO INTERVENTOR ESTANQUILLO IEB</v>
      </c>
      <c r="C39" s="125" t="s">
        <v>77</v>
      </c>
      <c r="D39" s="125" t="s">
        <v>77</v>
      </c>
      <c r="E39" s="125" t="s">
        <v>77</v>
      </c>
      <c r="F39" s="125" t="str">
        <f>IFERROR(IF(B39&lt;&gt;"",IF(VLOOKUP("A"&amp;A39,'EXPERIENCIA '!$A$1:$AT$672,38,FALSE)="","",VLOOKUP("A"&amp;A39,'EXPERIENCIA '!$A$1:$AT$672,38,FALSE)),""),"")</f>
        <v>HÁBIL</v>
      </c>
      <c r="G39" s="125" t="s">
        <v>77</v>
      </c>
      <c r="H39" s="125" t="s">
        <v>77</v>
      </c>
      <c r="I39" s="125" t="str">
        <f t="shared" si="2"/>
        <v>HÁBIL</v>
      </c>
      <c r="J39" s="192">
        <f>IFERROR(IF(B39&lt;&gt;"",IF(VLOOKUP(A39,'PONDERACIÓN '!$B$33:$J$99,9,FALSE)="","",VLOOKUP(A39,'PONDERACIÓN '!$B$33:$J$99,9,FALSE)),""),"")</f>
        <v>57.937316307475747</v>
      </c>
      <c r="K39" s="229">
        <v>10</v>
      </c>
      <c r="L39" s="229">
        <v>10</v>
      </c>
      <c r="M39" s="186">
        <f>IFERROR(IF(B39&lt;&gt;"",IF(VLOOKUP(A39,'DESEMPATE Y DISCAPACIDAD'!$A$3:$Q$450,17,FALSE)="","",VLOOKUP(A39,'DESEMPATE Y DISCAPACIDAD'!$A$3:$Q$450,17,FALSE)),""),"")</f>
        <v>1</v>
      </c>
      <c r="N39" s="3">
        <v>1</v>
      </c>
      <c r="O39" s="230">
        <v>0.25</v>
      </c>
      <c r="P39" s="230">
        <v>0.25</v>
      </c>
      <c r="Q39" s="192">
        <f t="shared" si="5"/>
        <v>80.437316307475754</v>
      </c>
      <c r="R39" s="193"/>
      <c r="S39" s="193"/>
      <c r="T39" s="194">
        <f t="shared" si="6"/>
        <v>80.437316307475754</v>
      </c>
      <c r="U39" s="56"/>
      <c r="V39" s="40" t="str">
        <f>IFERROR(IF(B39&lt;&gt;"",IF(VLOOKUP(A39,'DESEMPATE Y DISCAPACIDAD'!$A$3:$Q$96,7,FALSE)="","",VLOOKUP(A39,'DESEMPATE Y DISCAPACIDAD'!$A$3:$Q$96,7,FALSE)),""),"")</f>
        <v/>
      </c>
      <c r="W39" s="5"/>
      <c r="X39" s="5" t="str">
        <f>IFERROR(IF(B39&lt;&gt;"",IF(VLOOKUP(A39,'DESEMPATE Y DISCAPACIDAD'!$A$3:$Q$96,14,FALSE)="","",VLOOKUP(A39,'DESEMPATE Y DISCAPACIDAD'!$A$3:$Q$96,14,FALSE)),""),"")</f>
        <v/>
      </c>
      <c r="Y39" s="5"/>
      <c r="Z39" s="5"/>
      <c r="AA39" s="5"/>
      <c r="AB39" s="5"/>
      <c r="AC39" s="5"/>
      <c r="AD39" s="5"/>
      <c r="AE39" s="5"/>
      <c r="AF39" s="44"/>
      <c r="AG39" s="56"/>
      <c r="AH39" s="70"/>
    </row>
    <row r="40" spans="1:34" ht="28.25" customHeight="1" thickBot="1">
      <c r="A40" s="395" t="s">
        <v>296</v>
      </c>
      <c r="B40" s="396" t="str">
        <f>IFERROR(INDEX('DESEMPATE Y DISCAPACIDAD'!$B$3:$B$450,MATCH(CONSOLIDADO!A40,'DESEMPATE Y DISCAPACIDAD'!$A$3:$A$450,0)),"")</f>
        <v>CONSORCIO STC CORREDOR EP</v>
      </c>
      <c r="C40" s="397" t="s">
        <v>80</v>
      </c>
      <c r="D40" s="397" t="s">
        <v>80</v>
      </c>
      <c r="E40" s="397" t="s">
        <v>77</v>
      </c>
      <c r="F40" s="397" t="str">
        <f>IFERROR(IF(B40&lt;&gt;"",IF(VLOOKUP("A"&amp;A40,'EXPERIENCIA '!$A$1:$AT$672,38,FALSE)="","",VLOOKUP("A"&amp;A40,'EXPERIENCIA '!$A$1:$AT$672,38,FALSE)),""),"")</f>
        <v>HÁBIL</v>
      </c>
      <c r="G40" s="397" t="s">
        <v>77</v>
      </c>
      <c r="H40" s="397" t="s">
        <v>77</v>
      </c>
      <c r="I40" s="397" t="str">
        <f t="shared" si="2"/>
        <v>RECHAZADO</v>
      </c>
      <c r="J40" s="398">
        <f>IFERROR(IF(B40&lt;&gt;"",IF(VLOOKUP(A40,'PONDERACIÓN '!$B$33:$J$99,9,FALSE)="","",VLOOKUP(A40,'PONDERACIÓN '!$B$33:$J$99,9,FALSE)),""),"")</f>
        <v>0</v>
      </c>
      <c r="K40" s="399"/>
      <c r="L40" s="399"/>
      <c r="M40" s="399"/>
      <c r="N40" s="397"/>
      <c r="O40" s="400"/>
      <c r="P40" s="400"/>
      <c r="Q40" s="398">
        <f t="shared" si="5"/>
        <v>0</v>
      </c>
      <c r="R40" s="401"/>
      <c r="S40" s="401"/>
      <c r="T40" s="402">
        <f t="shared" si="6"/>
        <v>0</v>
      </c>
      <c r="U40" s="56"/>
      <c r="V40" s="40" t="str">
        <f>IFERROR(IF(B40&lt;&gt;"",IF(VLOOKUP(A40,'DESEMPATE Y DISCAPACIDAD'!$A$3:$Q$96,7,FALSE)="","",VLOOKUP(A40,'DESEMPATE Y DISCAPACIDAD'!$A$3:$Q$96,7,FALSE)),""),"")</f>
        <v/>
      </c>
      <c r="W40" s="5"/>
      <c r="X40" s="5" t="str">
        <f>IFERROR(IF(B40&lt;&gt;"",IF(VLOOKUP(A40,'DESEMPATE Y DISCAPACIDAD'!$A$3:$Q$96,14,FALSE)="","",VLOOKUP(A40,'DESEMPATE Y DISCAPACIDAD'!$A$3:$Q$96,14,FALSE)),""),"")</f>
        <v/>
      </c>
      <c r="Y40" s="5"/>
      <c r="Z40" s="5"/>
      <c r="AA40" s="5"/>
      <c r="AB40" s="5"/>
      <c r="AC40" s="5"/>
      <c r="AD40" s="5"/>
      <c r="AE40" s="5"/>
      <c r="AF40" s="44"/>
      <c r="AG40" s="56"/>
      <c r="AH40" s="105"/>
    </row>
    <row r="41" spans="1:34" ht="28" customHeight="1" thickBot="1">
      <c r="A41" s="213" t="s">
        <v>297</v>
      </c>
      <c r="B41" s="225" t="str">
        <f>IFERROR(INDEX('DESEMPATE Y DISCAPACIDAD'!$B$3:$B$450,MATCH(CONSOLIDADO!A41,'DESEMPATE Y DISCAPACIDAD'!$A$3:$A$450,0)),"")</f>
        <v>CONSORCIO INTERVENTORES PED ESTANQUILLO</v>
      </c>
      <c r="C41" s="3" t="s">
        <v>77</v>
      </c>
      <c r="D41" s="3" t="s">
        <v>77</v>
      </c>
      <c r="E41" s="3" t="s">
        <v>77</v>
      </c>
      <c r="F41" s="3" t="str">
        <f>IFERROR(IF(B41&lt;&gt;"",IF(VLOOKUP("A"&amp;A41,'EXPERIENCIA '!$A$1:$AT$672,38,FALSE)="","",VLOOKUP("A"&amp;A41,'EXPERIENCIA '!$A$1:$AT$672,38,FALSE)),""),"")</f>
        <v>HÁBIL</v>
      </c>
      <c r="G41" s="3" t="s">
        <v>77</v>
      </c>
      <c r="H41" s="3" t="s">
        <v>77</v>
      </c>
      <c r="I41" s="3" t="str">
        <f t="shared" si="2"/>
        <v>HÁBIL</v>
      </c>
      <c r="J41" s="228">
        <f>IFERROR(IF(B41&lt;&gt;"",IF(VLOOKUP(A41,'PONDERACIÓN '!$B$33:$J$99,9,FALSE)="","",VLOOKUP(A41,'PONDERACIÓN '!$B$33:$J$99,9,FALSE)),""),"")</f>
        <v>74.742100896474952</v>
      </c>
      <c r="K41" s="229">
        <v>10</v>
      </c>
      <c r="L41" s="229">
        <v>10</v>
      </c>
      <c r="M41" s="229">
        <f>IFERROR(IF(B41&lt;&gt;"",IF(VLOOKUP(A41,'DESEMPATE Y DISCAPACIDAD'!$A$3:$Q$450,17,FALSE)="","",VLOOKUP(A41,'DESEMPATE Y DISCAPACIDAD'!$A$3:$Q$450,17,FALSE)),""),"")</f>
        <v>1</v>
      </c>
      <c r="N41" s="3">
        <v>1</v>
      </c>
      <c r="O41" s="230">
        <v>0.25</v>
      </c>
      <c r="P41" s="230">
        <v>0.25</v>
      </c>
      <c r="Q41" s="228">
        <f t="shared" si="5"/>
        <v>97.242100896474952</v>
      </c>
      <c r="R41" s="231"/>
      <c r="S41" s="231"/>
      <c r="T41" s="232">
        <f t="shared" si="6"/>
        <v>97.242100896474952</v>
      </c>
      <c r="U41" s="56"/>
      <c r="V41" s="40" t="str">
        <f>IFERROR(IF(B41&lt;&gt;"",IF(VLOOKUP(A41,'DESEMPATE Y DISCAPACIDAD'!$A$3:$Q$96,7,FALSE)="","",VLOOKUP(A41,'DESEMPATE Y DISCAPACIDAD'!$A$3:$Q$96,7,FALSE)),""),"")</f>
        <v/>
      </c>
      <c r="W41" s="5"/>
      <c r="X41" s="5" t="str">
        <f>IFERROR(IF(B41&lt;&gt;"",IF(VLOOKUP(A41,'DESEMPATE Y DISCAPACIDAD'!$A$3:$Q$96,14,FALSE)="","",VLOOKUP(A41,'DESEMPATE Y DISCAPACIDAD'!$A$3:$Q$96,14,FALSE)),""),"")</f>
        <v/>
      </c>
      <c r="Y41" s="5"/>
      <c r="Z41" s="5"/>
      <c r="AA41" s="5"/>
      <c r="AB41" s="5"/>
      <c r="AC41" s="5"/>
      <c r="AD41" s="5"/>
      <c r="AE41" s="5"/>
      <c r="AF41" s="44"/>
      <c r="AG41" s="56"/>
      <c r="AH41" s="87"/>
    </row>
    <row r="42" spans="1:34" ht="28.25" customHeight="1" thickBot="1">
      <c r="A42" s="213" t="s">
        <v>298</v>
      </c>
      <c r="B42" s="225" t="str">
        <f>IFERROR(INDEX('DESEMPATE Y DISCAPACIDAD'!$B$3:$B$450,MATCH(CONSOLIDADO!A42,'DESEMPATE Y DISCAPACIDAD'!$A$3:$A$450,0)),"")</f>
        <v>CONSORCIO POPAYÁN AR</v>
      </c>
      <c r="C42" s="3" t="s">
        <v>77</v>
      </c>
      <c r="D42" s="3" t="s">
        <v>77</v>
      </c>
      <c r="E42" s="3" t="s">
        <v>77</v>
      </c>
      <c r="F42" s="3" t="str">
        <f>IFERROR(IF(B42&lt;&gt;"",IF(VLOOKUP("A"&amp;A42,'EXPERIENCIA '!$A$1:$AT$672,38,FALSE)="","",VLOOKUP("A"&amp;A42,'EXPERIENCIA '!$A$1:$AT$672,38,FALSE)),""),"")</f>
        <v>HÁBIL</v>
      </c>
      <c r="G42" s="3" t="s">
        <v>77</v>
      </c>
      <c r="H42" s="3" t="s">
        <v>77</v>
      </c>
      <c r="I42" s="3" t="str">
        <f t="shared" si="2"/>
        <v>HÁBIL</v>
      </c>
      <c r="J42" s="228">
        <f>IFERROR(IF(B42&lt;&gt;"",IF(VLOOKUP(A42,'PONDERACIÓN '!$B$33:$J$99,9,FALSE)="","",VLOOKUP(A42,'PONDERACIÓN '!$B$33:$J$99,9,FALSE)),""),"")</f>
        <v>75.920161012224753</v>
      </c>
      <c r="K42" s="229">
        <v>10</v>
      </c>
      <c r="L42" s="229">
        <v>10</v>
      </c>
      <c r="M42" s="229">
        <f>IFERROR(IF(B42&lt;&gt;"",IF(VLOOKUP(A42,'DESEMPATE Y DISCAPACIDAD'!$A$3:$Q$450,17,FALSE)="","",VLOOKUP(A42,'DESEMPATE Y DISCAPACIDAD'!$A$3:$Q$450,17,FALSE)),""),"")</f>
        <v>1</v>
      </c>
      <c r="N42" s="3">
        <v>1</v>
      </c>
      <c r="O42" s="230">
        <v>0.25</v>
      </c>
      <c r="P42" s="230">
        <v>0.25</v>
      </c>
      <c r="Q42" s="228">
        <f t="shared" si="5"/>
        <v>98.420161012224753</v>
      </c>
      <c r="R42" s="231"/>
      <c r="S42" s="231"/>
      <c r="T42" s="232">
        <f t="shared" si="6"/>
        <v>98.420161012224753</v>
      </c>
      <c r="U42" s="56"/>
      <c r="V42" s="40" t="str">
        <f>IFERROR(IF(B42&lt;&gt;"",IF(VLOOKUP(A42,'DESEMPATE Y DISCAPACIDAD'!$A$3:$Q$96,7,FALSE)="","",VLOOKUP(A42,'DESEMPATE Y DISCAPACIDAD'!$A$3:$Q$96,7,FALSE)),""),"")</f>
        <v/>
      </c>
      <c r="W42" s="5"/>
      <c r="X42" s="5" t="str">
        <f>IFERROR(IF(B42&lt;&gt;"",IF(VLOOKUP(A42,'DESEMPATE Y DISCAPACIDAD'!$A$3:$Q$96,14,FALSE)="","",VLOOKUP(A42,'DESEMPATE Y DISCAPACIDAD'!$A$3:$Q$96,14,FALSE)),""),"")</f>
        <v/>
      </c>
      <c r="Y42" s="5"/>
      <c r="Z42" s="5"/>
      <c r="AA42" s="5"/>
      <c r="AB42" s="5"/>
      <c r="AC42" s="5"/>
      <c r="AD42" s="5"/>
      <c r="AE42" s="5"/>
      <c r="AF42" s="44"/>
      <c r="AG42" s="56"/>
      <c r="AH42" s="70"/>
    </row>
    <row r="43" spans="1:34" s="107" customFormat="1" ht="28.25" customHeight="1" thickBot="1">
      <c r="A43" s="213" t="s">
        <v>299</v>
      </c>
      <c r="B43" s="225" t="str">
        <f>IFERROR(INDEX('DESEMPATE Y DISCAPACIDAD'!$B$3:$B$450,MATCH(CONSOLIDADO!A43,'DESEMPATE Y DISCAPACIDAD'!$A$3:$A$450,0)),"")</f>
        <v xml:space="preserve"> CONSORCIO RUTA NACIONAL DEL SUR</v>
      </c>
      <c r="C43" s="3" t="s">
        <v>77</v>
      </c>
      <c r="D43" s="3" t="s">
        <v>77</v>
      </c>
      <c r="E43" s="3" t="s">
        <v>77</v>
      </c>
      <c r="F43" s="3" t="str">
        <f>IFERROR(IF(B43&lt;&gt;"",IF(VLOOKUP("A"&amp;A43,'EXPERIENCIA '!$A$1:$AT$672,38,FALSE)="","",VLOOKUP("A"&amp;A43,'EXPERIENCIA '!$A$1:$AT$672,38,FALSE)),""),"")</f>
        <v>HÁBIL</v>
      </c>
      <c r="G43" s="3" t="s">
        <v>77</v>
      </c>
      <c r="H43" s="3" t="s">
        <v>77</v>
      </c>
      <c r="I43" s="3" t="str">
        <f t="shared" si="2"/>
        <v>HÁBIL</v>
      </c>
      <c r="J43" s="228">
        <f>IFERROR(IF(B43&lt;&gt;"",IF(VLOOKUP(A43,'PONDERACIÓN '!$B$33:$J$99,9,FALSE)="","",VLOOKUP(A43,'PONDERACIÓN '!$B$33:$J$99,9,FALSE)),""),"")</f>
        <v>51.451102272222535</v>
      </c>
      <c r="K43" s="229">
        <v>10</v>
      </c>
      <c r="L43" s="3">
        <v>10</v>
      </c>
      <c r="M43" s="233">
        <f>IFERROR(IF(B43&lt;&gt;"",IF(VLOOKUP(A43,'DESEMPATE Y DISCAPACIDAD'!$A$3:$Q$450,17,FALSE)="","",VLOOKUP(A43,'DESEMPATE Y DISCAPACIDAD'!$A$3:$Q$450,17,FALSE)),""),"")</f>
        <v>0</v>
      </c>
      <c r="N43" s="3">
        <v>1</v>
      </c>
      <c r="O43" s="230">
        <v>0.25</v>
      </c>
      <c r="P43" s="230">
        <v>0.25</v>
      </c>
      <c r="Q43" s="228">
        <f t="shared" si="5"/>
        <v>72.951102272222528</v>
      </c>
      <c r="R43" s="231"/>
      <c r="S43" s="231"/>
      <c r="T43" s="232">
        <f t="shared" si="6"/>
        <v>72.951102272222528</v>
      </c>
      <c r="U43" s="56"/>
      <c r="V43" s="40" t="str">
        <f>IFERROR(IF(B43&lt;&gt;"",IF(VLOOKUP(A43,'DESEMPATE Y DISCAPACIDAD'!$A$3:$Q$96,7,FALSE)="","",VLOOKUP(A43,'DESEMPATE Y DISCAPACIDAD'!$A$3:$Q$96,7,FALSE)),""),"")</f>
        <v/>
      </c>
      <c r="W43" s="5"/>
      <c r="X43" s="5" t="str">
        <f>IFERROR(IF(B43&lt;&gt;"",IF(VLOOKUP(A43,'DESEMPATE Y DISCAPACIDAD'!$A$3:$Q$96,14,FALSE)="","",VLOOKUP(A43,'DESEMPATE Y DISCAPACIDAD'!$A$3:$Q$96,14,FALSE)),""),"")</f>
        <v/>
      </c>
      <c r="Y43" s="5"/>
      <c r="Z43" s="5"/>
      <c r="AA43" s="5"/>
      <c r="AB43" s="5"/>
      <c r="AC43" s="5"/>
      <c r="AD43" s="5"/>
      <c r="AE43" s="5"/>
      <c r="AF43" s="44"/>
      <c r="AG43" s="56"/>
      <c r="AH43" s="234" t="s">
        <v>746</v>
      </c>
    </row>
    <row r="44" spans="1:34" ht="28.25" customHeight="1" thickBot="1">
      <c r="A44" s="213" t="s">
        <v>300</v>
      </c>
      <c r="B44" s="225" t="str">
        <f>IFERROR(INDEX('DESEMPATE Y DISCAPACIDAD'!$B$3:$B$450,MATCH(CONSOLIDADO!A44,'DESEMPATE Y DISCAPACIDAD'!$A$3:$A$450,0)),"")</f>
        <v xml:space="preserve"> CONSORCIO TPF CONEXIÓN POPAYAN</v>
      </c>
      <c r="C44" s="3" t="s">
        <v>77</v>
      </c>
      <c r="D44" s="3" t="s">
        <v>77</v>
      </c>
      <c r="E44" s="3" t="s">
        <v>77</v>
      </c>
      <c r="F44" s="3" t="str">
        <f>IFERROR(IF(B44&lt;&gt;"",IF(VLOOKUP("A"&amp;A44,'EXPERIENCIA '!$A$1:$AT$672,38,FALSE)="","",VLOOKUP("A"&amp;A44,'EXPERIENCIA '!$A$1:$AT$672,38,FALSE)),""),"")</f>
        <v>HÁBIL</v>
      </c>
      <c r="G44" s="3" t="s">
        <v>77</v>
      </c>
      <c r="H44" s="3" t="s">
        <v>77</v>
      </c>
      <c r="I44" s="3" t="str">
        <f t="shared" si="2"/>
        <v>HÁBIL</v>
      </c>
      <c r="J44" s="228">
        <f>IFERROR(IF(B44&lt;&gt;"",IF(VLOOKUP(A44,'PONDERACIÓN '!$B$33:$J$99,9,FALSE)="","",VLOOKUP(A44,'PONDERACIÓN '!$B$33:$J$99,9,FALSE)),""),"")</f>
        <v>56.065458556680518</v>
      </c>
      <c r="K44" s="229">
        <v>10</v>
      </c>
      <c r="L44" s="229">
        <v>10</v>
      </c>
      <c r="M44" s="229">
        <f>IFERROR(IF(B44&lt;&gt;"",IF(VLOOKUP(A44,'DESEMPATE Y DISCAPACIDAD'!$A$3:$Q$450,17,FALSE)="","",VLOOKUP(A44,'DESEMPATE Y DISCAPACIDAD'!$A$3:$Q$450,17,FALSE)),""),"")</f>
        <v>1</v>
      </c>
      <c r="N44" s="229">
        <v>1</v>
      </c>
      <c r="O44" s="230">
        <v>0.25</v>
      </c>
      <c r="P44" s="230">
        <v>0.25</v>
      </c>
      <c r="Q44" s="228">
        <f t="shared" ref="Q44:Q53" si="7">IFERROR(SUM(J44:P44),"")</f>
        <v>78.565458556680511</v>
      </c>
      <c r="R44" s="231"/>
      <c r="S44" s="231"/>
      <c r="T44" s="232">
        <f t="shared" ref="T44:T53" si="8">IFERROR(SUM(Q44,-R44,-S44),"")</f>
        <v>78.565458556680511</v>
      </c>
      <c r="U44" s="56"/>
      <c r="V44" s="40" t="str">
        <f>IFERROR(IF(B44&lt;&gt;"",IF(VLOOKUP(A44,'DESEMPATE Y DISCAPACIDAD'!$A$3:$Q$96,7,FALSE)="","",VLOOKUP(A44,'DESEMPATE Y DISCAPACIDAD'!$A$3:$Q$96,7,FALSE)),""),"")</f>
        <v/>
      </c>
      <c r="W44" s="5"/>
      <c r="X44" s="5" t="str">
        <f>IFERROR(IF(B44&lt;&gt;"",IF(VLOOKUP(A44,'DESEMPATE Y DISCAPACIDAD'!$A$3:$Q$96,14,FALSE)="","",VLOOKUP(A44,'DESEMPATE Y DISCAPACIDAD'!$A$3:$Q$96,14,FALSE)),""),"")</f>
        <v/>
      </c>
      <c r="Y44" s="5"/>
      <c r="Z44" s="5"/>
      <c r="AA44" s="5"/>
      <c r="AB44" s="5"/>
      <c r="AC44" s="5"/>
      <c r="AD44" s="5"/>
      <c r="AE44" s="5"/>
      <c r="AF44" s="44"/>
      <c r="AG44" s="56"/>
      <c r="AH44" s="70"/>
    </row>
    <row r="45" spans="1:34" ht="28.25" customHeight="1" thickBot="1">
      <c r="A45" s="395" t="s">
        <v>301</v>
      </c>
      <c r="B45" s="396" t="str">
        <f>IFERROR(INDEX('DESEMPATE Y DISCAPACIDAD'!$B$3:$B$450,MATCH(CONSOLIDADO!A45,'DESEMPATE Y DISCAPACIDAD'!$A$3:$A$450,0)),"")</f>
        <v xml:space="preserve">CONSORCIO A1V2-SCAIN </v>
      </c>
      <c r="C45" s="397" t="s">
        <v>80</v>
      </c>
      <c r="D45" s="397" t="s">
        <v>77</v>
      </c>
      <c r="E45" s="397" t="s">
        <v>77</v>
      </c>
      <c r="F45" s="397" t="str">
        <f>IFERROR(IF(B45&lt;&gt;"",IF(VLOOKUP("A"&amp;A45,'EXPERIENCIA '!$A$1:$AT$672,38,FALSE)="","",VLOOKUP("A"&amp;A45,'EXPERIENCIA '!$A$1:$AT$672,38,FALSE)),""),"")</f>
        <v>RECHAZADO</v>
      </c>
      <c r="G45" s="397" t="s">
        <v>77</v>
      </c>
      <c r="H45" s="397" t="s">
        <v>80</v>
      </c>
      <c r="I45" s="397" t="str">
        <f t="shared" si="2"/>
        <v>RECHAZADO</v>
      </c>
      <c r="J45" s="398">
        <f>IFERROR(IF(B45&lt;&gt;"",IF(VLOOKUP(A45,'PONDERACIÓN '!$B$33:$J$99,9,FALSE)="","",VLOOKUP(A45,'PONDERACIÓN '!$B$33:$J$99,9,FALSE)),""),"")</f>
        <v>0</v>
      </c>
      <c r="K45" s="399"/>
      <c r="L45" s="399"/>
      <c r="M45" s="399"/>
      <c r="N45" s="399"/>
      <c r="O45" s="400"/>
      <c r="P45" s="400"/>
      <c r="Q45" s="398">
        <f t="shared" si="7"/>
        <v>0</v>
      </c>
      <c r="R45" s="401"/>
      <c r="S45" s="401"/>
      <c r="T45" s="402">
        <f t="shared" si="8"/>
        <v>0</v>
      </c>
      <c r="U45" s="56"/>
      <c r="V45" s="40" t="str">
        <f>IFERROR(IF(B45&lt;&gt;"",IF(VLOOKUP(A45,'DESEMPATE Y DISCAPACIDAD'!$A$3:$Q$96,7,FALSE)="","",VLOOKUP(A45,'DESEMPATE Y DISCAPACIDAD'!$A$3:$Q$96,7,FALSE)),""),"")</f>
        <v/>
      </c>
      <c r="W45" s="5"/>
      <c r="X45" s="5" t="str">
        <f>IFERROR(IF(B45&lt;&gt;"",IF(VLOOKUP(A45,'DESEMPATE Y DISCAPACIDAD'!$A$3:$Q$96,14,FALSE)="","",VLOOKUP(A45,'DESEMPATE Y DISCAPACIDAD'!$A$3:$Q$96,14,FALSE)),""),"")</f>
        <v/>
      </c>
      <c r="Y45" s="5"/>
      <c r="Z45" s="5"/>
      <c r="AA45" s="5"/>
      <c r="AB45" s="5"/>
      <c r="AC45" s="5"/>
      <c r="AD45" s="5"/>
      <c r="AE45" s="5"/>
      <c r="AF45" s="44"/>
      <c r="AG45" s="56"/>
      <c r="AH45" s="70"/>
    </row>
    <row r="46" spans="1:34" ht="28.25" customHeight="1" thickBot="1">
      <c r="A46" s="213" t="s">
        <v>302</v>
      </c>
      <c r="B46" s="225" t="str">
        <f>IFERROR(INDEX('DESEMPATE Y DISCAPACIDAD'!$B$3:$B$450,MATCH(CONSOLIDADO!A46,'DESEMPATE Y DISCAPACIDAD'!$A$3:$A$450,0)),"")</f>
        <v>CONSORCIO CORREDOR POPAYÁN ECI</v>
      </c>
      <c r="C46" s="3" t="s">
        <v>77</v>
      </c>
      <c r="D46" s="3" t="s">
        <v>77</v>
      </c>
      <c r="E46" s="3" t="s">
        <v>77</v>
      </c>
      <c r="F46" s="3" t="str">
        <f>IFERROR(IF(B46&lt;&gt;"",IF(VLOOKUP("A"&amp;A46,'EXPERIENCIA '!$A$1:$AT$672,38,FALSE)="","",VLOOKUP("A"&amp;A46,'EXPERIENCIA '!$A$1:$AT$672,38,FALSE)),""),"")</f>
        <v>HÁBIL</v>
      </c>
      <c r="G46" s="3" t="s">
        <v>77</v>
      </c>
      <c r="H46" s="3" t="s">
        <v>77</v>
      </c>
      <c r="I46" s="3" t="str">
        <f t="shared" si="2"/>
        <v>HÁBIL</v>
      </c>
      <c r="J46" s="228">
        <f>IFERROR(IF(B46&lt;&gt;"",IF(VLOOKUP(A46,'PONDERACIÓN '!$B$33:$J$99,9,FALSE)="","",VLOOKUP(A46,'PONDERACIÓN '!$B$33:$J$99,9,FALSE)),""),"")</f>
        <v>55.001122851288841</v>
      </c>
      <c r="K46" s="229">
        <v>10</v>
      </c>
      <c r="L46" s="229">
        <v>10</v>
      </c>
      <c r="M46" s="229">
        <f>IFERROR(IF(B46&lt;&gt;"",IF(VLOOKUP(A46,'DESEMPATE Y DISCAPACIDAD'!$A$3:$Q$450,17,FALSE)="","",VLOOKUP(A46,'DESEMPATE Y DISCAPACIDAD'!$A$3:$Q$450,17,FALSE)),""),"")</f>
        <v>1</v>
      </c>
      <c r="N46" s="229">
        <v>1</v>
      </c>
      <c r="O46" s="230">
        <v>0.25</v>
      </c>
      <c r="P46" s="230">
        <v>0.25</v>
      </c>
      <c r="Q46" s="228">
        <f t="shared" si="7"/>
        <v>77.501122851288841</v>
      </c>
      <c r="R46" s="231"/>
      <c r="S46" s="231"/>
      <c r="T46" s="232">
        <f t="shared" si="8"/>
        <v>77.501122851288841</v>
      </c>
      <c r="U46" s="56"/>
      <c r="V46" s="40" t="str">
        <f>IFERROR(IF(B46&lt;&gt;"",IF(VLOOKUP(A46,'DESEMPATE Y DISCAPACIDAD'!$A$3:$Q$96,7,FALSE)="","",VLOOKUP(A46,'DESEMPATE Y DISCAPACIDAD'!$A$3:$Q$96,7,FALSE)),""),"")</f>
        <v/>
      </c>
      <c r="W46" s="5"/>
      <c r="X46" s="5" t="str">
        <f>IFERROR(IF(B46&lt;&gt;"",IF(VLOOKUP(A46,'DESEMPATE Y DISCAPACIDAD'!$A$3:$Q$96,14,FALSE)="","",VLOOKUP(A46,'DESEMPATE Y DISCAPACIDAD'!$A$3:$Q$96,14,FALSE)),""),"")</f>
        <v/>
      </c>
      <c r="Y46" s="5"/>
      <c r="Z46" s="5"/>
      <c r="AA46" s="5"/>
      <c r="AB46" s="5"/>
      <c r="AC46" s="5"/>
      <c r="AD46" s="5"/>
      <c r="AE46" s="5"/>
      <c r="AF46" s="44"/>
      <c r="AG46" s="56"/>
      <c r="AH46" s="70"/>
    </row>
    <row r="47" spans="1:34" ht="45" hidden="1" customHeight="1" thickBot="1">
      <c r="A47" s="213" t="s">
        <v>303</v>
      </c>
      <c r="B47" s="225">
        <f>IFERROR(INDEX('DESEMPATE Y DISCAPACIDAD'!$B$3:$B$450,MATCH(CONSOLIDADO!A47,'DESEMPATE Y DISCAPACIDAD'!$A$3:$A$450,0)),"")</f>
        <v>0</v>
      </c>
      <c r="C47" s="3"/>
      <c r="D47" s="3"/>
      <c r="E47" s="3"/>
      <c r="F47" s="3" t="str">
        <f>IFERROR(IF(B47&lt;&gt;"",IF(VLOOKUP("A"&amp;A47,'EXPERIENCIA '!$A$1:$AT$672,38,FALSE)="","",VLOOKUP("A"&amp;A47,'EXPERIENCIA '!$A$1:$AT$672,38,FALSE)),""),"")</f>
        <v/>
      </c>
      <c r="G47" s="3"/>
      <c r="H47" s="3"/>
      <c r="I47" s="3" t="str">
        <f t="shared" si="2"/>
        <v/>
      </c>
      <c r="J47" s="228">
        <f>IFERROR(IF(B47&lt;&gt;"",IF(VLOOKUP(A47,'PONDERACIÓN '!$B$33:$J$99,9,FALSE)="","",VLOOKUP(A47,'PONDERACIÓN '!$B$33:$J$99,9,FALSE)),""),"")</f>
        <v>0</v>
      </c>
      <c r="K47" s="229"/>
      <c r="L47" s="229"/>
      <c r="M47" s="229" t="str">
        <f>IFERROR(IF(B47&lt;&gt;"",IF(VLOOKUP(A47,'DESEMPATE Y DISCAPACIDAD'!$A$3:$Q$450,17,FALSE)="","",VLOOKUP(A47,'DESEMPATE Y DISCAPACIDAD'!$A$3:$Q$450,17,FALSE)),""),"")</f>
        <v/>
      </c>
      <c r="N47" s="229"/>
      <c r="O47" s="230"/>
      <c r="P47" s="230"/>
      <c r="Q47" s="228">
        <f t="shared" si="7"/>
        <v>0</v>
      </c>
      <c r="R47" s="231"/>
      <c r="S47" s="231"/>
      <c r="T47" s="232">
        <f t="shared" si="8"/>
        <v>0</v>
      </c>
      <c r="U47" s="56"/>
      <c r="V47" s="40" t="str">
        <f>IFERROR(IF(B47&lt;&gt;"",IF(VLOOKUP(A47,'DESEMPATE Y DISCAPACIDAD'!$A$3:$Q$96,7,FALSE)="","",VLOOKUP(A47,'DESEMPATE Y DISCAPACIDAD'!$A$3:$Q$96,7,FALSE)),""),"")</f>
        <v/>
      </c>
      <c r="W47" s="5"/>
      <c r="X47" s="5" t="str">
        <f>IFERROR(IF(B47&lt;&gt;"",IF(VLOOKUP(A47,'DESEMPATE Y DISCAPACIDAD'!$A$3:$Q$96,14,FALSE)="","",VLOOKUP(A47,'DESEMPATE Y DISCAPACIDAD'!$A$3:$Q$96,14,FALSE)),""),"")</f>
        <v/>
      </c>
      <c r="Y47" s="5"/>
      <c r="Z47" s="5"/>
      <c r="AA47" s="5"/>
      <c r="AB47" s="5"/>
      <c r="AC47" s="5"/>
      <c r="AD47" s="5"/>
      <c r="AE47" s="5"/>
      <c r="AF47" s="44"/>
      <c r="AG47" s="56"/>
      <c r="AH47" s="70"/>
    </row>
    <row r="48" spans="1:34" ht="45" hidden="1" customHeight="1" thickBot="1">
      <c r="A48" s="213" t="s">
        <v>304</v>
      </c>
      <c r="B48" s="225">
        <f>IFERROR(INDEX('DESEMPATE Y DISCAPACIDAD'!$B$3:$B$450,MATCH(CONSOLIDADO!A48,'DESEMPATE Y DISCAPACIDAD'!$A$3:$A$450,0)),"")</f>
        <v>0</v>
      </c>
      <c r="C48" s="3"/>
      <c r="D48" s="3"/>
      <c r="E48" s="3"/>
      <c r="F48" s="3" t="str">
        <f>IFERROR(IF(B48&lt;&gt;"",IF(VLOOKUP("A"&amp;A48,'EXPERIENCIA '!$A$1:$AT$672,38,FALSE)="","",VLOOKUP("A"&amp;A48,'EXPERIENCIA '!$A$1:$AT$672,38,FALSE)),""),"")</f>
        <v/>
      </c>
      <c r="G48" s="3"/>
      <c r="H48" s="3"/>
      <c r="I48" s="3" t="str">
        <f t="shared" si="2"/>
        <v/>
      </c>
      <c r="J48" s="228">
        <f>IFERROR(IF(B48&lt;&gt;"",IF(VLOOKUP(A48,'PONDERACIÓN '!$B$33:$J$99,9,FALSE)="","",VLOOKUP(A48,'PONDERACIÓN '!$B$33:$J$99,9,FALSE)),""),"")</f>
        <v>0</v>
      </c>
      <c r="K48" s="229"/>
      <c r="L48" s="3"/>
      <c r="M48" s="229" t="str">
        <f>IFERROR(IF(B48&lt;&gt;"",IF(VLOOKUP(A48,'DESEMPATE Y DISCAPACIDAD'!$A$3:$Q$450,17,FALSE)="","",VLOOKUP(A48,'DESEMPATE Y DISCAPACIDAD'!$A$3:$Q$450,17,FALSE)),""),"")</f>
        <v/>
      </c>
      <c r="N48" s="3"/>
      <c r="O48" s="230"/>
      <c r="P48" s="230"/>
      <c r="Q48" s="228">
        <f t="shared" si="7"/>
        <v>0</v>
      </c>
      <c r="R48" s="231"/>
      <c r="S48" s="231"/>
      <c r="T48" s="232">
        <f t="shared" si="8"/>
        <v>0</v>
      </c>
      <c r="U48" s="56"/>
      <c r="V48" s="40" t="str">
        <f>IFERROR(IF(B48&lt;&gt;"",IF(VLOOKUP(A48,'DESEMPATE Y DISCAPACIDAD'!$A$3:$Q$96,7,FALSE)="","",VLOOKUP(A48,'DESEMPATE Y DISCAPACIDAD'!$A$3:$Q$96,7,FALSE)),""),"")</f>
        <v/>
      </c>
      <c r="W48" s="5"/>
      <c r="X48" s="5" t="str">
        <f>IFERROR(IF(B48&lt;&gt;"",IF(VLOOKUP(A48,'DESEMPATE Y DISCAPACIDAD'!$A$3:$Q$96,14,FALSE)="","",VLOOKUP(A48,'DESEMPATE Y DISCAPACIDAD'!$A$3:$Q$96,14,FALSE)),""),"")</f>
        <v/>
      </c>
      <c r="Y48" s="5"/>
      <c r="Z48" s="5"/>
      <c r="AA48" s="5"/>
      <c r="AB48" s="5"/>
      <c r="AC48" s="5"/>
      <c r="AD48" s="5"/>
      <c r="AE48" s="5"/>
      <c r="AF48" s="44"/>
      <c r="AG48" s="56"/>
      <c r="AH48" s="87"/>
    </row>
    <row r="49" spans="1:34" ht="45" hidden="1" customHeight="1" thickBot="1">
      <c r="A49" s="213" t="s">
        <v>305</v>
      </c>
      <c r="B49" s="225">
        <f>IFERROR(INDEX('DESEMPATE Y DISCAPACIDAD'!$B$3:$B$450,MATCH(CONSOLIDADO!A49,'DESEMPATE Y DISCAPACIDAD'!$A$3:$A$450,0)),"")</f>
        <v>0</v>
      </c>
      <c r="C49" s="3"/>
      <c r="D49" s="3"/>
      <c r="E49" s="3"/>
      <c r="F49" s="3" t="str">
        <f>IFERROR(IF(B49&lt;&gt;"",IF(VLOOKUP("A"&amp;A49,'EXPERIENCIA '!$A$1:$AT$672,38,FALSE)="","",VLOOKUP("A"&amp;A49,'EXPERIENCIA '!$A$1:$AT$672,38,FALSE)),""),"")</f>
        <v/>
      </c>
      <c r="G49" s="3"/>
      <c r="H49" s="3"/>
      <c r="I49" s="3" t="str">
        <f t="shared" si="2"/>
        <v/>
      </c>
      <c r="J49" s="228">
        <f>IFERROR(IF(B49&lt;&gt;"",IF(VLOOKUP(A49,'PONDERACIÓN '!$B$33:$J$99,9,FALSE)="","",VLOOKUP(A49,'PONDERACIÓN '!$B$33:$J$99,9,FALSE)),""),"")</f>
        <v>0</v>
      </c>
      <c r="K49" s="229"/>
      <c r="L49" s="3"/>
      <c r="M49" s="229"/>
      <c r="N49" s="3"/>
      <c r="O49" s="230"/>
      <c r="P49" s="230"/>
      <c r="Q49" s="228">
        <f t="shared" si="7"/>
        <v>0</v>
      </c>
      <c r="R49" s="231"/>
      <c r="S49" s="231"/>
      <c r="T49" s="232">
        <f t="shared" si="8"/>
        <v>0</v>
      </c>
      <c r="U49" s="56"/>
      <c r="V49" s="40" t="str">
        <f>IFERROR(IF(B49&lt;&gt;"",IF(VLOOKUP(A49,'DESEMPATE Y DISCAPACIDAD'!$A$3:$Q$96,7,FALSE)="","",VLOOKUP(A49,'DESEMPATE Y DISCAPACIDAD'!$A$3:$Q$96,7,FALSE)),""),"")</f>
        <v/>
      </c>
      <c r="W49" s="5"/>
      <c r="X49" s="5" t="str">
        <f>IFERROR(IF(B49&lt;&gt;"",IF(VLOOKUP(A49,'DESEMPATE Y DISCAPACIDAD'!$A$3:$Q$96,14,FALSE)="","",VLOOKUP(A49,'DESEMPATE Y DISCAPACIDAD'!$A$3:$Q$96,14,FALSE)),""),"")</f>
        <v/>
      </c>
      <c r="Y49" s="5"/>
      <c r="Z49" s="5"/>
      <c r="AA49" s="5"/>
      <c r="AB49" s="5"/>
      <c r="AC49" s="5"/>
      <c r="AD49" s="5"/>
      <c r="AE49" s="5"/>
      <c r="AF49" s="44"/>
      <c r="AG49" s="56"/>
      <c r="AH49" s="87"/>
    </row>
    <row r="50" spans="1:34" ht="45" hidden="1" customHeight="1" thickBot="1">
      <c r="A50" s="213" t="s">
        <v>306</v>
      </c>
      <c r="B50" s="225">
        <f>IFERROR(INDEX('DESEMPATE Y DISCAPACIDAD'!$B$3:$B$450,MATCH(CONSOLIDADO!A50,'DESEMPATE Y DISCAPACIDAD'!$A$3:$A$450,0)),"")</f>
        <v>0</v>
      </c>
      <c r="C50" s="3"/>
      <c r="D50" s="3"/>
      <c r="E50" s="3"/>
      <c r="F50" s="3" t="str">
        <f>IFERROR(IF(B50&lt;&gt;"",IF(VLOOKUP("A"&amp;A50,'EXPERIENCIA '!$A$1:$AT$672,38,FALSE)="","",VLOOKUP("A"&amp;A50,'EXPERIENCIA '!$A$1:$AT$672,38,FALSE)),""),"")</f>
        <v/>
      </c>
      <c r="G50" s="3"/>
      <c r="H50" s="3"/>
      <c r="I50" s="3" t="str">
        <f t="shared" si="2"/>
        <v/>
      </c>
      <c r="J50" s="228">
        <f>IFERROR(IF(B50&lt;&gt;"",IF(VLOOKUP(A50,'PONDERACIÓN '!$B$33:$J$99,9,FALSE)="","",VLOOKUP(A50,'PONDERACIÓN '!$B$33:$J$99,9,FALSE)),""),"")</f>
        <v>0</v>
      </c>
      <c r="K50" s="229"/>
      <c r="L50" s="3"/>
      <c r="M50" s="229" t="str">
        <f>IFERROR(IF(B50&lt;&gt;"",IF(VLOOKUP(A50,'DESEMPATE Y DISCAPACIDAD'!$A$3:$Q$450,17,FALSE)="","",VLOOKUP(A50,'DESEMPATE Y DISCAPACIDAD'!$A$3:$Q$450,17,FALSE)),""),"")</f>
        <v/>
      </c>
      <c r="N50" s="3"/>
      <c r="O50" s="230"/>
      <c r="P50" s="230"/>
      <c r="Q50" s="228">
        <f t="shared" si="7"/>
        <v>0</v>
      </c>
      <c r="R50" s="231"/>
      <c r="S50" s="231"/>
      <c r="T50" s="232">
        <f t="shared" si="8"/>
        <v>0</v>
      </c>
      <c r="U50" s="56"/>
      <c r="V50" s="40" t="str">
        <f>IFERROR(IF(B50&lt;&gt;"",IF(VLOOKUP(A50,'DESEMPATE Y DISCAPACIDAD'!$A$3:$Q$96,7,FALSE)="","",VLOOKUP(A50,'DESEMPATE Y DISCAPACIDAD'!$A$3:$Q$96,7,FALSE)),""),"")</f>
        <v/>
      </c>
      <c r="W50" s="5"/>
      <c r="X50" s="5" t="str">
        <f>IFERROR(IF(B50&lt;&gt;"",IF(VLOOKUP(A50,'DESEMPATE Y DISCAPACIDAD'!$A$3:$Q$96,14,FALSE)="","",VLOOKUP(A50,'DESEMPATE Y DISCAPACIDAD'!$A$3:$Q$96,14,FALSE)),""),"")</f>
        <v/>
      </c>
      <c r="Y50" s="5"/>
      <c r="Z50" s="5"/>
      <c r="AA50" s="5"/>
      <c r="AB50" s="5"/>
      <c r="AC50" s="5"/>
      <c r="AD50" s="5"/>
      <c r="AE50" s="5"/>
      <c r="AF50" s="44"/>
      <c r="AG50" s="56"/>
      <c r="AH50" s="87"/>
    </row>
    <row r="51" spans="1:34" ht="45" hidden="1" customHeight="1" thickBot="1">
      <c r="A51" s="213" t="s">
        <v>307</v>
      </c>
      <c r="B51" s="225">
        <f>IFERROR(INDEX('DESEMPATE Y DISCAPACIDAD'!$B$3:$B$450,MATCH(CONSOLIDADO!A51,'DESEMPATE Y DISCAPACIDAD'!$A$3:$A$450,0)),"")</f>
        <v>0</v>
      </c>
      <c r="C51" s="3"/>
      <c r="D51" s="3"/>
      <c r="E51" s="3"/>
      <c r="F51" s="3" t="str">
        <f>IFERROR(IF(B51&lt;&gt;"",IF(VLOOKUP("A"&amp;A51,'EXPERIENCIA '!$A$1:$AT$672,38,FALSE)="","",VLOOKUP("A"&amp;A51,'EXPERIENCIA '!$A$1:$AT$672,38,FALSE)),""),"")</f>
        <v/>
      </c>
      <c r="G51" s="3"/>
      <c r="H51" s="3"/>
      <c r="I51" s="3" t="str">
        <f t="shared" si="2"/>
        <v/>
      </c>
      <c r="J51" s="228">
        <f>IFERROR(IF(B51&lt;&gt;"",IF(VLOOKUP(A51,'PONDERACIÓN '!$B$33:$J$99,9,FALSE)="","",VLOOKUP(A51,'PONDERACIÓN '!$B$33:$J$99,9,FALSE)),""),"")</f>
        <v>0</v>
      </c>
      <c r="K51" s="229"/>
      <c r="L51" s="3"/>
      <c r="M51" s="229" t="str">
        <f>IFERROR(IF(B51&lt;&gt;"",IF(VLOOKUP(A51,'DESEMPATE Y DISCAPACIDAD'!$A$3:$Q$450,17,FALSE)="","",VLOOKUP(A51,'DESEMPATE Y DISCAPACIDAD'!$A$3:$Q$450,17,FALSE)),""),"")</f>
        <v/>
      </c>
      <c r="N51" s="3"/>
      <c r="O51" s="230"/>
      <c r="P51" s="230"/>
      <c r="Q51" s="228">
        <f t="shared" si="7"/>
        <v>0</v>
      </c>
      <c r="R51" s="231"/>
      <c r="S51" s="231"/>
      <c r="T51" s="232">
        <f t="shared" si="8"/>
        <v>0</v>
      </c>
      <c r="U51" s="56"/>
      <c r="V51" s="40" t="str">
        <f>IFERROR(IF(B51&lt;&gt;"",IF(VLOOKUP(A51,'DESEMPATE Y DISCAPACIDAD'!$A$3:$Q$96,7,FALSE)="","",VLOOKUP(A51,'DESEMPATE Y DISCAPACIDAD'!$A$3:$Q$96,7,FALSE)),""),"")</f>
        <v/>
      </c>
      <c r="W51" s="5"/>
      <c r="X51" s="5" t="str">
        <f>IFERROR(IF(B51&lt;&gt;"",IF(VLOOKUP(A51,'DESEMPATE Y DISCAPACIDAD'!$A$3:$Q$96,14,FALSE)="","",VLOOKUP(A51,'DESEMPATE Y DISCAPACIDAD'!$A$3:$Q$96,14,FALSE)),""),"")</f>
        <v/>
      </c>
      <c r="Y51" s="5"/>
      <c r="Z51" s="5"/>
      <c r="AA51" s="5"/>
      <c r="AB51" s="5"/>
      <c r="AC51" s="5"/>
      <c r="AD51" s="5"/>
      <c r="AE51" s="5"/>
      <c r="AF51" s="44"/>
      <c r="AG51" s="56"/>
      <c r="AH51" s="87"/>
    </row>
    <row r="52" spans="1:34" ht="45" hidden="1" customHeight="1" thickBot="1">
      <c r="A52" s="213" t="s">
        <v>308</v>
      </c>
      <c r="B52" s="225">
        <f>IFERROR(INDEX('DESEMPATE Y DISCAPACIDAD'!$B$3:$B$450,MATCH(CONSOLIDADO!A52,'DESEMPATE Y DISCAPACIDAD'!$A$3:$A$450,0)),"")</f>
        <v>0</v>
      </c>
      <c r="C52" s="3"/>
      <c r="D52" s="3"/>
      <c r="E52" s="3"/>
      <c r="F52" s="3" t="str">
        <f>IFERROR(IF(B52&lt;&gt;"",IF(VLOOKUP("A"&amp;A52,'EXPERIENCIA '!$A$1:$AT$672,38,FALSE)="","",VLOOKUP("A"&amp;A52,'EXPERIENCIA '!$A$1:$AT$672,38,FALSE)),""),"")</f>
        <v/>
      </c>
      <c r="G52" s="3"/>
      <c r="H52" s="3"/>
      <c r="I52" s="3" t="str">
        <f t="shared" si="2"/>
        <v/>
      </c>
      <c r="J52" s="228">
        <f>IFERROR(IF(B52&lt;&gt;"",IF(VLOOKUP(A52,'PONDERACIÓN '!$B$33:$J$99,9,FALSE)="","",VLOOKUP(A52,'PONDERACIÓN '!$B$33:$J$99,9,FALSE)),""),"")</f>
        <v>0</v>
      </c>
      <c r="K52" s="229"/>
      <c r="L52" s="3"/>
      <c r="M52" s="229" t="str">
        <f>IFERROR(IF(B52&lt;&gt;"",IF(VLOOKUP(A52,'DESEMPATE Y DISCAPACIDAD'!$A$3:$Q$450,17,FALSE)="","",VLOOKUP(A52,'DESEMPATE Y DISCAPACIDAD'!$A$3:$Q$450,17,FALSE)),""),"")</f>
        <v/>
      </c>
      <c r="N52" s="3"/>
      <c r="O52" s="230"/>
      <c r="P52" s="230"/>
      <c r="Q52" s="228">
        <f t="shared" si="7"/>
        <v>0</v>
      </c>
      <c r="R52" s="231"/>
      <c r="S52" s="231"/>
      <c r="T52" s="232">
        <f t="shared" si="8"/>
        <v>0</v>
      </c>
      <c r="U52" s="56"/>
      <c r="V52" s="40" t="str">
        <f>IFERROR(IF(B52&lt;&gt;"",IF(VLOOKUP(A52,'DESEMPATE Y DISCAPACIDAD'!$A$3:$Q$96,7,FALSE)="","",VLOOKUP(A52,'DESEMPATE Y DISCAPACIDAD'!$A$3:$Q$96,7,FALSE)),""),"")</f>
        <v/>
      </c>
      <c r="W52" s="5"/>
      <c r="X52" s="5" t="str">
        <f>IFERROR(IF(B52&lt;&gt;"",IF(VLOOKUP(A52,'DESEMPATE Y DISCAPACIDAD'!$A$3:$Q$96,14,FALSE)="","",VLOOKUP(A52,'DESEMPATE Y DISCAPACIDAD'!$A$3:$Q$96,14,FALSE)),""),"")</f>
        <v/>
      </c>
      <c r="Y52" s="5"/>
      <c r="Z52" s="5"/>
      <c r="AA52" s="5"/>
      <c r="AB52" s="5"/>
      <c r="AC52" s="5"/>
      <c r="AD52" s="5"/>
      <c r="AE52" s="5"/>
      <c r="AF52" s="44"/>
      <c r="AG52" s="56"/>
      <c r="AH52" s="87"/>
    </row>
    <row r="53" spans="1:34" ht="45" hidden="1" customHeight="1" thickBot="1">
      <c r="A53" s="213" t="s">
        <v>309</v>
      </c>
      <c r="B53" s="225">
        <f>IFERROR(INDEX('DESEMPATE Y DISCAPACIDAD'!$B$3:$B$450,MATCH(CONSOLIDADO!A53,'DESEMPATE Y DISCAPACIDAD'!$A$3:$A$450,0)),"")</f>
        <v>0</v>
      </c>
      <c r="C53" s="3"/>
      <c r="D53" s="3"/>
      <c r="E53" s="3"/>
      <c r="F53" s="3" t="str">
        <f>IFERROR(IF(B53&lt;&gt;"",IF(VLOOKUP("A"&amp;A53,'EXPERIENCIA '!$A$1:$AT$672,38,FALSE)="","",VLOOKUP("A"&amp;A53,'EXPERIENCIA '!$A$1:$AT$672,38,FALSE)),""),"")</f>
        <v/>
      </c>
      <c r="G53" s="3"/>
      <c r="H53" s="3"/>
      <c r="I53" s="3" t="str">
        <f t="shared" si="2"/>
        <v/>
      </c>
      <c r="J53" s="228">
        <f>IFERROR(IF(B53&lt;&gt;"",IF(VLOOKUP(A53,'PONDERACIÓN '!$B$33:$J$99,9,FALSE)="","",VLOOKUP(A53,'PONDERACIÓN '!$B$33:$J$99,9,FALSE)),""),"")</f>
        <v>0</v>
      </c>
      <c r="K53" s="229"/>
      <c r="L53" s="3"/>
      <c r="M53" s="229" t="str">
        <f>IFERROR(IF(B53&lt;&gt;"",IF(VLOOKUP(A53,'DESEMPATE Y DISCAPACIDAD'!$A$3:$Q$450,17,FALSE)="","",VLOOKUP(A53,'DESEMPATE Y DISCAPACIDAD'!$A$3:$Q$450,17,FALSE)),""),"")</f>
        <v/>
      </c>
      <c r="N53" s="3"/>
      <c r="O53" s="230"/>
      <c r="P53" s="230"/>
      <c r="Q53" s="228">
        <f t="shared" si="7"/>
        <v>0</v>
      </c>
      <c r="R53" s="231"/>
      <c r="S53" s="231"/>
      <c r="T53" s="232">
        <f t="shared" si="8"/>
        <v>0</v>
      </c>
      <c r="U53" s="56"/>
      <c r="V53" s="40" t="str">
        <f>IFERROR(IF(B53&lt;&gt;"",IF(VLOOKUP(A53,'DESEMPATE Y DISCAPACIDAD'!$A$3:$Q$96,7,FALSE)="","",VLOOKUP(A53,'DESEMPATE Y DISCAPACIDAD'!$A$3:$Q$96,7,FALSE)),""),"")</f>
        <v/>
      </c>
      <c r="W53" s="5"/>
      <c r="X53" s="5" t="str">
        <f>IFERROR(IF(B53&lt;&gt;"",IF(VLOOKUP(A53,'DESEMPATE Y DISCAPACIDAD'!$A$3:$Q$96,14,FALSE)="","",VLOOKUP(A53,'DESEMPATE Y DISCAPACIDAD'!$A$3:$Q$96,14,FALSE)),""),"")</f>
        <v/>
      </c>
      <c r="Y53" s="5"/>
      <c r="Z53" s="5"/>
      <c r="AA53" s="5"/>
      <c r="AB53" s="5"/>
      <c r="AC53" s="5"/>
      <c r="AD53" s="5"/>
      <c r="AE53" s="5"/>
      <c r="AF53" s="44"/>
      <c r="AG53" s="56"/>
      <c r="AH53" s="70"/>
    </row>
    <row r="54" spans="1:34" ht="45" hidden="1" customHeight="1" thickBot="1">
      <c r="A54" s="154" t="s">
        <v>310</v>
      </c>
      <c r="B54" s="155">
        <f>IFERROR(INDEX('DESEMPATE Y DISCAPACIDAD'!$B$3:$B$450,MATCH(CONSOLIDADO!A54,'DESEMPATE Y DISCAPACIDAD'!$A$3:$A$450,0)),"")</f>
        <v>0</v>
      </c>
      <c r="C54" s="125"/>
      <c r="D54" s="125"/>
      <c r="E54" s="125"/>
      <c r="F54" s="125" t="str">
        <f>IFERROR(IF(B54&lt;&gt;"",IF(VLOOKUP("A"&amp;A54,'EXPERIENCIA '!$A$1:$AT$672,38,FALSE)="","",VLOOKUP("A"&amp;A54,'EXPERIENCIA '!$A$1:$AT$672,38,FALSE)),""),"")</f>
        <v/>
      </c>
      <c r="G54" s="125"/>
      <c r="H54" s="125"/>
      <c r="I54" s="125" t="str">
        <f t="shared" si="2"/>
        <v/>
      </c>
      <c r="J54" s="192">
        <f>IFERROR(IF(B54&lt;&gt;"",IF(VLOOKUP(A54,'PONDERACIÓN '!$B$33:$J$99,9,FALSE)="","",VLOOKUP(A54,'PONDERACIÓN '!$B$33:$J$99,9,FALSE)),""),"")</f>
        <v>0</v>
      </c>
      <c r="K54" s="186"/>
      <c r="L54" s="125"/>
      <c r="M54" s="186" t="str">
        <f>IFERROR(IF(B54&lt;&gt;"",IF(VLOOKUP(A54,'DESEMPATE Y DISCAPACIDAD'!$A$3:$Q$450,17,FALSE)="","",VLOOKUP(A54,'DESEMPATE Y DISCAPACIDAD'!$A$3:$Q$450,17,FALSE)),""),"")</f>
        <v/>
      </c>
      <c r="N54" s="125"/>
      <c r="O54" s="188"/>
      <c r="P54" s="188"/>
      <c r="Q54" s="192">
        <f t="shared" ref="Q54:Q60" si="9">IFERROR(SUM(J54:P54),"")</f>
        <v>0</v>
      </c>
      <c r="R54" s="193"/>
      <c r="S54" s="193"/>
      <c r="T54" s="194">
        <f t="shared" ref="T54:T60" si="10">IFERROR(SUM(Q54,-R54,-S54),"")</f>
        <v>0</v>
      </c>
      <c r="U54" s="56"/>
      <c r="V54" s="40" t="str">
        <f>IFERROR(IF(B54&lt;&gt;"",IF(VLOOKUP(A54,'DESEMPATE Y DISCAPACIDAD'!$A$3:$Q$96,7,FALSE)="","",VLOOKUP(A54,'DESEMPATE Y DISCAPACIDAD'!$A$3:$Q$96,7,FALSE)),""),"")</f>
        <v/>
      </c>
      <c r="W54" s="5"/>
      <c r="X54" s="5" t="str">
        <f>IFERROR(IF(B54&lt;&gt;"",IF(VLOOKUP(A54,'DESEMPATE Y DISCAPACIDAD'!$A$3:$Q$96,14,FALSE)="","",VLOOKUP(A54,'DESEMPATE Y DISCAPACIDAD'!$A$3:$Q$96,14,FALSE)),""),"")</f>
        <v/>
      </c>
      <c r="Y54" s="5"/>
      <c r="Z54" s="5"/>
      <c r="AA54" s="5"/>
      <c r="AB54" s="5"/>
      <c r="AC54" s="5"/>
      <c r="AD54" s="5"/>
      <c r="AE54" s="5"/>
      <c r="AF54" s="44"/>
      <c r="AG54" s="56"/>
      <c r="AH54" s="106"/>
    </row>
    <row r="55" spans="1:34" ht="45" hidden="1" customHeight="1" thickBot="1">
      <c r="A55" s="154" t="s">
        <v>311</v>
      </c>
      <c r="B55" s="155">
        <f>IFERROR(INDEX('DESEMPATE Y DISCAPACIDAD'!$B$3:$B$450,MATCH(CONSOLIDADO!A55,'DESEMPATE Y DISCAPACIDAD'!$A$3:$A$450,0)),"")</f>
        <v>0</v>
      </c>
      <c r="C55" s="125"/>
      <c r="D55" s="125"/>
      <c r="E55" s="125"/>
      <c r="F55" s="125" t="str">
        <f>IFERROR(IF(B55&lt;&gt;"",IF(VLOOKUP("A"&amp;A55,'EXPERIENCIA '!$A$1:$AT$672,38,FALSE)="","",VLOOKUP("A"&amp;A55,'EXPERIENCIA '!$A$1:$AT$672,38,FALSE)),""),"")</f>
        <v/>
      </c>
      <c r="G55" s="125"/>
      <c r="H55" s="125"/>
      <c r="I55" s="125" t="str">
        <f t="shared" si="2"/>
        <v/>
      </c>
      <c r="J55" s="192">
        <f>IFERROR(IF(B55&lt;&gt;"",IF(VLOOKUP(A55,'PONDERACIÓN '!$B$33:$J$99,9,FALSE)="","",VLOOKUP(A55,'PONDERACIÓN '!$B$33:$J$99,9,FALSE)),""),"")</f>
        <v>0</v>
      </c>
      <c r="K55" s="186"/>
      <c r="L55" s="186"/>
      <c r="M55" s="186" t="str">
        <f>IFERROR(IF(B55&lt;&gt;"",IF(VLOOKUP(A55,'DESEMPATE Y DISCAPACIDAD'!$A$3:$Q$450,17,FALSE)="","",VLOOKUP(A55,'DESEMPATE Y DISCAPACIDAD'!$A$3:$Q$450,17,FALSE)),""),"")</f>
        <v/>
      </c>
      <c r="N55" s="186"/>
      <c r="O55" s="186"/>
      <c r="P55" s="188"/>
      <c r="Q55" s="192">
        <f t="shared" si="9"/>
        <v>0</v>
      </c>
      <c r="R55" s="193"/>
      <c r="S55" s="193"/>
      <c r="T55" s="194">
        <f t="shared" si="10"/>
        <v>0</v>
      </c>
      <c r="U55" s="56"/>
      <c r="V55" s="40" t="str">
        <f>IFERROR(IF(B55&lt;&gt;"",IF(VLOOKUP(A55,'DESEMPATE Y DISCAPACIDAD'!$A$3:$Q$96,7,FALSE)="","",VLOOKUP(A55,'DESEMPATE Y DISCAPACIDAD'!$A$3:$Q$96,7,FALSE)),""),"")</f>
        <v/>
      </c>
      <c r="W55" s="5"/>
      <c r="X55" s="5" t="str">
        <f>IFERROR(IF(B55&lt;&gt;"",IF(VLOOKUP(A55,'DESEMPATE Y DISCAPACIDAD'!$A$3:$Q$96,14,FALSE)="","",VLOOKUP(A55,'DESEMPATE Y DISCAPACIDAD'!$A$3:$Q$96,14,FALSE)),""),"")</f>
        <v/>
      </c>
      <c r="Y55" s="5"/>
      <c r="Z55" s="5"/>
      <c r="AA55" s="5"/>
      <c r="AB55" s="5"/>
      <c r="AC55" s="5"/>
      <c r="AD55" s="5"/>
      <c r="AE55" s="5"/>
      <c r="AF55" s="44"/>
      <c r="AG55" s="56"/>
      <c r="AH55" s="105"/>
    </row>
    <row r="56" spans="1:34" ht="45" hidden="1" customHeight="1" thickBot="1">
      <c r="A56" s="154" t="s">
        <v>312</v>
      </c>
      <c r="B56" s="155">
        <f>IFERROR(INDEX('DESEMPATE Y DISCAPACIDAD'!$B$3:$B$450,MATCH(CONSOLIDADO!A56,'DESEMPATE Y DISCAPACIDAD'!$A$3:$A$450,0)),"")</f>
        <v>0</v>
      </c>
      <c r="C56" s="125"/>
      <c r="D56" s="125"/>
      <c r="E56" s="125"/>
      <c r="F56" s="125" t="str">
        <f>IFERROR(IF(B56&lt;&gt;"",IF(VLOOKUP("A"&amp;A56,'EXPERIENCIA '!$A$1:$AT$672,38,FALSE)="","",VLOOKUP("A"&amp;A56,'EXPERIENCIA '!$A$1:$AT$672,38,FALSE)),""),"")</f>
        <v/>
      </c>
      <c r="G56" s="125"/>
      <c r="H56" s="125"/>
      <c r="I56" s="125" t="str">
        <f t="shared" si="2"/>
        <v/>
      </c>
      <c r="J56" s="192">
        <f>IFERROR(IF(B56&lt;&gt;"",IF(VLOOKUP(A56,'PONDERACIÓN '!$B$33:$J$99,9,FALSE)="","",VLOOKUP(A56,'PONDERACIÓN '!$B$33:$J$99,9,FALSE)),""),"")</f>
        <v>0</v>
      </c>
      <c r="K56" s="186"/>
      <c r="L56" s="125"/>
      <c r="M56" s="186" t="str">
        <f>IFERROR(IF(B56&lt;&gt;"",IF(VLOOKUP(A56,'DESEMPATE Y DISCAPACIDAD'!$A$3:$Q$450,17,FALSE)="","",VLOOKUP(A56,'DESEMPATE Y DISCAPACIDAD'!$A$3:$Q$450,17,FALSE)),""),"")</f>
        <v/>
      </c>
      <c r="N56" s="125"/>
      <c r="O56" s="188"/>
      <c r="P56" s="188"/>
      <c r="Q56" s="192">
        <f t="shared" si="9"/>
        <v>0</v>
      </c>
      <c r="R56" s="193"/>
      <c r="S56" s="193"/>
      <c r="T56" s="194">
        <f t="shared" si="10"/>
        <v>0</v>
      </c>
      <c r="U56" s="56"/>
      <c r="V56" s="40" t="str">
        <f>IFERROR(IF(B56&lt;&gt;"",IF(VLOOKUP(A56,'DESEMPATE Y DISCAPACIDAD'!$A$3:$Q$96,7,FALSE)="","",VLOOKUP(A56,'DESEMPATE Y DISCAPACIDAD'!$A$3:$Q$96,7,FALSE)),""),"")</f>
        <v/>
      </c>
      <c r="W56" s="5"/>
      <c r="X56" s="5" t="str">
        <f>IFERROR(IF(B56&lt;&gt;"",IF(VLOOKUP(A56,'DESEMPATE Y DISCAPACIDAD'!$A$3:$Q$96,14,FALSE)="","",VLOOKUP(A56,'DESEMPATE Y DISCAPACIDAD'!$A$3:$Q$96,14,FALSE)),""),"")</f>
        <v/>
      </c>
      <c r="Y56" s="5"/>
      <c r="Z56" s="5"/>
      <c r="AA56" s="5"/>
      <c r="AB56" s="5"/>
      <c r="AC56" s="5"/>
      <c r="AD56" s="5"/>
      <c r="AE56" s="5"/>
      <c r="AF56" s="44"/>
      <c r="AG56" s="56"/>
      <c r="AH56" s="106"/>
    </row>
    <row r="57" spans="1:34" ht="45" hidden="1" customHeight="1" thickBot="1">
      <c r="A57" s="154" t="s">
        <v>313</v>
      </c>
      <c r="B57" s="155">
        <f>IFERROR(INDEX('DESEMPATE Y DISCAPACIDAD'!$B$3:$B$450,MATCH(CONSOLIDADO!A57,'DESEMPATE Y DISCAPACIDAD'!$A$3:$A$450,0)),"")</f>
        <v>0</v>
      </c>
      <c r="C57" s="125"/>
      <c r="D57" s="125"/>
      <c r="E57" s="125"/>
      <c r="F57" s="125" t="str">
        <f>IFERROR(IF(B57&lt;&gt;"",IF(VLOOKUP("A"&amp;A57,'EXPERIENCIA '!$A$1:$AT$672,38,FALSE)="","",VLOOKUP("A"&amp;A57,'EXPERIENCIA '!$A$1:$AT$672,38,FALSE)),""),"")</f>
        <v/>
      </c>
      <c r="G57" s="125"/>
      <c r="H57" s="125"/>
      <c r="I57" s="125" t="str">
        <f t="shared" si="2"/>
        <v/>
      </c>
      <c r="J57" s="192">
        <f>IFERROR(IF(B57&lt;&gt;"",IF(VLOOKUP(A57,'PONDERACIÓN '!$B$33:$J$99,9,FALSE)="","",VLOOKUP(A57,'PONDERACIÓN '!$B$33:$J$99,9,FALSE)),""),"")</f>
        <v>0</v>
      </c>
      <c r="K57" s="186"/>
      <c r="L57" s="125"/>
      <c r="M57" s="186" t="str">
        <f>IFERROR(IF(B57&lt;&gt;"",IF(VLOOKUP(A57,'DESEMPATE Y DISCAPACIDAD'!$A$3:$Q$450,17,FALSE)="","",VLOOKUP(A57,'DESEMPATE Y DISCAPACIDAD'!$A$3:$Q$450,17,FALSE)),""),"")</f>
        <v/>
      </c>
      <c r="N57" s="125"/>
      <c r="O57" s="188"/>
      <c r="P57" s="188"/>
      <c r="Q57" s="192">
        <f t="shared" si="9"/>
        <v>0</v>
      </c>
      <c r="R57" s="193"/>
      <c r="S57" s="193"/>
      <c r="T57" s="194">
        <f t="shared" si="10"/>
        <v>0</v>
      </c>
      <c r="U57" s="56"/>
      <c r="V57" s="40" t="str">
        <f>IFERROR(IF(B57&lt;&gt;"",IF(VLOOKUP(A57,'DESEMPATE Y DISCAPACIDAD'!$A$3:$Q$96,7,FALSE)="","",VLOOKUP(A57,'DESEMPATE Y DISCAPACIDAD'!$A$3:$Q$96,7,FALSE)),""),"")</f>
        <v/>
      </c>
      <c r="W57" s="5"/>
      <c r="X57" s="5" t="str">
        <f>IFERROR(IF(B57&lt;&gt;"",IF(VLOOKUP(A57,'DESEMPATE Y DISCAPACIDAD'!$A$3:$Q$96,14,FALSE)="","",VLOOKUP(A57,'DESEMPATE Y DISCAPACIDAD'!$A$3:$Q$96,14,FALSE)),""),"")</f>
        <v/>
      </c>
      <c r="Y57" s="5"/>
      <c r="Z57" s="5"/>
      <c r="AA57" s="5"/>
      <c r="AB57" s="5"/>
      <c r="AC57" s="5"/>
      <c r="AD57" s="5"/>
      <c r="AE57" s="5"/>
      <c r="AF57" s="44"/>
      <c r="AG57" s="56"/>
      <c r="AH57" s="105"/>
    </row>
    <row r="58" spans="1:34" ht="45" hidden="1" customHeight="1" thickBot="1">
      <c r="A58" s="154" t="s">
        <v>314</v>
      </c>
      <c r="B58" s="155">
        <f>IFERROR(INDEX('DESEMPATE Y DISCAPACIDAD'!$B$3:$B$450,MATCH(CONSOLIDADO!A58,'DESEMPATE Y DISCAPACIDAD'!$A$3:$A$450,0)),"")</f>
        <v>0</v>
      </c>
      <c r="C58" s="125"/>
      <c r="D58" s="125"/>
      <c r="E58" s="125"/>
      <c r="F58" s="125" t="str">
        <f>IFERROR(IF(B58&lt;&gt;"",IF(VLOOKUP("A"&amp;A58,'EXPERIENCIA '!$A$1:$AT$672,38,FALSE)="","",VLOOKUP("A"&amp;A58,'EXPERIENCIA '!$A$1:$AT$672,38,FALSE)),""),"")</f>
        <v/>
      </c>
      <c r="G58" s="125"/>
      <c r="H58" s="125"/>
      <c r="I58" s="125" t="str">
        <f t="shared" si="2"/>
        <v/>
      </c>
      <c r="J58" s="192">
        <f>IFERROR(IF(B58&lt;&gt;"",IF(VLOOKUP(A58,'PONDERACIÓN '!$B$33:$J$99,9,FALSE)="","",VLOOKUP(A58,'PONDERACIÓN '!$B$33:$J$99,9,FALSE)),""),"")</f>
        <v>0</v>
      </c>
      <c r="K58" s="186"/>
      <c r="L58" s="186"/>
      <c r="M58" s="186" t="str">
        <f>IFERROR(IF(B58&lt;&gt;"",IF(VLOOKUP(A58,'DESEMPATE Y DISCAPACIDAD'!$A$3:$Q$450,17,FALSE)="","",VLOOKUP(A58,'DESEMPATE Y DISCAPACIDAD'!$A$3:$Q$450,17,FALSE)),""),"")</f>
        <v/>
      </c>
      <c r="N58" s="186"/>
      <c r="O58" s="186"/>
      <c r="P58" s="186"/>
      <c r="Q58" s="192">
        <f t="shared" si="9"/>
        <v>0</v>
      </c>
      <c r="R58" s="193"/>
      <c r="S58" s="193"/>
      <c r="T58" s="194">
        <f t="shared" si="10"/>
        <v>0</v>
      </c>
      <c r="U58" s="56"/>
      <c r="V58" s="40" t="str">
        <f>IFERROR(IF(B58&lt;&gt;"",IF(VLOOKUP(A58,'DESEMPATE Y DISCAPACIDAD'!$A$3:$Q$96,7,FALSE)="","",VLOOKUP(A58,'DESEMPATE Y DISCAPACIDAD'!$A$3:$Q$96,7,FALSE)),""),"")</f>
        <v/>
      </c>
      <c r="W58" s="5"/>
      <c r="X58" s="5" t="str">
        <f>IFERROR(IF(B58&lt;&gt;"",IF(VLOOKUP(A58,'DESEMPATE Y DISCAPACIDAD'!$A$3:$Q$96,14,FALSE)="","",VLOOKUP(A58,'DESEMPATE Y DISCAPACIDAD'!$A$3:$Q$96,14,FALSE)),""),"")</f>
        <v/>
      </c>
      <c r="Y58" s="5"/>
      <c r="Z58" s="5"/>
      <c r="AA58" s="5"/>
      <c r="AB58" s="5"/>
      <c r="AC58" s="5"/>
      <c r="AD58" s="5"/>
      <c r="AE58" s="5"/>
      <c r="AF58" s="44"/>
      <c r="AG58" s="56"/>
      <c r="AH58" s="106"/>
    </row>
    <row r="59" spans="1:34" ht="45" hidden="1" customHeight="1" thickBot="1">
      <c r="A59" s="154" t="s">
        <v>315</v>
      </c>
      <c r="B59" s="155">
        <f>IFERROR(INDEX('DESEMPATE Y DISCAPACIDAD'!$B$3:$B$450,MATCH(CONSOLIDADO!A59,'DESEMPATE Y DISCAPACIDAD'!$A$3:$A$450,0)),"")</f>
        <v>0</v>
      </c>
      <c r="C59" s="125"/>
      <c r="D59" s="125"/>
      <c r="E59" s="125"/>
      <c r="F59" s="125" t="str">
        <f>IFERROR(IF(B59&lt;&gt;"",IF(VLOOKUP("A"&amp;A59,'EXPERIENCIA '!$A$1:$AT$672,38,FALSE)="","",VLOOKUP("A"&amp;A59,'EXPERIENCIA '!$A$1:$AT$672,38,FALSE)),""),"")</f>
        <v/>
      </c>
      <c r="G59" s="125"/>
      <c r="H59" s="125"/>
      <c r="I59" s="125" t="str">
        <f t="shared" si="2"/>
        <v/>
      </c>
      <c r="J59" s="192">
        <f>IFERROR(IF(B59&lt;&gt;"",IF(VLOOKUP(A59,'PONDERACIÓN '!$B$33:$J$99,9,FALSE)="","",VLOOKUP(A59,'PONDERACIÓN '!$B$33:$J$99,9,FALSE)),""),"")</f>
        <v>0</v>
      </c>
      <c r="K59" s="186"/>
      <c r="L59" s="125"/>
      <c r="M59" s="186" t="str">
        <f>IFERROR(IF(B59&lt;&gt;"",IF(VLOOKUP(A59,'DESEMPATE Y DISCAPACIDAD'!$A$3:$Q$450,17,FALSE)="","",VLOOKUP(A59,'DESEMPATE Y DISCAPACIDAD'!$A$3:$Q$450,17,FALSE)),""),"")</f>
        <v/>
      </c>
      <c r="N59" s="125"/>
      <c r="O59" s="188"/>
      <c r="P59" s="188"/>
      <c r="Q59" s="192">
        <f t="shared" si="9"/>
        <v>0</v>
      </c>
      <c r="R59" s="193"/>
      <c r="S59" s="193"/>
      <c r="T59" s="194">
        <f t="shared" si="10"/>
        <v>0</v>
      </c>
      <c r="U59" s="56"/>
      <c r="V59" s="40" t="str">
        <f>IFERROR(IF(B59&lt;&gt;"",IF(VLOOKUP(A59,'DESEMPATE Y DISCAPACIDAD'!$A$3:$Q$96,7,FALSE)="","",VLOOKUP(A59,'DESEMPATE Y DISCAPACIDAD'!$A$3:$Q$96,7,FALSE)),""),"")</f>
        <v/>
      </c>
      <c r="W59" s="5"/>
      <c r="X59" s="5" t="str">
        <f>IFERROR(IF(B59&lt;&gt;"",IF(VLOOKUP(A59,'DESEMPATE Y DISCAPACIDAD'!$A$3:$Q$96,14,FALSE)="","",VLOOKUP(A59,'DESEMPATE Y DISCAPACIDAD'!$A$3:$Q$96,14,FALSE)),""),"")</f>
        <v/>
      </c>
      <c r="Y59" s="5"/>
      <c r="Z59" s="5"/>
      <c r="AA59" s="5"/>
      <c r="AB59" s="5"/>
      <c r="AC59" s="5"/>
      <c r="AD59" s="5"/>
      <c r="AE59" s="5"/>
      <c r="AF59" s="44"/>
      <c r="AG59" s="56"/>
      <c r="AH59" s="105"/>
    </row>
    <row r="60" spans="1:34" ht="45" hidden="1" customHeight="1" thickBot="1">
      <c r="A60" s="154" t="s">
        <v>316</v>
      </c>
      <c r="B60" s="155">
        <f>IFERROR(INDEX('DESEMPATE Y DISCAPACIDAD'!$B$3:$B$450,MATCH(CONSOLIDADO!A60,'DESEMPATE Y DISCAPACIDAD'!$A$3:$A$450,0)),"")</f>
        <v>0</v>
      </c>
      <c r="C60" s="125"/>
      <c r="D60" s="125"/>
      <c r="E60" s="125"/>
      <c r="F60" s="125" t="str">
        <f>IFERROR(IF(B60&lt;&gt;"",IF(VLOOKUP("A"&amp;A60,'EXPERIENCIA '!$A$1:$AT$672,38,FALSE)="","",VLOOKUP("A"&amp;A60,'EXPERIENCIA '!$A$1:$AT$672,38,FALSE)),""),"")</f>
        <v/>
      </c>
      <c r="G60" s="125"/>
      <c r="H60" s="125"/>
      <c r="I60" s="125" t="str">
        <f t="shared" si="2"/>
        <v/>
      </c>
      <c r="J60" s="192">
        <f>IFERROR(IF(B60&lt;&gt;"",IF(VLOOKUP(A60,'PONDERACIÓN '!$B$33:$J$99,9,FALSE)="","",VLOOKUP(A60,'PONDERACIÓN '!$B$33:$J$99,9,FALSE)),""),"")</f>
        <v>0</v>
      </c>
      <c r="K60" s="186"/>
      <c r="L60" s="186"/>
      <c r="M60" s="186" t="str">
        <f>IFERROR(IF(B60&lt;&gt;"",IF(VLOOKUP(A60,'DESEMPATE Y DISCAPACIDAD'!$A$3:$Q$450,17,FALSE)="","",VLOOKUP(A60,'DESEMPATE Y DISCAPACIDAD'!$A$3:$Q$450,17,FALSE)),""),"")</f>
        <v/>
      </c>
      <c r="N60" s="186"/>
      <c r="O60" s="186"/>
      <c r="P60" s="186"/>
      <c r="Q60" s="192">
        <f t="shared" si="9"/>
        <v>0</v>
      </c>
      <c r="R60" s="193"/>
      <c r="S60" s="193"/>
      <c r="T60" s="194">
        <f t="shared" si="10"/>
        <v>0</v>
      </c>
      <c r="U60" s="56"/>
      <c r="V60" s="40" t="str">
        <f>IFERROR(IF(B60&lt;&gt;"",IF(VLOOKUP(A60,'DESEMPATE Y DISCAPACIDAD'!$A$3:$Q$96,7,FALSE)="","",VLOOKUP(A60,'DESEMPATE Y DISCAPACIDAD'!$A$3:$Q$96,7,FALSE)),""),"")</f>
        <v/>
      </c>
      <c r="W60" s="5"/>
      <c r="X60" s="5" t="str">
        <f>IFERROR(IF(B60&lt;&gt;"",IF(VLOOKUP(A60,'DESEMPATE Y DISCAPACIDAD'!$A$3:$Q$96,14,FALSE)="","",VLOOKUP(A60,'DESEMPATE Y DISCAPACIDAD'!$A$3:$Q$96,14,FALSE)),""),"")</f>
        <v/>
      </c>
      <c r="Y60" s="5"/>
      <c r="Z60" s="5"/>
      <c r="AA60" s="5"/>
      <c r="AB60" s="5"/>
      <c r="AC60" s="5"/>
      <c r="AD60" s="5"/>
      <c r="AE60" s="5"/>
      <c r="AF60" s="44"/>
      <c r="AG60" s="56"/>
      <c r="AH60" s="105"/>
    </row>
    <row r="61" spans="1:34" ht="45" hidden="1" customHeight="1" thickBot="1">
      <c r="A61" s="154" t="s">
        <v>317</v>
      </c>
      <c r="B61" s="155">
        <f>IFERROR(INDEX('DESEMPATE Y DISCAPACIDAD'!$B$3:$B$450,MATCH(CONSOLIDADO!A61,'DESEMPATE Y DISCAPACIDAD'!$A$3:$A$450,0)),"")</f>
        <v>0</v>
      </c>
      <c r="C61" s="125"/>
      <c r="D61" s="125"/>
      <c r="E61" s="125"/>
      <c r="F61" s="125" t="str">
        <f>IFERROR(IF(B61&lt;&gt;"",IF(VLOOKUP("A"&amp;A61,'EXPERIENCIA '!$A$1:$AT$672,38,FALSE)="","",VLOOKUP("A"&amp;A61,'EXPERIENCIA '!$A$1:$AT$672,38,FALSE)),""),"")</f>
        <v/>
      </c>
      <c r="G61" s="125"/>
      <c r="H61" s="125"/>
      <c r="I61" s="125" t="str">
        <f>IFERROR(IF(COUNTIF(C61:H61,"RECHAZADO")&gt;0,"RECHAZADO",IF(COUNTIF(C61:H61,"NO HÁBIL")&gt;0,"NO HÁBIL",IF(COUNTIF(C61:H61,"PENDIENTE")&gt;0,"PENDIENTE",IF(AND(C61="HÁBIL",D61="HÁBIL",E61="HÁBIL",F61="HÁBIL",G61="HÁBIL",H61="HÁBIL"),"HÁBIL","")))),"")</f>
        <v/>
      </c>
      <c r="J61" s="192">
        <f>IFERROR(IF(B61&lt;&gt;"",IF(VLOOKUP(A61,'PONDERACIÓN '!$B$33:$J$99,9,FALSE)="","",VLOOKUP(A61,'PONDERACIÓN '!$B$33:$J$99,9,FALSE)),""),"")</f>
        <v>0</v>
      </c>
      <c r="K61" s="186"/>
      <c r="L61" s="186"/>
      <c r="M61" s="186" t="str">
        <f>IFERROR(IF(B61&lt;&gt;"",IF(VLOOKUP(A61,'DESEMPATE Y DISCAPACIDAD'!$A$3:$Q$450,17,FALSE)="","",VLOOKUP(A61,'DESEMPATE Y DISCAPACIDAD'!$A$3:$Q$450,17,FALSE)),""),"")</f>
        <v/>
      </c>
      <c r="N61" s="186"/>
      <c r="O61" s="186"/>
      <c r="P61" s="186"/>
      <c r="Q61" s="192">
        <f>IFERROR(SUM(J61:P61),"")</f>
        <v>0</v>
      </c>
      <c r="R61" s="193"/>
      <c r="S61" s="193"/>
      <c r="T61" s="194">
        <f>IFERROR(SUM(Q61,-R61,-S61),"")</f>
        <v>0</v>
      </c>
      <c r="U61" s="56"/>
      <c r="V61" s="40" t="str">
        <f>IFERROR(IF(B61&lt;&gt;"",IF(VLOOKUP(A61,'DESEMPATE Y DISCAPACIDAD'!$A$3:$Q$96,7,FALSE)="","",VLOOKUP(A61,'DESEMPATE Y DISCAPACIDAD'!$A$3:$Q$96,7,FALSE)),""),"")</f>
        <v/>
      </c>
      <c r="W61" s="5"/>
      <c r="X61" s="5" t="str">
        <f>IFERROR(IF(B61&lt;&gt;"",IF(VLOOKUP(A61,'DESEMPATE Y DISCAPACIDAD'!$A$3:$Q$96,14,FALSE)="","",VLOOKUP(A61,'DESEMPATE Y DISCAPACIDAD'!$A$3:$Q$96,14,FALSE)),""),"")</f>
        <v/>
      </c>
      <c r="Y61" s="5"/>
      <c r="Z61" s="5"/>
      <c r="AA61" s="5"/>
      <c r="AB61" s="5"/>
      <c r="AC61" s="5"/>
      <c r="AD61" s="5"/>
      <c r="AE61" s="5"/>
      <c r="AF61" s="44"/>
      <c r="AG61" s="56"/>
      <c r="AH61" s="105"/>
    </row>
    <row r="62" spans="1:34" ht="45" hidden="1" customHeight="1" thickBot="1">
      <c r="A62" s="154" t="s">
        <v>574</v>
      </c>
      <c r="B62" s="155">
        <f>IFERROR(INDEX('DESEMPATE Y DISCAPACIDAD'!$B$3:$B$450,MATCH(CONSOLIDADO!A62,'DESEMPATE Y DISCAPACIDAD'!$A$3:$A$450,0)),"")</f>
        <v>0</v>
      </c>
      <c r="C62" s="125"/>
      <c r="D62" s="125"/>
      <c r="E62" s="125"/>
      <c r="F62" s="125" t="str">
        <f>IFERROR(IF(B62&lt;&gt;"",IF(VLOOKUP("A"&amp;A62,'EXPERIENCIA '!$A$1:$AT$672,38,FALSE)="","",VLOOKUP("A"&amp;A62,'EXPERIENCIA '!$A$1:$AT$672,38,FALSE)),""),"")</f>
        <v/>
      </c>
      <c r="G62" s="125"/>
      <c r="H62" s="125"/>
      <c r="I62" s="125" t="str">
        <f>IFERROR(IF(COUNTIF(C62:H62,"RECHAZADO")&gt;0,"RECHAZADO",IF(COUNTIF(C62:H62,"NO HÁBIL")&gt;0,"NO HÁBIL",IF(COUNTIF(C62:H62,"PENDIENTE")&gt;0,"PENDIENTE",IF(AND(C62="HÁBIL",D62="HÁBIL",E62="HÁBIL",F62="HÁBIL",G62="HÁBIL",H62="HÁBIL"),"HÁBIL","")))),"")</f>
        <v/>
      </c>
      <c r="J62" s="192">
        <f>IFERROR(IF(B62&lt;&gt;"",IF(VLOOKUP(A62,'PONDERACIÓN '!$B$33:$J$99,9,FALSE)="","",VLOOKUP(A62,'PONDERACIÓN '!$B$33:$J$99,9,FALSE)),""),"")</f>
        <v>0</v>
      </c>
      <c r="K62" s="186"/>
      <c r="L62" s="186"/>
      <c r="M62" s="186" t="str">
        <f>IFERROR(IF(B62&lt;&gt;"",IF(VLOOKUP(A62,'DESEMPATE Y DISCAPACIDAD'!$A$3:$Q$450,17,FALSE)="","",VLOOKUP(A62,'DESEMPATE Y DISCAPACIDAD'!$A$3:$Q$450,17,FALSE)),""),"")</f>
        <v/>
      </c>
      <c r="N62" s="186"/>
      <c r="O62" s="186"/>
      <c r="P62" s="186"/>
      <c r="Q62" s="192">
        <f>IFERROR(SUM(J62:P62),"")</f>
        <v>0</v>
      </c>
      <c r="R62" s="193"/>
      <c r="S62" s="193"/>
      <c r="T62" s="194">
        <f>IFERROR(SUM(Q62,-R62,-S62),"")</f>
        <v>0</v>
      </c>
      <c r="U62" s="56"/>
      <c r="V62" s="40" t="str">
        <f>IFERROR(IF(B62&lt;&gt;"",IF(VLOOKUP(A62,'DESEMPATE Y DISCAPACIDAD'!$A$3:$Q$96,7,FALSE)="","",VLOOKUP(A62,'DESEMPATE Y DISCAPACIDAD'!$A$3:$Q$96,7,FALSE)),""),"")</f>
        <v/>
      </c>
      <c r="W62" s="5"/>
      <c r="X62" s="5" t="str">
        <f>IFERROR(IF(B62&lt;&gt;"",IF(VLOOKUP(A62,'DESEMPATE Y DISCAPACIDAD'!$A$3:$Q$96,14,FALSE)="","",VLOOKUP(A62,'DESEMPATE Y DISCAPACIDAD'!$A$3:$Q$96,14,FALSE)),""),"")</f>
        <v/>
      </c>
      <c r="Y62" s="5"/>
      <c r="Z62" s="5"/>
      <c r="AA62" s="5"/>
      <c r="AB62" s="5"/>
      <c r="AC62" s="5"/>
      <c r="AD62" s="5"/>
      <c r="AE62" s="5"/>
      <c r="AF62" s="44"/>
      <c r="AG62" s="56"/>
      <c r="AH62" s="105"/>
    </row>
    <row r="63" spans="1:34" ht="45" hidden="1" customHeight="1" thickBot="1">
      <c r="A63" s="154" t="s">
        <v>575</v>
      </c>
      <c r="B63" s="155">
        <f>IFERROR(INDEX('DESEMPATE Y DISCAPACIDAD'!$B$3:$B$450,MATCH(CONSOLIDADO!A63,'DESEMPATE Y DISCAPACIDAD'!$A$3:$A$450,0)),"")</f>
        <v>0</v>
      </c>
      <c r="C63" s="125"/>
      <c r="D63" s="125"/>
      <c r="E63" s="125"/>
      <c r="F63" s="125" t="str">
        <f>IFERROR(IF(B63&lt;&gt;"",IF(VLOOKUP("A"&amp;A63,'EXPERIENCIA '!$A$1:$AT$672,38,FALSE)="","",VLOOKUP("A"&amp;A63,'EXPERIENCIA '!$A$1:$AT$672,38,FALSE)),""),"")</f>
        <v/>
      </c>
      <c r="G63" s="125"/>
      <c r="H63" s="125"/>
      <c r="I63" s="125" t="str">
        <f t="shared" ref="I63:I72" si="11">IFERROR(IF(COUNTIF(C63:H63,"RECHAZADO")&gt;0,"RECHAZADO",IF(COUNTIF(C63:H63,"NO HÁBIL")&gt;0,"NO HÁBIL",IF(COUNTIF(C63:H63,"PENDIENTE")&gt;0,"PENDIENTE",IF(AND(C63="HÁBIL",D63="HÁBIL",E63="HÁBIL",F63="HÁBIL",G63="HÁBIL",H63="HÁBIL"),"HÁBIL","")))),"")</f>
        <v/>
      </c>
      <c r="J63" s="192">
        <f>IFERROR(IF(B63&lt;&gt;"",IF(VLOOKUP(A63,'PONDERACIÓN '!$B$33:$J$99,9,FALSE)="","",VLOOKUP(A63,'PONDERACIÓN '!$B$33:$J$99,9,FALSE)),""),"")</f>
        <v>0</v>
      </c>
      <c r="K63" s="186"/>
      <c r="L63" s="186"/>
      <c r="M63" s="186" t="str">
        <f>IFERROR(IF(B63&lt;&gt;"",IF(VLOOKUP(A63,'DESEMPATE Y DISCAPACIDAD'!$A$3:$Q$450,17,FALSE)="","",VLOOKUP(A63,'DESEMPATE Y DISCAPACIDAD'!$A$3:$Q$450,17,FALSE)),""),"")</f>
        <v/>
      </c>
      <c r="N63" s="186"/>
      <c r="O63" s="186"/>
      <c r="P63" s="186"/>
      <c r="Q63" s="192">
        <f t="shared" ref="Q63:Q72" si="12">IFERROR(SUM(J63:P63),"")</f>
        <v>0</v>
      </c>
      <c r="R63" s="193"/>
      <c r="S63" s="193"/>
      <c r="T63" s="194">
        <f t="shared" ref="T63:T72" si="13">IFERROR(SUM(Q63,-R63,-S63),"")</f>
        <v>0</v>
      </c>
      <c r="U63" s="56"/>
      <c r="V63" s="40" t="str">
        <f>IFERROR(IF(B63&lt;&gt;"",IF(VLOOKUP(A63,'DESEMPATE Y DISCAPACIDAD'!$A$3:$Q$96,7,FALSE)="","",VLOOKUP(A63,'DESEMPATE Y DISCAPACIDAD'!$A$3:$Q$96,7,FALSE)),""),"")</f>
        <v/>
      </c>
      <c r="W63" s="5"/>
      <c r="X63" s="5" t="str">
        <f>IFERROR(IF(B63&lt;&gt;"",IF(VLOOKUP(A63,'DESEMPATE Y DISCAPACIDAD'!$A$3:$Q$96,14,FALSE)="","",VLOOKUP(A63,'DESEMPATE Y DISCAPACIDAD'!$A$3:$Q$96,14,FALSE)),""),"")</f>
        <v/>
      </c>
      <c r="Y63" s="5"/>
      <c r="Z63" s="5"/>
      <c r="AA63" s="5"/>
      <c r="AB63" s="5"/>
      <c r="AC63" s="5"/>
      <c r="AD63" s="5"/>
      <c r="AE63" s="5"/>
      <c r="AF63" s="44"/>
      <c r="AG63" s="56"/>
      <c r="AH63" s="105"/>
    </row>
    <row r="64" spans="1:34" ht="45" hidden="1" customHeight="1" thickBot="1">
      <c r="A64" s="154" t="s">
        <v>589</v>
      </c>
      <c r="B64" s="155">
        <f>IFERROR(INDEX('DESEMPATE Y DISCAPACIDAD'!$B$3:$B$450,MATCH(CONSOLIDADO!A64,'DESEMPATE Y DISCAPACIDAD'!$A$3:$A$450,0)),"")</f>
        <v>0</v>
      </c>
      <c r="C64" s="125"/>
      <c r="D64" s="125"/>
      <c r="E64" s="125"/>
      <c r="F64" s="125" t="str">
        <f>IFERROR(IF(B64&lt;&gt;"",IF(VLOOKUP("A"&amp;A64,'EXPERIENCIA '!$A$1:$AT$672,38,FALSE)="","",VLOOKUP("A"&amp;A64,'EXPERIENCIA '!$A$1:$AT$672,38,FALSE)),""),"")</f>
        <v/>
      </c>
      <c r="G64" s="125"/>
      <c r="H64" s="125"/>
      <c r="I64" s="125" t="str">
        <f t="shared" si="11"/>
        <v/>
      </c>
      <c r="J64" s="192">
        <f>IFERROR(IF(B64&lt;&gt;"",IF(VLOOKUP(A64,'PONDERACIÓN '!$B$33:$J$99,9,FALSE)="","",VLOOKUP(A64,'PONDERACIÓN '!$B$33:$J$99,9,FALSE)),""),"")</f>
        <v>0</v>
      </c>
      <c r="K64" s="186"/>
      <c r="L64" s="186"/>
      <c r="M64" s="186" t="str">
        <f>IFERROR(IF(B64&lt;&gt;"",IF(VLOOKUP(A64,'DESEMPATE Y DISCAPACIDAD'!$A$3:$Q$450,17,FALSE)="","",VLOOKUP(A64,'DESEMPATE Y DISCAPACIDAD'!$A$3:$Q$450,17,FALSE)),""),"")</f>
        <v/>
      </c>
      <c r="N64" s="186"/>
      <c r="O64" s="186"/>
      <c r="P64" s="186"/>
      <c r="Q64" s="192">
        <f t="shared" si="12"/>
        <v>0</v>
      </c>
      <c r="R64" s="193"/>
      <c r="S64" s="193"/>
      <c r="T64" s="194">
        <f t="shared" si="13"/>
        <v>0</v>
      </c>
      <c r="U64" s="56"/>
      <c r="V64" s="40" t="str">
        <f>IFERROR(IF(B64&lt;&gt;"",IF(VLOOKUP(A64,'DESEMPATE Y DISCAPACIDAD'!$A$3:$Q$96,7,FALSE)="","",VLOOKUP(A64,'DESEMPATE Y DISCAPACIDAD'!$A$3:$Q$96,7,FALSE)),""),"")</f>
        <v/>
      </c>
      <c r="W64" s="5"/>
      <c r="X64" s="5" t="str">
        <f>IFERROR(IF(B64&lt;&gt;"",IF(VLOOKUP(A64,'DESEMPATE Y DISCAPACIDAD'!$A$3:$Q$96,14,FALSE)="","",VLOOKUP(A64,'DESEMPATE Y DISCAPACIDAD'!$A$3:$Q$96,14,FALSE)),""),"")</f>
        <v/>
      </c>
      <c r="Y64" s="5"/>
      <c r="Z64" s="5"/>
      <c r="AA64" s="5"/>
      <c r="AB64" s="5"/>
      <c r="AC64" s="5"/>
      <c r="AD64" s="5"/>
      <c r="AE64" s="5"/>
      <c r="AF64" s="44"/>
      <c r="AG64" s="56"/>
      <c r="AH64" s="105"/>
    </row>
    <row r="65" spans="1:34" ht="45" hidden="1" customHeight="1" thickBot="1">
      <c r="A65" s="154" t="s">
        <v>590</v>
      </c>
      <c r="B65" s="155">
        <f>IFERROR(INDEX('DESEMPATE Y DISCAPACIDAD'!$B$3:$B$450,MATCH(CONSOLIDADO!A65,'DESEMPATE Y DISCAPACIDAD'!$A$3:$A$450,0)),"")</f>
        <v>0</v>
      </c>
      <c r="C65" s="125"/>
      <c r="D65" s="125"/>
      <c r="E65" s="125"/>
      <c r="F65" s="125" t="str">
        <f>IFERROR(IF(B65&lt;&gt;"",IF(VLOOKUP("A"&amp;A65,'EXPERIENCIA '!$A$1:$AT$672,38,FALSE)="","",VLOOKUP("A"&amp;A65,'EXPERIENCIA '!$A$1:$AT$672,38,FALSE)),""),"")</f>
        <v/>
      </c>
      <c r="G65" s="125"/>
      <c r="H65" s="125"/>
      <c r="I65" s="125" t="str">
        <f t="shared" si="11"/>
        <v/>
      </c>
      <c r="J65" s="192">
        <f>IFERROR(IF(B65&lt;&gt;"",IF(VLOOKUP(A65,'PONDERACIÓN '!$B$33:$J$99,9,FALSE)="","",VLOOKUP(A65,'PONDERACIÓN '!$B$33:$J$99,9,FALSE)),""),"")</f>
        <v>0</v>
      </c>
      <c r="K65" s="186"/>
      <c r="L65" s="186"/>
      <c r="M65" s="186" t="str">
        <f>IFERROR(IF(B65&lt;&gt;"",IF(VLOOKUP(A65,'DESEMPATE Y DISCAPACIDAD'!$A$3:$Q$450,17,FALSE)="","",VLOOKUP(A65,'DESEMPATE Y DISCAPACIDAD'!$A$3:$Q$450,17,FALSE)),""),"")</f>
        <v/>
      </c>
      <c r="N65" s="186"/>
      <c r="O65" s="186"/>
      <c r="P65" s="186"/>
      <c r="Q65" s="192">
        <f t="shared" si="12"/>
        <v>0</v>
      </c>
      <c r="R65" s="193"/>
      <c r="S65" s="193"/>
      <c r="T65" s="194">
        <f t="shared" si="13"/>
        <v>0</v>
      </c>
      <c r="U65" s="56"/>
      <c r="V65" s="40" t="str">
        <f>IFERROR(IF(B65&lt;&gt;"",IF(VLOOKUP(A65,'DESEMPATE Y DISCAPACIDAD'!$A$3:$Q$96,7,FALSE)="","",VLOOKUP(A65,'DESEMPATE Y DISCAPACIDAD'!$A$3:$Q$96,7,FALSE)),""),"")</f>
        <v/>
      </c>
      <c r="W65" s="5"/>
      <c r="X65" s="5" t="str">
        <f>IFERROR(IF(B65&lt;&gt;"",IF(VLOOKUP(A65,'DESEMPATE Y DISCAPACIDAD'!$A$3:$Q$96,14,FALSE)="","",VLOOKUP(A65,'DESEMPATE Y DISCAPACIDAD'!$A$3:$Q$96,14,FALSE)),""),"")</f>
        <v/>
      </c>
      <c r="Y65" s="5"/>
      <c r="Z65" s="5"/>
      <c r="AA65" s="5"/>
      <c r="AB65" s="5"/>
      <c r="AC65" s="5"/>
      <c r="AD65" s="5"/>
      <c r="AE65" s="5"/>
      <c r="AF65" s="44"/>
      <c r="AG65" s="56"/>
      <c r="AH65" s="105"/>
    </row>
    <row r="66" spans="1:34" ht="45" hidden="1" customHeight="1" thickBot="1">
      <c r="A66" s="154" t="s">
        <v>591</v>
      </c>
      <c r="B66" s="155">
        <f>IFERROR(INDEX('DESEMPATE Y DISCAPACIDAD'!$B$3:$B$450,MATCH(CONSOLIDADO!A66,'DESEMPATE Y DISCAPACIDAD'!$A$3:$A$450,0)),"")</f>
        <v>0</v>
      </c>
      <c r="C66" s="125"/>
      <c r="D66" s="125"/>
      <c r="E66" s="125"/>
      <c r="F66" s="125" t="str">
        <f>IFERROR(IF(B66&lt;&gt;"",IF(VLOOKUP("A"&amp;A66,'EXPERIENCIA '!$A$1:$AT$672,38,FALSE)="","",VLOOKUP("A"&amp;A66,'EXPERIENCIA '!$A$1:$AT$672,38,FALSE)),""),"")</f>
        <v/>
      </c>
      <c r="G66" s="125"/>
      <c r="H66" s="125"/>
      <c r="I66" s="125" t="str">
        <f t="shared" si="11"/>
        <v/>
      </c>
      <c r="J66" s="192">
        <f>IFERROR(IF(B66&lt;&gt;"",IF(VLOOKUP(A66,'PONDERACIÓN '!$B$33:$J$99,9,FALSE)="","",VLOOKUP(A66,'PONDERACIÓN '!$B$33:$J$99,9,FALSE)),""),"")</f>
        <v>0</v>
      </c>
      <c r="K66" s="186"/>
      <c r="L66" s="186"/>
      <c r="M66" s="186" t="str">
        <f>IFERROR(IF(B66&lt;&gt;"",IF(VLOOKUP(A66,'DESEMPATE Y DISCAPACIDAD'!$A$3:$Q$450,17,FALSE)="","",VLOOKUP(A66,'DESEMPATE Y DISCAPACIDAD'!$A$3:$Q$450,17,FALSE)),""),"")</f>
        <v/>
      </c>
      <c r="N66" s="186"/>
      <c r="O66" s="186"/>
      <c r="P66" s="186"/>
      <c r="Q66" s="192">
        <f t="shared" si="12"/>
        <v>0</v>
      </c>
      <c r="R66" s="193"/>
      <c r="S66" s="193"/>
      <c r="T66" s="194">
        <f t="shared" si="13"/>
        <v>0</v>
      </c>
      <c r="U66" s="56"/>
      <c r="V66" s="40" t="str">
        <f>IFERROR(IF(B66&lt;&gt;"",IF(VLOOKUP(A66,'DESEMPATE Y DISCAPACIDAD'!$A$3:$Q$96,7,FALSE)="","",VLOOKUP(A66,'DESEMPATE Y DISCAPACIDAD'!$A$3:$Q$96,7,FALSE)),""),"")</f>
        <v/>
      </c>
      <c r="W66" s="5"/>
      <c r="X66" s="5" t="str">
        <f>IFERROR(IF(B66&lt;&gt;"",IF(VLOOKUP(A66,'DESEMPATE Y DISCAPACIDAD'!$A$3:$Q$96,14,FALSE)="","",VLOOKUP(A66,'DESEMPATE Y DISCAPACIDAD'!$A$3:$Q$96,14,FALSE)),""),"")</f>
        <v/>
      </c>
      <c r="Y66" s="5"/>
      <c r="Z66" s="5"/>
      <c r="AA66" s="5"/>
      <c r="AB66" s="5"/>
      <c r="AC66" s="5"/>
      <c r="AD66" s="5"/>
      <c r="AE66" s="5"/>
      <c r="AF66" s="44"/>
      <c r="AG66" s="56"/>
      <c r="AH66" s="105"/>
    </row>
    <row r="67" spans="1:34" ht="45" hidden="1" customHeight="1" thickBot="1">
      <c r="A67" s="154" t="s">
        <v>592</v>
      </c>
      <c r="B67" s="155">
        <f>IFERROR(INDEX('DESEMPATE Y DISCAPACIDAD'!$B$3:$B$450,MATCH(CONSOLIDADO!A67,'DESEMPATE Y DISCAPACIDAD'!$A$3:$A$450,0)),"")</f>
        <v>0</v>
      </c>
      <c r="C67" s="125"/>
      <c r="D67" s="125"/>
      <c r="E67" s="125"/>
      <c r="F67" s="125" t="str">
        <f>IFERROR(IF(B67&lt;&gt;"",IF(VLOOKUP("A"&amp;A67,'EXPERIENCIA '!$A$1:$AT$672,38,FALSE)="","",VLOOKUP("A"&amp;A67,'EXPERIENCIA '!$A$1:$AT$672,38,FALSE)),""),"")</f>
        <v/>
      </c>
      <c r="G67" s="125"/>
      <c r="H67" s="125"/>
      <c r="I67" s="125" t="str">
        <f t="shared" si="11"/>
        <v/>
      </c>
      <c r="J67" s="192">
        <f>IFERROR(IF(B67&lt;&gt;"",IF(VLOOKUP(A67,'PONDERACIÓN '!$B$33:$J$99,9,FALSE)="","",VLOOKUP(A67,'PONDERACIÓN '!$B$33:$J$99,9,FALSE)),""),"")</f>
        <v>0</v>
      </c>
      <c r="K67" s="186"/>
      <c r="L67" s="186"/>
      <c r="M67" s="186" t="str">
        <f>IFERROR(IF(B67&lt;&gt;"",IF(VLOOKUP(A67,'DESEMPATE Y DISCAPACIDAD'!$A$3:$Q$450,17,FALSE)="","",VLOOKUP(A67,'DESEMPATE Y DISCAPACIDAD'!$A$3:$Q$450,17,FALSE)),""),"")</f>
        <v/>
      </c>
      <c r="N67" s="186"/>
      <c r="O67" s="186"/>
      <c r="P67" s="186"/>
      <c r="Q67" s="192">
        <f t="shared" si="12"/>
        <v>0</v>
      </c>
      <c r="R67" s="193"/>
      <c r="S67" s="193"/>
      <c r="T67" s="194">
        <f t="shared" si="13"/>
        <v>0</v>
      </c>
      <c r="U67" s="56"/>
      <c r="V67" s="40" t="str">
        <f>IFERROR(IF(B67&lt;&gt;"",IF(VLOOKUP(A67,'DESEMPATE Y DISCAPACIDAD'!$A$3:$Q$96,7,FALSE)="","",VLOOKUP(A67,'DESEMPATE Y DISCAPACIDAD'!$A$3:$Q$96,7,FALSE)),""),"")</f>
        <v/>
      </c>
      <c r="W67" s="5"/>
      <c r="X67" s="5" t="str">
        <f>IFERROR(IF(B67&lt;&gt;"",IF(VLOOKUP(A67,'DESEMPATE Y DISCAPACIDAD'!$A$3:$Q$96,14,FALSE)="","",VLOOKUP(A67,'DESEMPATE Y DISCAPACIDAD'!$A$3:$Q$96,14,FALSE)),""),"")</f>
        <v/>
      </c>
      <c r="Y67" s="5"/>
      <c r="Z67" s="5"/>
      <c r="AA67" s="5"/>
      <c r="AB67" s="5"/>
      <c r="AC67" s="5"/>
      <c r="AD67" s="5"/>
      <c r="AE67" s="5"/>
      <c r="AF67" s="44"/>
      <c r="AG67" s="56"/>
      <c r="AH67" s="105"/>
    </row>
    <row r="68" spans="1:34" ht="45" hidden="1" customHeight="1" thickBot="1">
      <c r="A68" s="154" t="s">
        <v>593</v>
      </c>
      <c r="B68" s="155">
        <f>IFERROR(INDEX('DESEMPATE Y DISCAPACIDAD'!$B$3:$B$450,MATCH(CONSOLIDADO!A68,'DESEMPATE Y DISCAPACIDAD'!$A$3:$A$450,0)),"")</f>
        <v>0</v>
      </c>
      <c r="C68" s="125"/>
      <c r="D68" s="125"/>
      <c r="E68" s="125"/>
      <c r="F68" s="125" t="str">
        <f>IFERROR(IF(B68&lt;&gt;"",IF(VLOOKUP("A"&amp;A68,'EXPERIENCIA '!$A$1:$AT$672,38,FALSE)="","",VLOOKUP("A"&amp;A68,'EXPERIENCIA '!$A$1:$AT$672,38,FALSE)),""),"")</f>
        <v/>
      </c>
      <c r="G68" s="125"/>
      <c r="H68" s="125"/>
      <c r="I68" s="125" t="str">
        <f t="shared" si="11"/>
        <v/>
      </c>
      <c r="J68" s="192">
        <f>IFERROR(IF(B68&lt;&gt;"",IF(VLOOKUP(A68,'PONDERACIÓN '!$B$33:$J$99,9,FALSE)="","",VLOOKUP(A68,'PONDERACIÓN '!$B$33:$J$99,9,FALSE)),""),"")</f>
        <v>0</v>
      </c>
      <c r="K68" s="186"/>
      <c r="L68" s="186"/>
      <c r="M68" s="186" t="str">
        <f>IFERROR(IF(B68&lt;&gt;"",IF(VLOOKUP(A68,'DESEMPATE Y DISCAPACIDAD'!$A$3:$Q$450,17,FALSE)="","",VLOOKUP(A68,'DESEMPATE Y DISCAPACIDAD'!$A$3:$Q$450,17,FALSE)),""),"")</f>
        <v/>
      </c>
      <c r="N68" s="186"/>
      <c r="O68" s="186"/>
      <c r="P68" s="186"/>
      <c r="Q68" s="192">
        <f t="shared" si="12"/>
        <v>0</v>
      </c>
      <c r="R68" s="193"/>
      <c r="S68" s="193"/>
      <c r="T68" s="194">
        <f t="shared" si="13"/>
        <v>0</v>
      </c>
      <c r="U68" s="56"/>
      <c r="V68" s="40" t="str">
        <f>IFERROR(IF(B68&lt;&gt;"",IF(VLOOKUP(A68,'DESEMPATE Y DISCAPACIDAD'!$A$3:$Q$96,7,FALSE)="","",VLOOKUP(A68,'DESEMPATE Y DISCAPACIDAD'!$A$3:$Q$96,7,FALSE)),""),"")</f>
        <v/>
      </c>
      <c r="W68" s="5"/>
      <c r="X68" s="5" t="str">
        <f>IFERROR(IF(B68&lt;&gt;"",IF(VLOOKUP(A68,'DESEMPATE Y DISCAPACIDAD'!$A$3:$Q$96,14,FALSE)="","",VLOOKUP(A68,'DESEMPATE Y DISCAPACIDAD'!$A$3:$Q$96,14,FALSE)),""),"")</f>
        <v/>
      </c>
      <c r="Y68" s="5"/>
      <c r="Z68" s="5"/>
      <c r="AA68" s="5"/>
      <c r="AB68" s="5"/>
      <c r="AC68" s="5"/>
      <c r="AD68" s="5"/>
      <c r="AE68" s="5"/>
      <c r="AF68" s="44"/>
      <c r="AG68" s="56"/>
      <c r="AH68" s="105"/>
    </row>
    <row r="69" spans="1:34" ht="45" hidden="1" customHeight="1" thickBot="1">
      <c r="A69" s="154" t="s">
        <v>594</v>
      </c>
      <c r="B69" s="155">
        <f>IFERROR(INDEX('DESEMPATE Y DISCAPACIDAD'!$B$3:$B$450,MATCH(CONSOLIDADO!A69,'DESEMPATE Y DISCAPACIDAD'!$A$3:$A$450,0)),"")</f>
        <v>0</v>
      </c>
      <c r="C69" s="125"/>
      <c r="D69" s="125"/>
      <c r="E69" s="125"/>
      <c r="F69" s="125" t="str">
        <f>IFERROR(IF(B69&lt;&gt;"",IF(VLOOKUP("A"&amp;A69,'EXPERIENCIA '!$A$1:$AT$672,38,FALSE)="","",VLOOKUP("A"&amp;A69,'EXPERIENCIA '!$A$1:$AT$672,38,FALSE)),""),"")</f>
        <v/>
      </c>
      <c r="G69" s="125"/>
      <c r="H69" s="125"/>
      <c r="I69" s="125" t="str">
        <f t="shared" si="11"/>
        <v/>
      </c>
      <c r="J69" s="192">
        <f>IFERROR(IF(B69&lt;&gt;"",IF(VLOOKUP(A69,'PONDERACIÓN '!$B$33:$J$99,9,FALSE)="","",VLOOKUP(A69,'PONDERACIÓN '!$B$33:$J$99,9,FALSE)),""),"")</f>
        <v>0</v>
      </c>
      <c r="K69" s="186"/>
      <c r="L69" s="186"/>
      <c r="M69" s="186" t="str">
        <f>IFERROR(IF(B69&lt;&gt;"",IF(VLOOKUP(A69,'DESEMPATE Y DISCAPACIDAD'!$A$3:$Q$450,17,FALSE)="","",VLOOKUP(A69,'DESEMPATE Y DISCAPACIDAD'!$A$3:$Q$450,17,FALSE)),""),"")</f>
        <v/>
      </c>
      <c r="N69" s="186"/>
      <c r="O69" s="186"/>
      <c r="P69" s="186"/>
      <c r="Q69" s="192">
        <f t="shared" si="12"/>
        <v>0</v>
      </c>
      <c r="R69" s="193"/>
      <c r="S69" s="193"/>
      <c r="T69" s="194">
        <f t="shared" si="13"/>
        <v>0</v>
      </c>
      <c r="U69" s="56"/>
      <c r="V69" s="40" t="str">
        <f>IFERROR(IF(B69&lt;&gt;"",IF(VLOOKUP(A69,'DESEMPATE Y DISCAPACIDAD'!$A$3:$Q$96,7,FALSE)="","",VLOOKUP(A69,'DESEMPATE Y DISCAPACIDAD'!$A$3:$Q$96,7,FALSE)),""),"")</f>
        <v/>
      </c>
      <c r="W69" s="5"/>
      <c r="X69" s="5" t="str">
        <f>IFERROR(IF(B69&lt;&gt;"",IF(VLOOKUP(A69,'DESEMPATE Y DISCAPACIDAD'!$A$3:$Q$96,14,FALSE)="","",VLOOKUP(A69,'DESEMPATE Y DISCAPACIDAD'!$A$3:$Q$96,14,FALSE)),""),"")</f>
        <v/>
      </c>
      <c r="Y69" s="5"/>
      <c r="Z69" s="5"/>
      <c r="AA69" s="5"/>
      <c r="AB69" s="5"/>
      <c r="AC69" s="5"/>
      <c r="AD69" s="5"/>
      <c r="AE69" s="5"/>
      <c r="AF69" s="44"/>
      <c r="AG69" s="56"/>
      <c r="AH69" s="105"/>
    </row>
    <row r="70" spans="1:34" ht="45" hidden="1" customHeight="1" thickBot="1">
      <c r="A70" s="154" t="s">
        <v>595</v>
      </c>
      <c r="B70" s="155">
        <f>IFERROR(INDEX('DESEMPATE Y DISCAPACIDAD'!$B$3:$B$450,MATCH(CONSOLIDADO!A70,'DESEMPATE Y DISCAPACIDAD'!$A$3:$A$450,0)),"")</f>
        <v>0</v>
      </c>
      <c r="C70" s="125"/>
      <c r="D70" s="125"/>
      <c r="E70" s="125"/>
      <c r="F70" s="125" t="str">
        <f>IFERROR(IF(B70&lt;&gt;"",IF(VLOOKUP("A"&amp;A70,'EXPERIENCIA '!$A$1:$AT$672,38,FALSE)="","",VLOOKUP("A"&amp;A70,'EXPERIENCIA '!$A$1:$AT$672,38,FALSE)),""),"")</f>
        <v/>
      </c>
      <c r="G70" s="125"/>
      <c r="H70" s="125"/>
      <c r="I70" s="125" t="str">
        <f t="shared" si="11"/>
        <v/>
      </c>
      <c r="J70" s="192">
        <f>IFERROR(IF(B70&lt;&gt;"",IF(VLOOKUP(A70,'PONDERACIÓN '!$B$33:$J$99,9,FALSE)="","",VLOOKUP(A70,'PONDERACIÓN '!$B$33:$J$99,9,FALSE)),""),"")</f>
        <v>0</v>
      </c>
      <c r="K70" s="186"/>
      <c r="L70" s="186"/>
      <c r="M70" s="186" t="str">
        <f>IFERROR(IF(B70&lt;&gt;"",IF(VLOOKUP(A70,'DESEMPATE Y DISCAPACIDAD'!$A$3:$Q$450,17,FALSE)="","",VLOOKUP(A70,'DESEMPATE Y DISCAPACIDAD'!$A$3:$Q$450,17,FALSE)),""),"")</f>
        <v/>
      </c>
      <c r="N70" s="186"/>
      <c r="O70" s="186"/>
      <c r="P70" s="186"/>
      <c r="Q70" s="192">
        <f t="shared" si="12"/>
        <v>0</v>
      </c>
      <c r="R70" s="193"/>
      <c r="S70" s="193"/>
      <c r="T70" s="194">
        <f t="shared" si="13"/>
        <v>0</v>
      </c>
      <c r="U70" s="56"/>
      <c r="V70" s="40" t="str">
        <f>IFERROR(IF(B70&lt;&gt;"",IF(VLOOKUP(A70,'DESEMPATE Y DISCAPACIDAD'!$A$3:$Q$96,7,FALSE)="","",VLOOKUP(A70,'DESEMPATE Y DISCAPACIDAD'!$A$3:$Q$96,7,FALSE)),""),"")</f>
        <v/>
      </c>
      <c r="W70" s="5"/>
      <c r="X70" s="5" t="str">
        <f>IFERROR(IF(B70&lt;&gt;"",IF(VLOOKUP(A70,'DESEMPATE Y DISCAPACIDAD'!$A$3:$Q$96,14,FALSE)="","",VLOOKUP(A70,'DESEMPATE Y DISCAPACIDAD'!$A$3:$Q$96,14,FALSE)),""),"")</f>
        <v/>
      </c>
      <c r="Y70" s="5"/>
      <c r="Z70" s="5"/>
      <c r="AA70" s="5"/>
      <c r="AB70" s="5"/>
      <c r="AC70" s="5"/>
      <c r="AD70" s="5"/>
      <c r="AE70" s="5"/>
      <c r="AF70" s="44"/>
      <c r="AG70" s="56"/>
      <c r="AH70" s="105"/>
    </row>
    <row r="71" spans="1:34" ht="45" hidden="1" customHeight="1" thickBot="1">
      <c r="A71" s="154" t="s">
        <v>596</v>
      </c>
      <c r="B71" s="155">
        <f>IFERROR(INDEX('DESEMPATE Y DISCAPACIDAD'!$B$3:$B$450,MATCH(CONSOLIDADO!A71,'DESEMPATE Y DISCAPACIDAD'!$A$3:$A$450,0)),"")</f>
        <v>0</v>
      </c>
      <c r="C71" s="125"/>
      <c r="D71" s="125"/>
      <c r="E71" s="125"/>
      <c r="F71" s="125" t="str">
        <f>IFERROR(IF(B71&lt;&gt;"",IF(VLOOKUP("A"&amp;A71,'EXPERIENCIA '!$A$1:$AT$672,38,FALSE)="","",VLOOKUP("A"&amp;A71,'EXPERIENCIA '!$A$1:$AT$672,38,FALSE)),""),"")</f>
        <v/>
      </c>
      <c r="G71" s="125"/>
      <c r="H71" s="125"/>
      <c r="I71" s="125" t="str">
        <f t="shared" si="11"/>
        <v/>
      </c>
      <c r="J71" s="192">
        <f>IFERROR(IF(B71&lt;&gt;"",IF(VLOOKUP(A71,'PONDERACIÓN '!$B$33:$J$99,9,FALSE)="","",VLOOKUP(A71,'PONDERACIÓN '!$B$33:$J$99,9,FALSE)),""),"")</f>
        <v>0</v>
      </c>
      <c r="K71" s="186"/>
      <c r="L71" s="186"/>
      <c r="M71" s="186" t="str">
        <f>IFERROR(IF(B71&lt;&gt;"",IF(VLOOKUP(A71,'DESEMPATE Y DISCAPACIDAD'!$A$3:$Q$450,17,FALSE)="","",VLOOKUP(A71,'DESEMPATE Y DISCAPACIDAD'!$A$3:$Q$450,17,FALSE)),""),"")</f>
        <v/>
      </c>
      <c r="N71" s="186"/>
      <c r="O71" s="186"/>
      <c r="P71" s="186"/>
      <c r="Q71" s="192">
        <f t="shared" si="12"/>
        <v>0</v>
      </c>
      <c r="R71" s="193"/>
      <c r="S71" s="193"/>
      <c r="T71" s="194">
        <f t="shared" si="13"/>
        <v>0</v>
      </c>
      <c r="U71" s="56"/>
      <c r="V71" s="40" t="str">
        <f>IFERROR(IF(B71&lt;&gt;"",IF(VLOOKUP(A71,'DESEMPATE Y DISCAPACIDAD'!$A$3:$Q$96,7,FALSE)="","",VLOOKUP(A71,'DESEMPATE Y DISCAPACIDAD'!$A$3:$Q$96,7,FALSE)),""),"")</f>
        <v/>
      </c>
      <c r="W71" s="5"/>
      <c r="X71" s="5" t="str">
        <f>IFERROR(IF(B71&lt;&gt;"",IF(VLOOKUP(A71,'DESEMPATE Y DISCAPACIDAD'!$A$3:$Q$96,14,FALSE)="","",VLOOKUP(A71,'DESEMPATE Y DISCAPACIDAD'!$A$3:$Q$96,14,FALSE)),""),"")</f>
        <v/>
      </c>
      <c r="Y71" s="5"/>
      <c r="Z71" s="5"/>
      <c r="AA71" s="5"/>
      <c r="AB71" s="5"/>
      <c r="AC71" s="5"/>
      <c r="AD71" s="5"/>
      <c r="AE71" s="5"/>
      <c r="AF71" s="44"/>
      <c r="AG71" s="56"/>
      <c r="AH71" s="105"/>
    </row>
    <row r="72" spans="1:34" ht="45" hidden="1" customHeight="1" thickBot="1">
      <c r="A72" s="156" t="s">
        <v>597</v>
      </c>
      <c r="B72" s="157">
        <f>IFERROR(INDEX('DESEMPATE Y DISCAPACIDAD'!$B$3:$B$450,MATCH(CONSOLIDADO!A72,'DESEMPATE Y DISCAPACIDAD'!$A$3:$A$450,0)),"")</f>
        <v>0</v>
      </c>
      <c r="C72" s="133"/>
      <c r="D72" s="133"/>
      <c r="E72" s="133"/>
      <c r="F72" s="133" t="str">
        <f>IFERROR(IF(B72&lt;&gt;"",IF(VLOOKUP("A"&amp;A72,'EXPERIENCIA '!$A$1:$AT$672,38,FALSE)="","",VLOOKUP("A"&amp;A72,'EXPERIENCIA '!$A$1:$AT$672,38,FALSE)),""),"")</f>
        <v/>
      </c>
      <c r="G72" s="133"/>
      <c r="H72" s="133"/>
      <c r="I72" s="133" t="str">
        <f t="shared" si="11"/>
        <v/>
      </c>
      <c r="J72" s="195">
        <f>IFERROR(IF(B72&lt;&gt;"",IF(VLOOKUP(A72,'PONDERACIÓN '!$B$33:$J$99,9,FALSE)="","",VLOOKUP(A72,'PONDERACIÓN '!$B$33:$J$99,9,FALSE)),""),"")</f>
        <v>0</v>
      </c>
      <c r="K72" s="187"/>
      <c r="L72" s="187"/>
      <c r="M72" s="187" t="str">
        <f>IFERROR(IF(B72&lt;&gt;"",IF(VLOOKUP(A72,'DESEMPATE Y DISCAPACIDAD'!$A$3:$Q$450,17,FALSE)="","",VLOOKUP(A72,'DESEMPATE Y DISCAPACIDAD'!$A$3:$Q$450,17,FALSE)),""),"")</f>
        <v/>
      </c>
      <c r="N72" s="187"/>
      <c r="O72" s="187"/>
      <c r="P72" s="187"/>
      <c r="Q72" s="195">
        <f t="shared" si="12"/>
        <v>0</v>
      </c>
      <c r="R72" s="196"/>
      <c r="S72" s="196"/>
      <c r="T72" s="197">
        <f t="shared" si="13"/>
        <v>0</v>
      </c>
      <c r="U72" s="56"/>
      <c r="V72" s="40" t="str">
        <f>IFERROR(IF(B72&lt;&gt;"",IF(VLOOKUP(A72,'DESEMPATE Y DISCAPACIDAD'!$A$3:$Q$96,7,FALSE)="","",VLOOKUP(A72,'DESEMPATE Y DISCAPACIDAD'!$A$3:$Q$96,7,FALSE)),""),"")</f>
        <v/>
      </c>
      <c r="W72" s="5"/>
      <c r="X72" s="5" t="str">
        <f>IFERROR(IF(B72&lt;&gt;"",IF(VLOOKUP(A72,'DESEMPATE Y DISCAPACIDAD'!$A$3:$Q$96,14,FALSE)="","",VLOOKUP(A72,'DESEMPATE Y DISCAPACIDAD'!$A$3:$Q$96,14,FALSE)),""),"")</f>
        <v/>
      </c>
      <c r="Y72" s="5"/>
      <c r="Z72" s="5"/>
      <c r="AA72" s="5"/>
      <c r="AB72" s="5"/>
      <c r="AC72" s="5"/>
      <c r="AD72" s="5"/>
      <c r="AE72" s="5"/>
      <c r="AF72" s="44"/>
      <c r="AG72" s="56"/>
      <c r="AH72" s="105"/>
    </row>
  </sheetData>
  <mergeCells count="7">
    <mergeCell ref="V1:AF3"/>
    <mergeCell ref="A1:T1"/>
    <mergeCell ref="A2:T2"/>
    <mergeCell ref="A3:A4"/>
    <mergeCell ref="B3:B4"/>
    <mergeCell ref="C3:I3"/>
    <mergeCell ref="J3:T3"/>
  </mergeCells>
  <phoneticPr fontId="24" type="noConversion"/>
  <conditionalFormatting sqref="C6:I72">
    <cfRule type="cellIs" dxfId="5" priority="1" operator="equal">
      <formula>"NO HÁBIL"</formula>
    </cfRule>
    <cfRule type="cellIs" dxfId="4" priority="2" operator="equal">
      <formula>"PENDIENTE"</formula>
    </cfRule>
    <cfRule type="cellIs" dxfId="3" priority="3" operator="equal">
      <formula>"RECHAZADO"</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rgb="FF00B050"/>
  </sheetPr>
  <dimension ref="A1:AO404"/>
  <sheetViews>
    <sheetView zoomScale="70" zoomScaleNormal="70" workbookViewId="0">
      <pane xSplit="2" ySplit="2" topLeftCell="C126" activePane="bottomRight" state="frozen"/>
      <selection pane="topRight" activeCell="C1" sqref="C1"/>
      <selection pane="bottomLeft" activeCell="A3" sqref="A3"/>
      <selection pane="bottomRight" activeCell="B171" sqref="B171:B176"/>
    </sheetView>
  </sheetViews>
  <sheetFormatPr baseColWidth="10" defaultColWidth="11.453125" defaultRowHeight="14.5"/>
  <cols>
    <col min="1" max="1" width="7" style="1" customWidth="1"/>
    <col min="2" max="2" width="46.36328125" style="1" customWidth="1"/>
    <col min="3" max="3" width="17.6328125" style="1" customWidth="1"/>
    <col min="4" max="4" width="70" style="72" customWidth="1"/>
    <col min="5" max="5" width="9.6328125" style="1" customWidth="1"/>
    <col min="6" max="6" width="17.1796875" style="1" hidden="1" customWidth="1"/>
    <col min="7" max="8" width="16" style="1" customWidth="1"/>
    <col min="9" max="9" width="16.1796875" style="1" customWidth="1"/>
    <col min="10" max="10" width="15" style="1" customWidth="1"/>
    <col min="11" max="11" width="14" style="1" customWidth="1"/>
    <col min="12" max="12" width="14.6328125" style="1" customWidth="1"/>
    <col min="13" max="13" width="15.1796875" style="1" customWidth="1"/>
    <col min="14" max="14" width="2.6328125" style="1" customWidth="1"/>
    <col min="15" max="15" width="15.6328125" style="1" customWidth="1"/>
    <col min="16" max="16" width="20.453125" style="1" customWidth="1"/>
    <col min="17" max="17" width="9.453125" style="1" customWidth="1"/>
    <col min="18" max="18" width="75" style="1" customWidth="1"/>
    <col min="19" max="39" width="11.453125" style="1"/>
    <col min="40" max="41" width="11.453125" style="1" customWidth="1"/>
    <col min="42" max="16384" width="11.453125" style="1"/>
  </cols>
  <sheetData>
    <row r="1" spans="1:41" s="4" customFormat="1" ht="93.5" customHeight="1">
      <c r="A1" s="805" t="s">
        <v>17</v>
      </c>
      <c r="B1" s="805" t="s">
        <v>18</v>
      </c>
      <c r="C1" s="805" t="s">
        <v>19</v>
      </c>
      <c r="D1" s="805" t="s">
        <v>20</v>
      </c>
      <c r="E1" s="805" t="s">
        <v>21</v>
      </c>
      <c r="F1" s="805" t="s">
        <v>571</v>
      </c>
      <c r="G1" s="794" t="s">
        <v>22</v>
      </c>
      <c r="H1" s="796" t="s">
        <v>167</v>
      </c>
      <c r="I1" s="806" t="s">
        <v>166</v>
      </c>
      <c r="J1" s="786" t="s">
        <v>193</v>
      </c>
      <c r="K1" s="798" t="s">
        <v>23</v>
      </c>
      <c r="L1" s="798"/>
      <c r="M1" s="798"/>
      <c r="O1" s="791" t="s">
        <v>26</v>
      </c>
      <c r="P1" s="792"/>
      <c r="Q1" s="793"/>
      <c r="R1" s="786" t="s">
        <v>194</v>
      </c>
    </row>
    <row r="2" spans="1:41" s="4" customFormat="1" ht="94.5" customHeight="1" thickBot="1">
      <c r="A2" s="442"/>
      <c r="B2" s="442"/>
      <c r="C2" s="442"/>
      <c r="D2" s="442"/>
      <c r="E2" s="442"/>
      <c r="F2" s="442"/>
      <c r="G2" s="795"/>
      <c r="H2" s="797"/>
      <c r="I2" s="807"/>
      <c r="J2" s="787"/>
      <c r="K2" s="39" t="s">
        <v>152</v>
      </c>
      <c r="L2" s="39" t="s">
        <v>24</v>
      </c>
      <c r="M2" s="39" t="s">
        <v>25</v>
      </c>
      <c r="O2" s="41" t="s">
        <v>27</v>
      </c>
      <c r="P2" s="42" t="s">
        <v>28</v>
      </c>
      <c r="Q2" s="43" t="s">
        <v>29</v>
      </c>
      <c r="R2" s="787"/>
      <c r="AN2" s="4" t="s">
        <v>204</v>
      </c>
      <c r="AO2" s="4" t="s">
        <v>205</v>
      </c>
    </row>
    <row r="3" spans="1:41" s="4" customFormat="1" ht="23.5" customHeight="1">
      <c r="A3" s="800" t="s">
        <v>30</v>
      </c>
      <c r="B3" s="730" t="s">
        <v>755</v>
      </c>
      <c r="C3" s="111" t="s">
        <v>170</v>
      </c>
      <c r="D3" s="155" t="s">
        <v>756</v>
      </c>
      <c r="E3" s="113">
        <v>0.4</v>
      </c>
      <c r="F3" s="111"/>
      <c r="G3" s="125" t="s">
        <v>757</v>
      </c>
      <c r="H3" s="125" t="s">
        <v>744</v>
      </c>
      <c r="I3" s="125" t="s">
        <v>757</v>
      </c>
      <c r="J3" s="730">
        <f>SUM(AN3:AO8)</f>
        <v>2</v>
      </c>
      <c r="K3" s="115">
        <f>IFERROR(IF(D3="","",SUMIF('EXPERIENCIA '!$D$3:$D$672,D3,'EXPERIENCIA '!$AF$3:$AF$672)),"")</f>
        <v>41999.992400000003</v>
      </c>
      <c r="L3" s="111" t="str">
        <f>IF(K3="","",IF(K3=0,0,IF(K3&gt;=PARÁMETROS!$O$5,"CUMPLE","NO CUMPLE")))</f>
        <v>CUMPLE</v>
      </c>
      <c r="M3" s="158" t="str">
        <f>+IF(G3="ACREDITA",IF(L3="CUMPLE","CUMPLE","NO CUMPLE"),"")</f>
        <v/>
      </c>
      <c r="N3" s="107"/>
      <c r="O3" s="152" t="str">
        <f t="shared" ref="O3:O66" si="0">IFERROR(IF(OR(G3="",G3="N/A",G3="NO APLICA"),"N/A",IFERROR(IF(K3=0,"",IF(K3&gt;=PDMI,"CUMPLE","NO CUMPLE")),"")),"")</f>
        <v>CUMPLE</v>
      </c>
      <c r="P3" s="111" t="str">
        <f t="shared" ref="P3:P66" si="1">IFERROR(IF(O3="N/A","NO CUMPLE",IFERROR(IF(G3="ACREDITA",IF(O3="CUMPLE","CUMPLE","NO CUMPLE"),""),"")),"")</f>
        <v/>
      </c>
      <c r="Q3" s="799">
        <v>1</v>
      </c>
      <c r="R3" s="782"/>
      <c r="AN3" s="574">
        <f>IF(COUNTIF(H3:H8,"ACREDITA")&gt;0,1,0)</f>
        <v>1</v>
      </c>
      <c r="AO3" s="574">
        <f>IF(COUNTIF(I3:I8,"ACREDITA")&gt;0,1,0)</f>
        <v>1</v>
      </c>
    </row>
    <row r="4" spans="1:41" s="4" customFormat="1" ht="23.5" customHeight="1">
      <c r="A4" s="801"/>
      <c r="B4" s="803"/>
      <c r="C4" s="125" t="s">
        <v>207</v>
      </c>
      <c r="D4" s="155" t="s">
        <v>758</v>
      </c>
      <c r="E4" s="68">
        <v>0.3</v>
      </c>
      <c r="F4" s="125"/>
      <c r="G4" s="125" t="s">
        <v>757</v>
      </c>
      <c r="H4" s="125" t="s">
        <v>744</v>
      </c>
      <c r="I4" s="125" t="s">
        <v>744</v>
      </c>
      <c r="J4" s="803"/>
      <c r="K4" s="117">
        <f>IFERROR(IF(D4="","",SUMIF('EXPERIENCIA '!$D$3:$D$672,D4,'EXPERIENCIA '!$AF$3:$AF$672)),"")</f>
        <v>14369.32</v>
      </c>
      <c r="L4" s="125" t="str">
        <f>IF(K4="","",IF(K4=0,0,IF(K4&gt;=PARÁMETROS!$O$5,"CUMPLE","NO CUMPLE")))</f>
        <v>CUMPLE</v>
      </c>
      <c r="M4" s="159" t="str">
        <f>+IF(G4="ACREDITA",IF(L4="CUMPLE","CUMPLE","NO CUMPLE"),"")</f>
        <v/>
      </c>
      <c r="N4" s="107"/>
      <c r="O4" s="154" t="str">
        <f t="shared" si="0"/>
        <v>NO CUMPLE</v>
      </c>
      <c r="P4" s="125" t="str">
        <f t="shared" si="1"/>
        <v/>
      </c>
      <c r="Q4" s="782"/>
      <c r="R4" s="782"/>
      <c r="AN4" s="781"/>
      <c r="AO4" s="781"/>
    </row>
    <row r="5" spans="1:41" s="4" customFormat="1" ht="23.5" customHeight="1">
      <c r="A5" s="801"/>
      <c r="B5" s="803"/>
      <c r="C5" s="125" t="s">
        <v>208</v>
      </c>
      <c r="D5" s="242" t="s">
        <v>759</v>
      </c>
      <c r="E5" s="68">
        <v>0.3</v>
      </c>
      <c r="F5" s="125"/>
      <c r="G5" s="121" t="s">
        <v>744</v>
      </c>
      <c r="H5" s="121" t="s">
        <v>757</v>
      </c>
      <c r="I5" s="121" t="s">
        <v>744</v>
      </c>
      <c r="J5" s="803"/>
      <c r="K5" s="117">
        <f>IFERROR(IF(D5="","",SUMIF('EXPERIENCIA '!$D$3:$D$672,D5,'EXPERIENCIA '!$AF$3:$AF$672)),"")</f>
        <v>16068.71</v>
      </c>
      <c r="L5" s="125" t="str">
        <f>IF(K5="","",IF(K5=0,0,IF(K5&gt;=PARÁMETROS!$O$5,"CUMPLE","NO CUMPLE")))</f>
        <v>CUMPLE</v>
      </c>
      <c r="M5" s="159" t="str">
        <f t="shared" ref="M5:M66" si="2">+IF(G5="ACREDITA",IF(L5="CUMPLE","CUMPLE","NO CUMPLE"),"")</f>
        <v>CUMPLE</v>
      </c>
      <c r="N5" s="107"/>
      <c r="O5" s="154" t="str">
        <f t="shared" si="0"/>
        <v>CUMPLE</v>
      </c>
      <c r="P5" s="125" t="str">
        <f t="shared" si="1"/>
        <v>CUMPLE</v>
      </c>
      <c r="Q5" s="782"/>
      <c r="R5" s="782"/>
      <c r="AN5" s="781"/>
      <c r="AO5" s="781"/>
    </row>
    <row r="6" spans="1:41" s="4" customFormat="1" ht="2" customHeight="1">
      <c r="A6" s="801"/>
      <c r="B6" s="803"/>
      <c r="C6" s="125" t="s">
        <v>215</v>
      </c>
      <c r="D6" s="155"/>
      <c r="E6" s="68"/>
      <c r="F6" s="125"/>
      <c r="G6" s="125"/>
      <c r="H6" s="125"/>
      <c r="I6" s="125"/>
      <c r="J6" s="803"/>
      <c r="K6" s="117" t="str">
        <f>IFERROR(IF(D6="","",SUMIF('EXPERIENCIA '!$D$3:$D$672,D6,'EXPERIENCIA '!$AF$3:$AF$672)),"")</f>
        <v/>
      </c>
      <c r="L6" s="125" t="str">
        <f>IF(K6="","",IF(K6=0,0,IF(K6&gt;=PARÁMETROS!$O$5,"CUMPLE","NO CUMPLE")))</f>
        <v/>
      </c>
      <c r="M6" s="159" t="str">
        <f t="shared" si="2"/>
        <v/>
      </c>
      <c r="N6" s="107"/>
      <c r="O6" s="154" t="str">
        <f t="shared" si="0"/>
        <v>N/A</v>
      </c>
      <c r="P6" s="125" t="str">
        <f t="shared" si="1"/>
        <v>NO CUMPLE</v>
      </c>
      <c r="Q6" s="782"/>
      <c r="R6" s="782"/>
      <c r="AN6" s="781"/>
      <c r="AO6" s="781"/>
    </row>
    <row r="7" spans="1:41" s="4" customFormat="1" ht="2" customHeight="1">
      <c r="A7" s="801"/>
      <c r="B7" s="803"/>
      <c r="C7" s="125" t="s">
        <v>216</v>
      </c>
      <c r="D7" s="155"/>
      <c r="E7" s="68"/>
      <c r="F7" s="125"/>
      <c r="G7" s="125"/>
      <c r="H7" s="125"/>
      <c r="I7" s="125"/>
      <c r="J7" s="803"/>
      <c r="K7" s="117" t="str">
        <f>IFERROR(IF(D7="","",SUMIF('EXPERIENCIA '!$D$3:$D$672,D7,'EXPERIENCIA '!$AF$3:$AF$672)),"")</f>
        <v/>
      </c>
      <c r="L7" s="125" t="str">
        <f>IF(K7="","",IF(K7=0,0,IF(K7&gt;=PARÁMETROS!$O$5,"CUMPLE","NO CUMPLE")))</f>
        <v/>
      </c>
      <c r="M7" s="159" t="str">
        <f t="shared" si="2"/>
        <v/>
      </c>
      <c r="N7" s="107"/>
      <c r="O7" s="154" t="str">
        <f t="shared" si="0"/>
        <v>N/A</v>
      </c>
      <c r="P7" s="125" t="str">
        <f t="shared" si="1"/>
        <v>NO CUMPLE</v>
      </c>
      <c r="Q7" s="782"/>
      <c r="R7" s="782"/>
      <c r="AN7" s="781"/>
      <c r="AO7" s="781"/>
    </row>
    <row r="8" spans="1:41" s="4" customFormat="1" ht="2" customHeight="1" thickBot="1">
      <c r="A8" s="802"/>
      <c r="B8" s="804"/>
      <c r="C8" s="133" t="s">
        <v>217</v>
      </c>
      <c r="D8" s="157"/>
      <c r="E8" s="104"/>
      <c r="F8" s="133"/>
      <c r="G8" s="133"/>
      <c r="H8" s="133"/>
      <c r="I8" s="133"/>
      <c r="J8" s="804"/>
      <c r="K8" s="136" t="str">
        <f>IFERROR(IF(D8="","",SUMIF('EXPERIENCIA '!$D$3:$D$672,D8,'EXPERIENCIA '!$AF$3:$AF$672)),"")</f>
        <v/>
      </c>
      <c r="L8" s="133" t="str">
        <f>IF(K8="","",IF(K8=0,0,IF(K8&gt;=PARÁMETROS!$O$5,"CUMPLE","NO CUMPLE")))</f>
        <v/>
      </c>
      <c r="M8" s="160" t="str">
        <f t="shared" si="2"/>
        <v/>
      </c>
      <c r="N8" s="107"/>
      <c r="O8" s="156" t="str">
        <f t="shared" si="0"/>
        <v>N/A</v>
      </c>
      <c r="P8" s="133" t="str">
        <f t="shared" si="1"/>
        <v>NO CUMPLE</v>
      </c>
      <c r="Q8" s="783"/>
      <c r="R8" s="783"/>
      <c r="AN8" s="575"/>
      <c r="AO8" s="575"/>
    </row>
    <row r="9" spans="1:41" ht="23.5" customHeight="1">
      <c r="A9" s="800" t="s">
        <v>123</v>
      </c>
      <c r="B9" s="730" t="s">
        <v>760</v>
      </c>
      <c r="C9" s="111" t="s">
        <v>172</v>
      </c>
      <c r="D9" s="153" t="s">
        <v>761</v>
      </c>
      <c r="E9" s="113">
        <v>0.3</v>
      </c>
      <c r="F9" s="111"/>
      <c r="G9" s="111" t="s">
        <v>744</v>
      </c>
      <c r="H9" s="111" t="s">
        <v>744</v>
      </c>
      <c r="I9" s="111" t="s">
        <v>744</v>
      </c>
      <c r="J9" s="730">
        <f>SUM(AN9:AO14)</f>
        <v>2</v>
      </c>
      <c r="K9" s="115">
        <f>IFERROR(IF(D9="","",SUMIF('EXPERIENCIA '!$D$3:$D$672,D9,'EXPERIENCIA '!$AF$3:$AF$672)),"")</f>
        <v>33214.699999999997</v>
      </c>
      <c r="L9" s="111" t="str">
        <f>IF(K9="","",IF(K9=0,0,IF(K9&gt;=PARÁMETROS!$O$5,"CUMPLE","NO CUMPLE")))</f>
        <v>CUMPLE</v>
      </c>
      <c r="M9" s="158" t="str">
        <f t="shared" si="2"/>
        <v>CUMPLE</v>
      </c>
      <c r="N9" s="107"/>
      <c r="O9" s="161" t="str">
        <f t="shared" si="0"/>
        <v>CUMPLE</v>
      </c>
      <c r="P9" s="121" t="str">
        <f t="shared" si="1"/>
        <v>CUMPLE</v>
      </c>
      <c r="Q9" s="782">
        <v>1</v>
      </c>
      <c r="R9" s="782"/>
      <c r="AN9" s="574">
        <f>IF(COUNTIF(H9:H14,"ACREDITA")&gt;0,1,0)</f>
        <v>1</v>
      </c>
      <c r="AO9" s="574">
        <f>IF(COUNTIF(I9:I14,"ACREDITA")&gt;0,1,0)</f>
        <v>1</v>
      </c>
    </row>
    <row r="10" spans="1:41" ht="23.5" customHeight="1">
      <c r="A10" s="801"/>
      <c r="B10" s="803"/>
      <c r="C10" s="125" t="s">
        <v>218</v>
      </c>
      <c r="D10" s="155" t="s">
        <v>762</v>
      </c>
      <c r="E10" s="68">
        <v>0.3</v>
      </c>
      <c r="F10" s="125"/>
      <c r="G10" s="125" t="s">
        <v>757</v>
      </c>
      <c r="H10" s="125" t="s">
        <v>757</v>
      </c>
      <c r="I10" s="125" t="s">
        <v>757</v>
      </c>
      <c r="J10" s="803"/>
      <c r="K10" s="117">
        <f>IFERROR(IF(D10="","",SUMIF('EXPERIENCIA '!$D$3:$D$672,D10,'EXPERIENCIA '!$AF$3:$AF$672)),"")</f>
        <v>25239.06</v>
      </c>
      <c r="L10" s="125" t="str">
        <f>IF(K10="","",IF(K10=0,0,IF(K10&gt;=PARÁMETROS!$O$5,"CUMPLE","NO CUMPLE")))</f>
        <v>CUMPLE</v>
      </c>
      <c r="M10" s="159" t="str">
        <f t="shared" si="2"/>
        <v/>
      </c>
      <c r="N10" s="107"/>
      <c r="O10" s="154" t="str">
        <f t="shared" si="0"/>
        <v>CUMPLE</v>
      </c>
      <c r="P10" s="125" t="str">
        <f t="shared" si="1"/>
        <v/>
      </c>
      <c r="Q10" s="782"/>
      <c r="R10" s="782"/>
      <c r="AN10" s="781"/>
      <c r="AO10" s="781"/>
    </row>
    <row r="11" spans="1:41" ht="23.5" customHeight="1">
      <c r="A11" s="801"/>
      <c r="B11" s="803"/>
      <c r="C11" s="125" t="s">
        <v>219</v>
      </c>
      <c r="D11" s="155" t="s">
        <v>763</v>
      </c>
      <c r="E11" s="68">
        <v>0.4</v>
      </c>
      <c r="F11" s="125"/>
      <c r="G11" s="125" t="s">
        <v>744</v>
      </c>
      <c r="H11" s="125" t="s">
        <v>744</v>
      </c>
      <c r="I11" s="125" t="s">
        <v>744</v>
      </c>
      <c r="J11" s="803"/>
      <c r="K11" s="117">
        <f>IFERROR(IF(D11="","",SUMIF('EXPERIENCIA '!$D$3:$D$672,D11,'EXPERIENCIA '!$AF$3:$AF$672)),"")</f>
        <v>7651.3566000000001</v>
      </c>
      <c r="L11" s="125" t="str">
        <f>IF(K11="","",IF(K11=0,0,IF(K11&gt;=PARÁMETROS!$O$5,"CUMPLE","NO CUMPLE")))</f>
        <v>NO CUMPLE</v>
      </c>
      <c r="M11" s="159" t="str">
        <f t="shared" si="2"/>
        <v>NO CUMPLE</v>
      </c>
      <c r="N11" s="107"/>
      <c r="O11" s="154" t="str">
        <f t="shared" si="0"/>
        <v>NO CUMPLE</v>
      </c>
      <c r="P11" s="125" t="str">
        <f t="shared" si="1"/>
        <v>NO CUMPLE</v>
      </c>
      <c r="Q11" s="782"/>
      <c r="R11" s="782"/>
      <c r="AN11" s="781"/>
      <c r="AO11" s="781"/>
    </row>
    <row r="12" spans="1:41" ht="2" customHeight="1">
      <c r="A12" s="801"/>
      <c r="B12" s="803"/>
      <c r="C12" s="125" t="s">
        <v>220</v>
      </c>
      <c r="D12" s="155"/>
      <c r="E12" s="68"/>
      <c r="F12" s="125"/>
      <c r="G12" s="125"/>
      <c r="H12" s="125"/>
      <c r="I12" s="125"/>
      <c r="J12" s="803"/>
      <c r="K12" s="117" t="str">
        <f>IFERROR(IF(D12="","",SUMIF('EXPERIENCIA '!$D$3:$D$672,D12,'EXPERIENCIA '!$AF$3:$AF$672)),"")</f>
        <v/>
      </c>
      <c r="L12" s="125" t="str">
        <f>IF(K12="","",IF(K12=0,0,IF(K12&gt;=PARÁMETROS!$O$5,"CUMPLE","NO CUMPLE")))</f>
        <v/>
      </c>
      <c r="M12" s="159" t="str">
        <f t="shared" si="2"/>
        <v/>
      </c>
      <c r="N12" s="107"/>
      <c r="O12" s="154" t="str">
        <f t="shared" si="0"/>
        <v>N/A</v>
      </c>
      <c r="P12" s="125" t="str">
        <f t="shared" si="1"/>
        <v>NO CUMPLE</v>
      </c>
      <c r="Q12" s="782"/>
      <c r="R12" s="782"/>
      <c r="AN12" s="781"/>
      <c r="AO12" s="781"/>
    </row>
    <row r="13" spans="1:41" ht="2" customHeight="1">
      <c r="A13" s="801"/>
      <c r="B13" s="803"/>
      <c r="C13" s="125" t="s">
        <v>221</v>
      </c>
      <c r="D13" s="155"/>
      <c r="E13" s="68"/>
      <c r="F13" s="125"/>
      <c r="G13" s="125"/>
      <c r="H13" s="125"/>
      <c r="I13" s="125"/>
      <c r="J13" s="803"/>
      <c r="K13" s="117" t="str">
        <f>IFERROR(IF(D13="","",SUMIF('EXPERIENCIA '!$D$3:$D$672,D13,'EXPERIENCIA '!$AF$3:$AF$672)),"")</f>
        <v/>
      </c>
      <c r="L13" s="125" t="str">
        <f>IF(K13="","",IF(K13=0,0,IF(K13&gt;=PARÁMETROS!$O$5,"CUMPLE","NO CUMPLE")))</f>
        <v/>
      </c>
      <c r="M13" s="159" t="str">
        <f t="shared" si="2"/>
        <v/>
      </c>
      <c r="N13" s="107"/>
      <c r="O13" s="154" t="str">
        <f t="shared" si="0"/>
        <v>N/A</v>
      </c>
      <c r="P13" s="125" t="str">
        <f t="shared" si="1"/>
        <v>NO CUMPLE</v>
      </c>
      <c r="Q13" s="782"/>
      <c r="R13" s="782"/>
      <c r="AN13" s="781"/>
      <c r="AO13" s="781"/>
    </row>
    <row r="14" spans="1:41" ht="2" customHeight="1" thickBot="1">
      <c r="A14" s="802"/>
      <c r="B14" s="804"/>
      <c r="C14" s="133" t="s">
        <v>222</v>
      </c>
      <c r="D14" s="157"/>
      <c r="E14" s="104"/>
      <c r="F14" s="133"/>
      <c r="G14" s="133"/>
      <c r="H14" s="133"/>
      <c r="I14" s="133"/>
      <c r="J14" s="804"/>
      <c r="K14" s="136" t="str">
        <f>IFERROR(IF(D14="","",SUMIF('EXPERIENCIA '!$D$3:$D$672,D14,'EXPERIENCIA '!$AF$3:$AF$672)),"")</f>
        <v/>
      </c>
      <c r="L14" s="133" t="str">
        <f>IF(K14="","",IF(K14=0,0,IF(K14&gt;=PARÁMETROS!$O$5,"CUMPLE","NO CUMPLE")))</f>
        <v/>
      </c>
      <c r="M14" s="160" t="str">
        <f t="shared" si="2"/>
        <v/>
      </c>
      <c r="N14" s="107"/>
      <c r="O14" s="156" t="str">
        <f t="shared" si="0"/>
        <v>N/A</v>
      </c>
      <c r="P14" s="133" t="str">
        <f t="shared" si="1"/>
        <v>NO CUMPLE</v>
      </c>
      <c r="Q14" s="783"/>
      <c r="R14" s="783"/>
      <c r="AN14" s="575"/>
      <c r="AO14" s="575"/>
    </row>
    <row r="15" spans="1:41" ht="23.5" customHeight="1">
      <c r="A15" s="800" t="s">
        <v>124</v>
      </c>
      <c r="B15" s="730" t="s">
        <v>764</v>
      </c>
      <c r="C15" s="111" t="s">
        <v>173</v>
      </c>
      <c r="D15" s="162" t="s">
        <v>765</v>
      </c>
      <c r="E15" s="113">
        <v>0.5</v>
      </c>
      <c r="F15" s="111"/>
      <c r="G15" s="111" t="s">
        <v>744</v>
      </c>
      <c r="H15" s="111" t="s">
        <v>744</v>
      </c>
      <c r="I15" s="111" t="s">
        <v>744</v>
      </c>
      <c r="J15" s="730">
        <f>SUM(AN15:AO20)</f>
        <v>2</v>
      </c>
      <c r="K15" s="115">
        <f>IFERROR(IF(D15="","",SUMIF('EXPERIENCIA '!$D$3:$D$672,D15,'EXPERIENCIA '!$AF$3:$AF$672)),"")</f>
        <v>63290.641700000007</v>
      </c>
      <c r="L15" s="111" t="str">
        <f>IF(K15="","",IF(K15=0,0,IF(K15&gt;=PARÁMETROS!$O$5,"CUMPLE","NO CUMPLE")))</f>
        <v>CUMPLE</v>
      </c>
      <c r="M15" s="158" t="str">
        <f t="shared" si="2"/>
        <v>CUMPLE</v>
      </c>
      <c r="N15" s="107"/>
      <c r="O15" s="161" t="str">
        <f t="shared" si="0"/>
        <v>CUMPLE</v>
      </c>
      <c r="P15" s="121" t="str">
        <f t="shared" si="1"/>
        <v>CUMPLE</v>
      </c>
      <c r="Q15" s="782">
        <v>1</v>
      </c>
      <c r="R15" s="782"/>
      <c r="AN15" s="574">
        <f>IF(COUNTIF(H15:H20,"ACREDITA")&gt;0,1,0)</f>
        <v>1</v>
      </c>
      <c r="AO15" s="574">
        <f>IF(COUNTIF(I15:I20,"ACREDITA")&gt;0,1,0)</f>
        <v>1</v>
      </c>
    </row>
    <row r="16" spans="1:41" ht="23.5" customHeight="1">
      <c r="A16" s="801"/>
      <c r="B16" s="803"/>
      <c r="C16" s="125" t="s">
        <v>174</v>
      </c>
      <c r="D16" s="155" t="s">
        <v>766</v>
      </c>
      <c r="E16" s="68">
        <v>0.5</v>
      </c>
      <c r="F16" s="125"/>
      <c r="G16" s="125" t="s">
        <v>744</v>
      </c>
      <c r="H16" s="125" t="s">
        <v>744</v>
      </c>
      <c r="I16" s="125" t="s">
        <v>744</v>
      </c>
      <c r="J16" s="803"/>
      <c r="K16" s="117">
        <f>IFERROR(IF(D16="","",SUMIF('EXPERIENCIA '!$D$3:$D$672,D16,'EXPERIENCIA '!$AF$3:$AF$672)),"")</f>
        <v>47313.189899999998</v>
      </c>
      <c r="L16" s="125" t="str">
        <f>IF(K16="","",IF(K16=0,0,IF(K16&gt;=PARÁMETROS!$O$5,"CUMPLE","NO CUMPLE")))</f>
        <v>CUMPLE</v>
      </c>
      <c r="M16" s="159" t="str">
        <f t="shared" si="2"/>
        <v>CUMPLE</v>
      </c>
      <c r="N16" s="107"/>
      <c r="O16" s="154" t="str">
        <f t="shared" si="0"/>
        <v>CUMPLE</v>
      </c>
      <c r="P16" s="125" t="str">
        <f t="shared" si="1"/>
        <v>CUMPLE</v>
      </c>
      <c r="Q16" s="782"/>
      <c r="R16" s="782"/>
      <c r="AN16" s="781"/>
      <c r="AO16" s="781"/>
    </row>
    <row r="17" spans="1:41" ht="2" customHeight="1">
      <c r="A17" s="801"/>
      <c r="B17" s="803"/>
      <c r="C17" s="125" t="s">
        <v>223</v>
      </c>
      <c r="D17" s="155"/>
      <c r="E17" s="68"/>
      <c r="F17" s="125"/>
      <c r="G17" s="125"/>
      <c r="H17" s="125"/>
      <c r="I17" s="125"/>
      <c r="J17" s="803"/>
      <c r="K17" s="117" t="str">
        <f>IFERROR(IF(D17="","",SUMIF('EXPERIENCIA '!$D$3:$D$672,D17,'EXPERIENCIA '!$AF$3:$AF$672)),"")</f>
        <v/>
      </c>
      <c r="L17" s="125" t="str">
        <f>IF(K17="","",IF(K17=0,0,IF(K17&gt;=PARÁMETROS!$O$5,"CUMPLE","NO CUMPLE")))</f>
        <v/>
      </c>
      <c r="M17" s="159" t="str">
        <f t="shared" si="2"/>
        <v/>
      </c>
      <c r="N17" s="107"/>
      <c r="O17" s="154" t="str">
        <f t="shared" si="0"/>
        <v>N/A</v>
      </c>
      <c r="P17" s="125" t="str">
        <f t="shared" si="1"/>
        <v>NO CUMPLE</v>
      </c>
      <c r="Q17" s="782"/>
      <c r="R17" s="782"/>
      <c r="AN17" s="781"/>
      <c r="AO17" s="781"/>
    </row>
    <row r="18" spans="1:41" ht="2" customHeight="1">
      <c r="A18" s="801"/>
      <c r="B18" s="803"/>
      <c r="C18" s="125" t="s">
        <v>224</v>
      </c>
      <c r="D18" s="155"/>
      <c r="E18" s="68"/>
      <c r="F18" s="125"/>
      <c r="G18" s="125"/>
      <c r="H18" s="125"/>
      <c r="I18" s="125"/>
      <c r="J18" s="803"/>
      <c r="K18" s="117" t="str">
        <f>IFERROR(IF(D18="","",SUMIF('EXPERIENCIA '!$D$3:$D$672,D18,'EXPERIENCIA '!$AF$3:$AF$672)),"")</f>
        <v/>
      </c>
      <c r="L18" s="125" t="str">
        <f>IF(K18="","",IF(K18=0,0,IF(K18&gt;=PARÁMETROS!$O$5,"CUMPLE","NO CUMPLE")))</f>
        <v/>
      </c>
      <c r="M18" s="159" t="str">
        <f t="shared" si="2"/>
        <v/>
      </c>
      <c r="N18" s="107"/>
      <c r="O18" s="154" t="str">
        <f t="shared" si="0"/>
        <v>N/A</v>
      </c>
      <c r="P18" s="125" t="str">
        <f t="shared" si="1"/>
        <v>NO CUMPLE</v>
      </c>
      <c r="Q18" s="782"/>
      <c r="R18" s="782"/>
      <c r="AN18" s="781"/>
      <c r="AO18" s="781"/>
    </row>
    <row r="19" spans="1:41" ht="2" customHeight="1">
      <c r="A19" s="801"/>
      <c r="B19" s="803"/>
      <c r="C19" s="125" t="s">
        <v>225</v>
      </c>
      <c r="D19" s="155"/>
      <c r="E19" s="68"/>
      <c r="F19" s="125"/>
      <c r="G19" s="125"/>
      <c r="H19" s="125"/>
      <c r="I19" s="125"/>
      <c r="J19" s="803"/>
      <c r="K19" s="117" t="str">
        <f>IFERROR(IF(D19="","",SUMIF('EXPERIENCIA '!$D$3:$D$672,D19,'EXPERIENCIA '!$AF$3:$AF$672)),"")</f>
        <v/>
      </c>
      <c r="L19" s="125" t="str">
        <f>IF(K19="","",IF(K19=0,0,IF(K19&gt;=PARÁMETROS!$O$5,"CUMPLE","NO CUMPLE")))</f>
        <v/>
      </c>
      <c r="M19" s="159" t="str">
        <f t="shared" si="2"/>
        <v/>
      </c>
      <c r="N19" s="107"/>
      <c r="O19" s="154" t="str">
        <f t="shared" si="0"/>
        <v>N/A</v>
      </c>
      <c r="P19" s="125" t="str">
        <f t="shared" si="1"/>
        <v>NO CUMPLE</v>
      </c>
      <c r="Q19" s="782"/>
      <c r="R19" s="782"/>
      <c r="AN19" s="781"/>
      <c r="AO19" s="781"/>
    </row>
    <row r="20" spans="1:41" ht="2" customHeight="1" thickBot="1">
      <c r="A20" s="802"/>
      <c r="B20" s="804"/>
      <c r="C20" s="133" t="s">
        <v>226</v>
      </c>
      <c r="D20" s="157"/>
      <c r="E20" s="104"/>
      <c r="F20" s="133"/>
      <c r="G20" s="133"/>
      <c r="H20" s="133"/>
      <c r="I20" s="133"/>
      <c r="J20" s="804"/>
      <c r="K20" s="136" t="str">
        <f>IFERROR(IF(D20="","",SUMIF('EXPERIENCIA '!$D$3:$D$672,D20,'EXPERIENCIA '!$AF$3:$AF$672)),"")</f>
        <v/>
      </c>
      <c r="L20" s="133" t="str">
        <f>IF(K20="","",IF(K20=0,0,IF(K20&gt;=PARÁMETROS!$O$5,"CUMPLE","NO CUMPLE")))</f>
        <v/>
      </c>
      <c r="M20" s="160" t="str">
        <f t="shared" si="2"/>
        <v/>
      </c>
      <c r="N20" s="107"/>
      <c r="O20" s="156" t="str">
        <f t="shared" si="0"/>
        <v>N/A</v>
      </c>
      <c r="P20" s="133" t="str">
        <f t="shared" si="1"/>
        <v>NO CUMPLE</v>
      </c>
      <c r="Q20" s="783"/>
      <c r="R20" s="783"/>
      <c r="AN20" s="575"/>
      <c r="AO20" s="575"/>
    </row>
    <row r="21" spans="1:41" ht="23.5" customHeight="1">
      <c r="A21" s="800" t="s">
        <v>125</v>
      </c>
      <c r="B21" s="730" t="s">
        <v>767</v>
      </c>
      <c r="C21" s="111" t="s">
        <v>175</v>
      </c>
      <c r="D21" s="153" t="s">
        <v>768</v>
      </c>
      <c r="E21" s="113">
        <v>0.4</v>
      </c>
      <c r="F21" s="111"/>
      <c r="G21" s="111" t="s">
        <v>757</v>
      </c>
      <c r="H21" s="111" t="s">
        <v>744</v>
      </c>
      <c r="I21" s="111" t="s">
        <v>744</v>
      </c>
      <c r="J21" s="730">
        <f>SUM(AN21:AO26)</f>
        <v>2</v>
      </c>
      <c r="K21" s="115">
        <f>IFERROR(IF(D21="","",SUMIF('EXPERIENCIA '!$D$3:$D$672,D21,'EXPERIENCIA '!$AF$3:$AF$672)),"")</f>
        <v>7746.7550000000001</v>
      </c>
      <c r="L21" s="111" t="str">
        <f>IF(K21="","",IF(K21=0,0,IF(K21&gt;=PARÁMETROS!$O$5,"CUMPLE","NO CUMPLE")))</f>
        <v>NO CUMPLE</v>
      </c>
      <c r="M21" s="158" t="str">
        <f t="shared" si="2"/>
        <v/>
      </c>
      <c r="N21" s="107"/>
      <c r="O21" s="161" t="str">
        <f t="shared" si="0"/>
        <v>NO CUMPLE</v>
      </c>
      <c r="P21" s="121" t="str">
        <f t="shared" si="1"/>
        <v/>
      </c>
      <c r="Q21" s="782">
        <v>1</v>
      </c>
      <c r="R21" s="782"/>
      <c r="AN21" s="574">
        <f>IF(COUNTIF(H21:H26,"ACREDITA")&gt;0,1,0)</f>
        <v>1</v>
      </c>
      <c r="AO21" s="574">
        <f>IF(COUNTIF(I21:I26,"ACREDITA")&gt;0,1,0)</f>
        <v>1</v>
      </c>
    </row>
    <row r="22" spans="1:41" ht="23.5" customHeight="1">
      <c r="A22" s="801"/>
      <c r="B22" s="803"/>
      <c r="C22" s="125" t="s">
        <v>227</v>
      </c>
      <c r="D22" s="155" t="s">
        <v>769</v>
      </c>
      <c r="E22" s="68">
        <v>0.2</v>
      </c>
      <c r="F22" s="125"/>
      <c r="G22" s="125" t="s">
        <v>744</v>
      </c>
      <c r="H22" s="125" t="s">
        <v>744</v>
      </c>
      <c r="I22" s="125" t="s">
        <v>744</v>
      </c>
      <c r="J22" s="803"/>
      <c r="K22" s="117">
        <f>IFERROR(IF(D22="","",SUMIF('EXPERIENCIA '!$D$3:$D$672,D22,'EXPERIENCIA '!$AF$3:$AF$672)),"")</f>
        <v>71404.5625</v>
      </c>
      <c r="L22" s="125" t="str">
        <f>IF(K22="","",IF(K22=0,0,IF(K22&gt;=PARÁMETROS!$O$5,"CUMPLE","NO CUMPLE")))</f>
        <v>CUMPLE</v>
      </c>
      <c r="M22" s="159" t="str">
        <f t="shared" si="2"/>
        <v>CUMPLE</v>
      </c>
      <c r="N22" s="107"/>
      <c r="O22" s="154" t="str">
        <f t="shared" si="0"/>
        <v>CUMPLE</v>
      </c>
      <c r="P22" s="125" t="str">
        <f t="shared" si="1"/>
        <v>CUMPLE</v>
      </c>
      <c r="Q22" s="782"/>
      <c r="R22" s="782"/>
      <c r="AN22" s="781"/>
      <c r="AO22" s="781"/>
    </row>
    <row r="23" spans="1:41" ht="23.5" customHeight="1">
      <c r="A23" s="801"/>
      <c r="B23" s="803"/>
      <c r="C23" s="125" t="s">
        <v>228</v>
      </c>
      <c r="D23" s="155" t="s">
        <v>770</v>
      </c>
      <c r="E23" s="68">
        <v>0.4</v>
      </c>
      <c r="F23" s="125"/>
      <c r="G23" s="125" t="s">
        <v>757</v>
      </c>
      <c r="H23" s="125" t="s">
        <v>744</v>
      </c>
      <c r="I23" s="125" t="s">
        <v>744</v>
      </c>
      <c r="J23" s="803"/>
      <c r="K23" s="117">
        <f>IFERROR(IF(D23="","",SUMIF('EXPERIENCIA '!$D$3:$D$672,D23,'EXPERIENCIA '!$AF$3:$AF$672)),"")</f>
        <v>4154.87</v>
      </c>
      <c r="L23" s="125" t="str">
        <f>IF(K23="","",IF(K23=0,0,IF(K23&gt;=PARÁMETROS!$O$5,"CUMPLE","NO CUMPLE")))</f>
        <v>NO CUMPLE</v>
      </c>
      <c r="M23" s="159" t="str">
        <f t="shared" si="2"/>
        <v/>
      </c>
      <c r="N23" s="107"/>
      <c r="O23" s="154" t="str">
        <f t="shared" si="0"/>
        <v>NO CUMPLE</v>
      </c>
      <c r="P23" s="125" t="str">
        <f t="shared" si="1"/>
        <v/>
      </c>
      <c r="Q23" s="782"/>
      <c r="R23" s="782"/>
      <c r="AN23" s="781"/>
      <c r="AO23" s="781"/>
    </row>
    <row r="24" spans="1:41" ht="2" customHeight="1">
      <c r="A24" s="801"/>
      <c r="B24" s="803"/>
      <c r="C24" s="125" t="s">
        <v>229</v>
      </c>
      <c r="D24" s="155"/>
      <c r="E24" s="68"/>
      <c r="F24" s="125"/>
      <c r="G24" s="125"/>
      <c r="H24" s="125"/>
      <c r="I24" s="125"/>
      <c r="J24" s="803"/>
      <c r="K24" s="117" t="str">
        <f>IFERROR(IF(D24="","",SUMIF('EXPERIENCIA '!$D$3:$D$672,D24,'EXPERIENCIA '!$AF$3:$AF$672)),"")</f>
        <v/>
      </c>
      <c r="L24" s="125" t="str">
        <f>IF(K24="","",IF(K24=0,0,IF(K24&gt;=PARÁMETROS!$O$5,"CUMPLE","NO CUMPLE")))</f>
        <v/>
      </c>
      <c r="M24" s="159" t="str">
        <f t="shared" si="2"/>
        <v/>
      </c>
      <c r="N24" s="107"/>
      <c r="O24" s="154" t="str">
        <f t="shared" si="0"/>
        <v>N/A</v>
      </c>
      <c r="P24" s="125" t="str">
        <f t="shared" si="1"/>
        <v>NO CUMPLE</v>
      </c>
      <c r="Q24" s="782"/>
      <c r="R24" s="782"/>
      <c r="AN24" s="781"/>
      <c r="AO24" s="781"/>
    </row>
    <row r="25" spans="1:41" ht="2" customHeight="1">
      <c r="A25" s="801"/>
      <c r="B25" s="803"/>
      <c r="C25" s="125" t="s">
        <v>230</v>
      </c>
      <c r="D25" s="155"/>
      <c r="E25" s="68"/>
      <c r="F25" s="125"/>
      <c r="G25" s="125"/>
      <c r="H25" s="125"/>
      <c r="I25" s="125"/>
      <c r="J25" s="803"/>
      <c r="K25" s="117" t="str">
        <f>IFERROR(IF(D25="","",SUMIF('EXPERIENCIA '!$D$3:$D$672,D25,'EXPERIENCIA '!$AF$3:$AF$672)),"")</f>
        <v/>
      </c>
      <c r="L25" s="125" t="str">
        <f>IF(K25="","",IF(K25=0,0,IF(K25&gt;=PARÁMETROS!$O$5,"CUMPLE","NO CUMPLE")))</f>
        <v/>
      </c>
      <c r="M25" s="159" t="str">
        <f t="shared" si="2"/>
        <v/>
      </c>
      <c r="N25" s="107"/>
      <c r="O25" s="154" t="str">
        <f t="shared" si="0"/>
        <v>N/A</v>
      </c>
      <c r="P25" s="125" t="str">
        <f t="shared" si="1"/>
        <v>NO CUMPLE</v>
      </c>
      <c r="Q25" s="782"/>
      <c r="R25" s="782"/>
      <c r="AN25" s="781"/>
      <c r="AO25" s="781"/>
    </row>
    <row r="26" spans="1:41" ht="2" customHeight="1" thickBot="1">
      <c r="A26" s="802"/>
      <c r="B26" s="804"/>
      <c r="C26" s="133" t="s">
        <v>231</v>
      </c>
      <c r="D26" s="157"/>
      <c r="E26" s="104"/>
      <c r="F26" s="133"/>
      <c r="G26" s="133"/>
      <c r="H26" s="133"/>
      <c r="I26" s="133"/>
      <c r="J26" s="804"/>
      <c r="K26" s="136" t="str">
        <f>IFERROR(IF(D26="","",SUMIF('EXPERIENCIA '!$D$3:$D$672,D26,'EXPERIENCIA '!$AF$3:$AF$672)),"")</f>
        <v/>
      </c>
      <c r="L26" s="133" t="str">
        <f>IF(K26="","",IF(K26=0,0,IF(K26&gt;=PARÁMETROS!$O$5,"CUMPLE","NO CUMPLE")))</f>
        <v/>
      </c>
      <c r="M26" s="160" t="str">
        <f t="shared" si="2"/>
        <v/>
      </c>
      <c r="N26" s="107"/>
      <c r="O26" s="156" t="str">
        <f t="shared" si="0"/>
        <v>N/A</v>
      </c>
      <c r="P26" s="133" t="str">
        <f t="shared" si="1"/>
        <v>NO CUMPLE</v>
      </c>
      <c r="Q26" s="783"/>
      <c r="R26" s="783"/>
      <c r="AN26" s="575"/>
      <c r="AO26" s="575"/>
    </row>
    <row r="27" spans="1:41" ht="23.5" customHeight="1">
      <c r="A27" s="800" t="s">
        <v>126</v>
      </c>
      <c r="B27" s="730" t="s">
        <v>771</v>
      </c>
      <c r="C27" s="111" t="s">
        <v>176</v>
      </c>
      <c r="D27" s="153" t="s">
        <v>772</v>
      </c>
      <c r="E27" s="113">
        <v>0.5</v>
      </c>
      <c r="F27" s="111"/>
      <c r="G27" s="111" t="s">
        <v>744</v>
      </c>
      <c r="H27" s="111" t="s">
        <v>744</v>
      </c>
      <c r="I27" s="111" t="s">
        <v>744</v>
      </c>
      <c r="J27" s="730">
        <f>SUM(AN27:AO32)</f>
        <v>2</v>
      </c>
      <c r="K27" s="115">
        <f>IFERROR(IF(D27="","",SUMIF('EXPERIENCIA '!$D$3:$D$672,D27,'EXPERIENCIA '!$AF$3:$AF$672)),"")</f>
        <v>65548.505925799996</v>
      </c>
      <c r="L27" s="111" t="str">
        <f>IF(K27="","",IF(K27=0,0,IF(K27&gt;=PARÁMETROS!$O$5,"CUMPLE","NO CUMPLE")))</f>
        <v>CUMPLE</v>
      </c>
      <c r="M27" s="158" t="str">
        <f t="shared" si="2"/>
        <v>CUMPLE</v>
      </c>
      <c r="N27" s="107"/>
      <c r="O27" s="161" t="str">
        <f t="shared" si="0"/>
        <v>CUMPLE</v>
      </c>
      <c r="P27" s="121" t="str">
        <f t="shared" si="1"/>
        <v>CUMPLE</v>
      </c>
      <c r="Q27" s="782">
        <v>1</v>
      </c>
      <c r="R27" s="782"/>
      <c r="AN27" s="574">
        <f>IF(COUNTIF(H27:H32,"ACREDITA")&gt;0,1,0)</f>
        <v>1</v>
      </c>
      <c r="AO27" s="574">
        <f>IF(COUNTIF(I27:I32,"ACREDITA")&gt;0,1,0)</f>
        <v>1</v>
      </c>
    </row>
    <row r="28" spans="1:41" ht="23.5" customHeight="1">
      <c r="A28" s="801"/>
      <c r="B28" s="803"/>
      <c r="C28" s="125" t="s">
        <v>209</v>
      </c>
      <c r="D28" s="155" t="s">
        <v>773</v>
      </c>
      <c r="E28" s="68">
        <v>0.5</v>
      </c>
      <c r="F28" s="125"/>
      <c r="G28" s="125" t="s">
        <v>744</v>
      </c>
      <c r="H28" s="125" t="s">
        <v>744</v>
      </c>
      <c r="I28" s="125" t="s">
        <v>744</v>
      </c>
      <c r="J28" s="803"/>
      <c r="K28" s="117">
        <f>IFERROR(IF(D28="","",SUMIF('EXPERIENCIA '!$D$3:$D$672,D28,'EXPERIENCIA '!$AF$3:$AF$672)),"")</f>
        <v>5344.7879999999996</v>
      </c>
      <c r="L28" s="125" t="str">
        <f>IF(K28="","",IF(K28=0,0,IF(K28&gt;=PARÁMETROS!$O$5,"CUMPLE","NO CUMPLE")))</f>
        <v>NO CUMPLE</v>
      </c>
      <c r="M28" s="159" t="str">
        <f t="shared" si="2"/>
        <v>NO CUMPLE</v>
      </c>
      <c r="N28" s="107"/>
      <c r="O28" s="154" t="str">
        <f t="shared" si="0"/>
        <v>NO CUMPLE</v>
      </c>
      <c r="P28" s="125" t="str">
        <f t="shared" si="1"/>
        <v>NO CUMPLE</v>
      </c>
      <c r="Q28" s="782"/>
      <c r="R28" s="782"/>
      <c r="AN28" s="781"/>
      <c r="AO28" s="781"/>
    </row>
    <row r="29" spans="1:41" ht="2" customHeight="1">
      <c r="A29" s="801"/>
      <c r="B29" s="803"/>
      <c r="C29" s="125" t="s">
        <v>232</v>
      </c>
      <c r="D29" s="155"/>
      <c r="E29" s="68"/>
      <c r="F29" s="125"/>
      <c r="G29" s="125"/>
      <c r="H29" s="125"/>
      <c r="I29" s="125"/>
      <c r="J29" s="803"/>
      <c r="K29" s="117" t="str">
        <f>IFERROR(IF(D29="","",SUMIF('EXPERIENCIA '!$D$3:$D$672,D29,'EXPERIENCIA '!$AF$3:$AF$672)),"")</f>
        <v/>
      </c>
      <c r="L29" s="125" t="str">
        <f>IF(K29="","",IF(K29=0,0,IF(K29&gt;=PARÁMETROS!$O$5,"CUMPLE","NO CUMPLE")))</f>
        <v/>
      </c>
      <c r="M29" s="159" t="str">
        <f t="shared" si="2"/>
        <v/>
      </c>
      <c r="N29" s="107"/>
      <c r="O29" s="154" t="str">
        <f t="shared" si="0"/>
        <v>N/A</v>
      </c>
      <c r="P29" s="125" t="str">
        <f t="shared" si="1"/>
        <v>NO CUMPLE</v>
      </c>
      <c r="Q29" s="782"/>
      <c r="R29" s="782"/>
      <c r="AN29" s="781"/>
      <c r="AO29" s="781"/>
    </row>
    <row r="30" spans="1:41" ht="2" customHeight="1">
      <c r="A30" s="801"/>
      <c r="B30" s="803"/>
      <c r="C30" s="125" t="s">
        <v>233</v>
      </c>
      <c r="D30" s="155"/>
      <c r="E30" s="68"/>
      <c r="F30" s="125"/>
      <c r="G30" s="125"/>
      <c r="H30" s="125"/>
      <c r="I30" s="125"/>
      <c r="J30" s="803"/>
      <c r="K30" s="117" t="str">
        <f>IFERROR(IF(D30="","",SUMIF('EXPERIENCIA '!$D$3:$D$672,D30,'EXPERIENCIA '!$AF$3:$AF$672)),"")</f>
        <v/>
      </c>
      <c r="L30" s="125" t="str">
        <f>IF(K30="","",IF(K30=0,0,IF(K30&gt;=PARÁMETROS!$O$5,"CUMPLE","NO CUMPLE")))</f>
        <v/>
      </c>
      <c r="M30" s="159" t="str">
        <f t="shared" si="2"/>
        <v/>
      </c>
      <c r="N30" s="107"/>
      <c r="O30" s="154" t="str">
        <f t="shared" si="0"/>
        <v>N/A</v>
      </c>
      <c r="P30" s="125" t="str">
        <f t="shared" si="1"/>
        <v>NO CUMPLE</v>
      </c>
      <c r="Q30" s="782"/>
      <c r="R30" s="782"/>
      <c r="AN30" s="781"/>
      <c r="AO30" s="781"/>
    </row>
    <row r="31" spans="1:41" ht="2" customHeight="1">
      <c r="A31" s="801"/>
      <c r="B31" s="803"/>
      <c r="C31" s="125" t="s">
        <v>234</v>
      </c>
      <c r="D31" s="155"/>
      <c r="E31" s="68"/>
      <c r="F31" s="125"/>
      <c r="G31" s="125"/>
      <c r="H31" s="125"/>
      <c r="I31" s="125"/>
      <c r="J31" s="803"/>
      <c r="K31" s="117" t="str">
        <f>IFERROR(IF(D31="","",SUMIF('EXPERIENCIA '!$D$3:$D$672,D31,'EXPERIENCIA '!$AF$3:$AF$672)),"")</f>
        <v/>
      </c>
      <c r="L31" s="125" t="str">
        <f>IF(K31="","",IF(K31=0,0,IF(K31&gt;=PARÁMETROS!$O$5,"CUMPLE","NO CUMPLE")))</f>
        <v/>
      </c>
      <c r="M31" s="159" t="str">
        <f t="shared" si="2"/>
        <v/>
      </c>
      <c r="N31" s="107"/>
      <c r="O31" s="154" t="str">
        <f t="shared" si="0"/>
        <v>N/A</v>
      </c>
      <c r="P31" s="125" t="str">
        <f t="shared" si="1"/>
        <v>NO CUMPLE</v>
      </c>
      <c r="Q31" s="782"/>
      <c r="R31" s="782"/>
      <c r="AN31" s="781"/>
      <c r="AO31" s="781"/>
    </row>
    <row r="32" spans="1:41" ht="2" customHeight="1" thickBot="1">
      <c r="A32" s="802"/>
      <c r="B32" s="804"/>
      <c r="C32" s="133" t="s">
        <v>235</v>
      </c>
      <c r="D32" s="157"/>
      <c r="E32" s="104"/>
      <c r="F32" s="133"/>
      <c r="G32" s="133"/>
      <c r="H32" s="133"/>
      <c r="I32" s="133"/>
      <c r="J32" s="804"/>
      <c r="K32" s="136" t="str">
        <f>IFERROR(IF(D32="","",SUMIF('EXPERIENCIA '!$D$3:$D$672,D32,'EXPERIENCIA '!$AF$3:$AF$672)),"")</f>
        <v/>
      </c>
      <c r="L32" s="133" t="str">
        <f>IF(K32="","",IF(K32=0,0,IF(K32&gt;=PARÁMETROS!$O$5,"CUMPLE","NO CUMPLE")))</f>
        <v/>
      </c>
      <c r="M32" s="160" t="str">
        <f t="shared" si="2"/>
        <v/>
      </c>
      <c r="N32" s="107"/>
      <c r="O32" s="156" t="str">
        <f t="shared" si="0"/>
        <v>N/A</v>
      </c>
      <c r="P32" s="133" t="str">
        <f t="shared" si="1"/>
        <v>NO CUMPLE</v>
      </c>
      <c r="Q32" s="783"/>
      <c r="R32" s="783"/>
      <c r="AN32" s="575"/>
      <c r="AO32" s="575"/>
    </row>
    <row r="33" spans="1:41" ht="23.5" customHeight="1">
      <c r="A33" s="800" t="s">
        <v>127</v>
      </c>
      <c r="B33" s="730" t="s">
        <v>774</v>
      </c>
      <c r="C33" s="111" t="s">
        <v>177</v>
      </c>
      <c r="D33" s="153" t="s">
        <v>775</v>
      </c>
      <c r="E33" s="113">
        <v>0.23</v>
      </c>
      <c r="F33" s="111"/>
      <c r="G33" s="111" t="s">
        <v>744</v>
      </c>
      <c r="H33" s="111" t="s">
        <v>744</v>
      </c>
      <c r="I33" s="111" t="s">
        <v>757</v>
      </c>
      <c r="J33" s="730">
        <f>SUM(AN33:AO38)</f>
        <v>2</v>
      </c>
      <c r="K33" s="115">
        <f>IFERROR(IF(D33="","",SUMIF('EXPERIENCIA '!$D$3:$D$672,D33,'EXPERIENCIA '!$AF$3:$AF$672)),"")</f>
        <v>67953.179999999993</v>
      </c>
      <c r="L33" s="111" t="str">
        <f>IF(K33="","",IF(K33=0,0,IF(K33&gt;=PARÁMETROS!$O$5,"CUMPLE","NO CUMPLE")))</f>
        <v>CUMPLE</v>
      </c>
      <c r="M33" s="158" t="str">
        <f t="shared" si="2"/>
        <v>CUMPLE</v>
      </c>
      <c r="N33" s="107"/>
      <c r="O33" s="161" t="str">
        <f t="shared" si="0"/>
        <v>CUMPLE</v>
      </c>
      <c r="P33" s="121" t="str">
        <f t="shared" si="1"/>
        <v>CUMPLE</v>
      </c>
      <c r="Q33" s="782">
        <v>1</v>
      </c>
      <c r="R33" s="782"/>
      <c r="AN33" s="574">
        <f>IF(COUNTIF(H33:H38,"ACREDITA")&gt;0,1,0)</f>
        <v>1</v>
      </c>
      <c r="AO33" s="574">
        <f>IF(COUNTIF(I33:I38,"ACREDITA")&gt;0,1,0)</f>
        <v>1</v>
      </c>
    </row>
    <row r="34" spans="1:41" ht="23.5" customHeight="1">
      <c r="A34" s="801"/>
      <c r="B34" s="803"/>
      <c r="C34" s="125" t="s">
        <v>178</v>
      </c>
      <c r="D34" s="155" t="s">
        <v>776</v>
      </c>
      <c r="E34" s="68">
        <v>0.17</v>
      </c>
      <c r="F34" s="125"/>
      <c r="G34" s="125" t="s">
        <v>744</v>
      </c>
      <c r="H34" s="125" t="s">
        <v>744</v>
      </c>
      <c r="I34" s="125" t="s">
        <v>757</v>
      </c>
      <c r="J34" s="803"/>
      <c r="K34" s="117">
        <f>IFERROR(IF(D34="","",SUMIF('EXPERIENCIA '!$D$3:$D$672,D34,'EXPERIENCIA '!$AF$3:$AF$672)),"")</f>
        <v>8673.61</v>
      </c>
      <c r="L34" s="125" t="str">
        <f>IF(K34="","",IF(K34=0,0,IF(K34&gt;=PARÁMETROS!$O$5,"CUMPLE","NO CUMPLE")))</f>
        <v>NO CUMPLE</v>
      </c>
      <c r="M34" s="159" t="str">
        <f t="shared" si="2"/>
        <v>NO CUMPLE</v>
      </c>
      <c r="N34" s="107"/>
      <c r="O34" s="154" t="str">
        <f t="shared" si="0"/>
        <v>NO CUMPLE</v>
      </c>
      <c r="P34" s="125" t="str">
        <f t="shared" si="1"/>
        <v>NO CUMPLE</v>
      </c>
      <c r="Q34" s="782"/>
      <c r="R34" s="782"/>
      <c r="AN34" s="781"/>
      <c r="AO34" s="781"/>
    </row>
    <row r="35" spans="1:41" ht="23.5" customHeight="1">
      <c r="A35" s="801"/>
      <c r="B35" s="803"/>
      <c r="C35" s="125" t="s">
        <v>236</v>
      </c>
      <c r="D35" s="155" t="s">
        <v>777</v>
      </c>
      <c r="E35" s="68">
        <v>0.2</v>
      </c>
      <c r="F35" s="125"/>
      <c r="G35" s="125" t="s">
        <v>744</v>
      </c>
      <c r="H35" s="125" t="s">
        <v>744</v>
      </c>
      <c r="I35" s="125" t="s">
        <v>744</v>
      </c>
      <c r="J35" s="803"/>
      <c r="K35" s="117">
        <f>IFERROR(IF(D35="","",SUMIF('EXPERIENCIA '!$D$3:$D$672,D35,'EXPERIENCIA '!$AF$3:$AF$672)),"")</f>
        <v>5243.16</v>
      </c>
      <c r="L35" s="125" t="str">
        <f>IF(K35="","",IF(K35=0,0,IF(K35&gt;=PARÁMETROS!$O$5,"CUMPLE","NO CUMPLE")))</f>
        <v>NO CUMPLE</v>
      </c>
      <c r="M35" s="159" t="str">
        <f t="shared" si="2"/>
        <v>NO CUMPLE</v>
      </c>
      <c r="N35" s="107"/>
      <c r="O35" s="154" t="str">
        <f t="shared" si="0"/>
        <v>NO CUMPLE</v>
      </c>
      <c r="P35" s="125" t="str">
        <f t="shared" si="1"/>
        <v>NO CUMPLE</v>
      </c>
      <c r="Q35" s="782"/>
      <c r="R35" s="782"/>
      <c r="AN35" s="781"/>
      <c r="AO35" s="781"/>
    </row>
    <row r="36" spans="1:41" ht="23.5" customHeight="1">
      <c r="A36" s="801"/>
      <c r="B36" s="803"/>
      <c r="C36" s="125" t="s">
        <v>237</v>
      </c>
      <c r="D36" s="72" t="s">
        <v>778</v>
      </c>
      <c r="E36" s="68">
        <v>0.2</v>
      </c>
      <c r="F36" s="125"/>
      <c r="G36" s="125" t="s">
        <v>744</v>
      </c>
      <c r="H36" s="125" t="s">
        <v>744</v>
      </c>
      <c r="I36" s="125" t="s">
        <v>744</v>
      </c>
      <c r="J36" s="803"/>
      <c r="K36" s="117">
        <f>IFERROR(IF(D36="","",SUMIF('EXPERIENCIA '!$D$3:$D$672,D36,'EXPERIENCIA '!$AF$3:$AF$672)),"")</f>
        <v>5712.74</v>
      </c>
      <c r="L36" s="125" t="str">
        <f>IF(K36="","",IF(K36=0,0,IF(K36&gt;=PARÁMETROS!$O$5,"CUMPLE","NO CUMPLE")))</f>
        <v>NO CUMPLE</v>
      </c>
      <c r="M36" s="159" t="str">
        <f t="shared" si="2"/>
        <v>NO CUMPLE</v>
      </c>
      <c r="N36" s="107"/>
      <c r="O36" s="154" t="str">
        <f t="shared" si="0"/>
        <v>NO CUMPLE</v>
      </c>
      <c r="P36" s="125" t="str">
        <f t="shared" si="1"/>
        <v>NO CUMPLE</v>
      </c>
      <c r="Q36" s="782"/>
      <c r="R36" s="782"/>
      <c r="AN36" s="781"/>
      <c r="AO36" s="781"/>
    </row>
    <row r="37" spans="1:41" ht="23.5" customHeight="1">
      <c r="A37" s="801"/>
      <c r="B37" s="803"/>
      <c r="C37" s="125" t="s">
        <v>238</v>
      </c>
      <c r="D37" s="155" t="s">
        <v>779</v>
      </c>
      <c r="E37" s="68">
        <v>0.2</v>
      </c>
      <c r="F37" s="125"/>
      <c r="G37" s="125" t="s">
        <v>744</v>
      </c>
      <c r="H37" s="125" t="s">
        <v>744</v>
      </c>
      <c r="I37" s="125" t="s">
        <v>744</v>
      </c>
      <c r="J37" s="803"/>
      <c r="K37" s="117">
        <f>IFERROR(IF(D37="","",SUMIF('EXPERIENCIA '!$D$3:$D$672,D37,'EXPERIENCIA '!$AF$3:$AF$672)),"")</f>
        <v>8409.3296000000009</v>
      </c>
      <c r="L37" s="125" t="str">
        <f>IF(K37="","",IF(K37=0,0,IF(K37&gt;=PARÁMETROS!$O$5,"CUMPLE","NO CUMPLE")))</f>
        <v>NO CUMPLE</v>
      </c>
      <c r="M37" s="159" t="str">
        <f t="shared" si="2"/>
        <v>NO CUMPLE</v>
      </c>
      <c r="N37" s="107"/>
      <c r="O37" s="154" t="str">
        <f t="shared" si="0"/>
        <v>NO CUMPLE</v>
      </c>
      <c r="P37" s="125" t="str">
        <f t="shared" si="1"/>
        <v>NO CUMPLE</v>
      </c>
      <c r="Q37" s="782"/>
      <c r="R37" s="782"/>
      <c r="AN37" s="781"/>
      <c r="AO37" s="781"/>
    </row>
    <row r="38" spans="1:41" ht="2" customHeight="1" thickBot="1">
      <c r="A38" s="802"/>
      <c r="B38" s="804"/>
      <c r="C38" s="133" t="s">
        <v>239</v>
      </c>
      <c r="D38" s="157"/>
      <c r="E38" s="104"/>
      <c r="F38" s="133"/>
      <c r="G38" s="133"/>
      <c r="H38" s="133"/>
      <c r="I38" s="133"/>
      <c r="J38" s="804"/>
      <c r="K38" s="136" t="str">
        <f>IFERROR(IF(D38="","",SUMIF('EXPERIENCIA '!$D$3:$D$672,D38,'EXPERIENCIA '!$AF$3:$AF$672)),"")</f>
        <v/>
      </c>
      <c r="L38" s="133" t="str">
        <f>IF(K38="","",IF(K38=0,0,IF(K38&gt;=PARÁMETROS!$O$5,"CUMPLE","NO CUMPLE")))</f>
        <v/>
      </c>
      <c r="M38" s="160" t="str">
        <f t="shared" si="2"/>
        <v/>
      </c>
      <c r="N38" s="107"/>
      <c r="O38" s="156" t="str">
        <f t="shared" si="0"/>
        <v>N/A</v>
      </c>
      <c r="P38" s="133" t="str">
        <f t="shared" si="1"/>
        <v>NO CUMPLE</v>
      </c>
      <c r="Q38" s="783"/>
      <c r="R38" s="783"/>
      <c r="AN38" s="575"/>
      <c r="AO38" s="575"/>
    </row>
    <row r="39" spans="1:41" ht="23.5" customHeight="1">
      <c r="A39" s="800" t="s">
        <v>128</v>
      </c>
      <c r="B39" s="730" t="s">
        <v>780</v>
      </c>
      <c r="C39" s="111" t="s">
        <v>179</v>
      </c>
      <c r="D39" s="153" t="s">
        <v>781</v>
      </c>
      <c r="E39" s="113">
        <v>0.6</v>
      </c>
      <c r="F39" s="111"/>
      <c r="G39" s="111" t="s">
        <v>744</v>
      </c>
      <c r="H39" s="111" t="s">
        <v>744</v>
      </c>
      <c r="I39" s="111" t="s">
        <v>744</v>
      </c>
      <c r="J39" s="730">
        <f>SUM(AN39:AO44)</f>
        <v>2</v>
      </c>
      <c r="K39" s="115">
        <f>IFERROR(IF(D39="","",SUMIF('EXPERIENCIA '!$D$3:$D$672,D39,'EXPERIENCIA '!$AF$3:$AF$672)),"")</f>
        <v>39084.012999999999</v>
      </c>
      <c r="L39" s="111" t="str">
        <f>IF(K39="","",IF(K39=0,0,IF(K39&gt;=PARÁMETROS!$O$5,"CUMPLE","NO CUMPLE")))</f>
        <v>CUMPLE</v>
      </c>
      <c r="M39" s="158" t="str">
        <f t="shared" si="2"/>
        <v>CUMPLE</v>
      </c>
      <c r="N39" s="107"/>
      <c r="O39" s="161" t="str">
        <f t="shared" si="0"/>
        <v>CUMPLE</v>
      </c>
      <c r="P39" s="121" t="str">
        <f t="shared" si="1"/>
        <v>CUMPLE</v>
      </c>
      <c r="Q39" s="782">
        <v>1</v>
      </c>
      <c r="R39" s="782"/>
      <c r="AN39" s="574">
        <f>IF(COUNTIF(H39:H44,"ACREDITA")&gt;0,1,0)</f>
        <v>1</v>
      </c>
      <c r="AO39" s="574">
        <f>IF(COUNTIF(I39:I44,"ACREDITA")&gt;0,1,0)</f>
        <v>1</v>
      </c>
    </row>
    <row r="40" spans="1:41" ht="23.5" customHeight="1">
      <c r="A40" s="801"/>
      <c r="B40" s="803"/>
      <c r="C40" s="125" t="s">
        <v>180</v>
      </c>
      <c r="D40" s="155" t="s">
        <v>782</v>
      </c>
      <c r="E40" s="68">
        <v>0.4</v>
      </c>
      <c r="F40" s="125"/>
      <c r="G40" s="125" t="s">
        <v>744</v>
      </c>
      <c r="H40" s="125" t="s">
        <v>744</v>
      </c>
      <c r="I40" s="125" t="s">
        <v>744</v>
      </c>
      <c r="J40" s="803"/>
      <c r="K40" s="117">
        <f>IFERROR(IF(D40="","",SUMIF('EXPERIENCIA '!$D$3:$D$672,D40,'EXPERIENCIA '!$AF$3:$AF$672)),"")</f>
        <v>5741.6040000000003</v>
      </c>
      <c r="L40" s="125" t="str">
        <f>IF(K40="","",IF(K40=0,0,IF(K40&gt;=PARÁMETROS!$O$5,"CUMPLE","NO CUMPLE")))</f>
        <v>NO CUMPLE</v>
      </c>
      <c r="M40" s="159" t="str">
        <f t="shared" si="2"/>
        <v>NO CUMPLE</v>
      </c>
      <c r="N40" s="107"/>
      <c r="O40" s="154" t="str">
        <f t="shared" si="0"/>
        <v>NO CUMPLE</v>
      </c>
      <c r="P40" s="125" t="str">
        <f t="shared" si="1"/>
        <v>NO CUMPLE</v>
      </c>
      <c r="Q40" s="782"/>
      <c r="R40" s="782"/>
      <c r="AN40" s="781"/>
      <c r="AO40" s="781"/>
    </row>
    <row r="41" spans="1:41" ht="2" customHeight="1">
      <c r="A41" s="801"/>
      <c r="B41" s="803"/>
      <c r="C41" s="125" t="s">
        <v>210</v>
      </c>
      <c r="D41" s="155"/>
      <c r="E41" s="68"/>
      <c r="F41" s="125"/>
      <c r="G41" s="125"/>
      <c r="H41" s="125"/>
      <c r="I41" s="125"/>
      <c r="J41" s="803"/>
      <c r="K41" s="117" t="str">
        <f>IFERROR(IF(D41="","",SUMIF('EXPERIENCIA '!$D$3:$D$672,D41,'EXPERIENCIA '!$AF$3:$AF$672)),"")</f>
        <v/>
      </c>
      <c r="L41" s="125" t="str">
        <f>IF(K41="","",IF(K41=0,0,IF(K41&gt;=PARÁMETROS!$O$5,"CUMPLE","NO CUMPLE")))</f>
        <v/>
      </c>
      <c r="M41" s="159" t="str">
        <f t="shared" si="2"/>
        <v/>
      </c>
      <c r="N41" s="107"/>
      <c r="O41" s="154" t="str">
        <f t="shared" si="0"/>
        <v>N/A</v>
      </c>
      <c r="P41" s="125" t="str">
        <f t="shared" si="1"/>
        <v>NO CUMPLE</v>
      </c>
      <c r="Q41" s="782"/>
      <c r="R41" s="782"/>
      <c r="AN41" s="781"/>
      <c r="AO41" s="781"/>
    </row>
    <row r="42" spans="1:41" ht="2" customHeight="1">
      <c r="A42" s="801"/>
      <c r="B42" s="803"/>
      <c r="C42" s="125" t="s">
        <v>240</v>
      </c>
      <c r="D42" s="155"/>
      <c r="E42" s="68"/>
      <c r="F42" s="125"/>
      <c r="G42" s="125"/>
      <c r="H42" s="125"/>
      <c r="I42" s="125"/>
      <c r="J42" s="803"/>
      <c r="K42" s="117" t="str">
        <f>IFERROR(IF(D42="","",SUMIF('EXPERIENCIA '!$D$3:$D$672,D42,'EXPERIENCIA '!$AF$3:$AF$672)),"")</f>
        <v/>
      </c>
      <c r="L42" s="125" t="str">
        <f>IF(K42="","",IF(K42=0,0,IF(K42&gt;=PARÁMETROS!$O$5,"CUMPLE","NO CUMPLE")))</f>
        <v/>
      </c>
      <c r="M42" s="159" t="str">
        <f t="shared" si="2"/>
        <v/>
      </c>
      <c r="N42" s="107"/>
      <c r="O42" s="154" t="str">
        <f t="shared" si="0"/>
        <v>N/A</v>
      </c>
      <c r="P42" s="125" t="str">
        <f t="shared" si="1"/>
        <v>NO CUMPLE</v>
      </c>
      <c r="Q42" s="782"/>
      <c r="R42" s="782"/>
      <c r="AN42" s="781"/>
      <c r="AO42" s="781"/>
    </row>
    <row r="43" spans="1:41" ht="2" customHeight="1">
      <c r="A43" s="801"/>
      <c r="B43" s="803"/>
      <c r="C43" s="125" t="s">
        <v>241</v>
      </c>
      <c r="D43" s="155"/>
      <c r="E43" s="68"/>
      <c r="F43" s="125"/>
      <c r="G43" s="125"/>
      <c r="H43" s="125"/>
      <c r="I43" s="125"/>
      <c r="J43" s="803"/>
      <c r="K43" s="117" t="str">
        <f>IFERROR(IF(D43="","",SUMIF('EXPERIENCIA '!$D$3:$D$672,D43,'EXPERIENCIA '!$AF$3:$AF$672)),"")</f>
        <v/>
      </c>
      <c r="L43" s="125" t="str">
        <f>IF(K43="","",IF(K43=0,0,IF(K43&gt;=PARÁMETROS!$O$5,"CUMPLE","NO CUMPLE")))</f>
        <v/>
      </c>
      <c r="M43" s="159" t="str">
        <f t="shared" si="2"/>
        <v/>
      </c>
      <c r="N43" s="107"/>
      <c r="O43" s="154" t="str">
        <f t="shared" si="0"/>
        <v>N/A</v>
      </c>
      <c r="P43" s="125" t="str">
        <f t="shared" si="1"/>
        <v>NO CUMPLE</v>
      </c>
      <c r="Q43" s="782"/>
      <c r="R43" s="782"/>
      <c r="AN43" s="781"/>
      <c r="AO43" s="781"/>
    </row>
    <row r="44" spans="1:41" ht="2" customHeight="1" thickBot="1">
      <c r="A44" s="802"/>
      <c r="B44" s="804"/>
      <c r="C44" s="133" t="s">
        <v>242</v>
      </c>
      <c r="D44" s="157"/>
      <c r="E44" s="104"/>
      <c r="F44" s="133"/>
      <c r="G44" s="133"/>
      <c r="H44" s="133"/>
      <c r="I44" s="133"/>
      <c r="J44" s="804"/>
      <c r="K44" s="136" t="str">
        <f>IFERROR(IF(D44="","",SUMIF('EXPERIENCIA '!$D$3:$D$672,D44,'EXPERIENCIA '!$AF$3:$AF$672)),"")</f>
        <v/>
      </c>
      <c r="L44" s="133" t="str">
        <f>IF(K44="","",IF(K44=0,0,IF(K44&gt;=PARÁMETROS!$O$5,"CUMPLE","NO CUMPLE")))</f>
        <v/>
      </c>
      <c r="M44" s="160" t="str">
        <f t="shared" si="2"/>
        <v/>
      </c>
      <c r="N44" s="107"/>
      <c r="O44" s="156" t="str">
        <f t="shared" si="0"/>
        <v>N/A</v>
      </c>
      <c r="P44" s="133" t="str">
        <f t="shared" si="1"/>
        <v>NO CUMPLE</v>
      </c>
      <c r="Q44" s="783"/>
      <c r="R44" s="783"/>
      <c r="AN44" s="575"/>
      <c r="AO44" s="575"/>
    </row>
    <row r="45" spans="1:41" ht="23.5" customHeight="1">
      <c r="A45" s="800" t="s">
        <v>129</v>
      </c>
      <c r="B45" s="730" t="s">
        <v>783</v>
      </c>
      <c r="C45" s="111" t="s">
        <v>182</v>
      </c>
      <c r="D45" s="155" t="s">
        <v>784</v>
      </c>
      <c r="E45" s="68">
        <v>0.4</v>
      </c>
      <c r="F45" s="125"/>
      <c r="G45" s="125" t="s">
        <v>744</v>
      </c>
      <c r="H45" s="125" t="s">
        <v>757</v>
      </c>
      <c r="I45" s="125" t="s">
        <v>757</v>
      </c>
      <c r="J45" s="730">
        <f>SUM(AN45:AO50)</f>
        <v>1</v>
      </c>
      <c r="K45" s="115">
        <f>IFERROR(IF(D45="","",SUMIF('EXPERIENCIA '!$D$3:$D$672,D45,'EXPERIENCIA '!$AF$3:$AF$672)),"")</f>
        <v>92847.691200000001</v>
      </c>
      <c r="L45" s="111" t="str">
        <f>IF(K45="","",IF(K45=0,0,IF(K45&gt;=PARÁMETROS!$O$5,"CUMPLE","NO CUMPLE")))</f>
        <v>CUMPLE</v>
      </c>
      <c r="M45" s="158" t="str">
        <f t="shared" si="2"/>
        <v>CUMPLE</v>
      </c>
      <c r="N45" s="107"/>
      <c r="O45" s="161" t="str">
        <f t="shared" si="0"/>
        <v>CUMPLE</v>
      </c>
      <c r="P45" s="121" t="str">
        <f t="shared" si="1"/>
        <v>CUMPLE</v>
      </c>
      <c r="Q45" s="782">
        <v>1</v>
      </c>
      <c r="R45" s="788"/>
      <c r="AN45" s="574">
        <f>IF(COUNTIF(H45:H50,"ACREDITA")&gt;0,1,0)</f>
        <v>1</v>
      </c>
      <c r="AO45" s="574">
        <f>IF(COUNTIF(I45:I50,"ACREDITA")&gt;0,1,0)</f>
        <v>0</v>
      </c>
    </row>
    <row r="46" spans="1:41" ht="23.5" customHeight="1">
      <c r="A46" s="801"/>
      <c r="B46" s="803"/>
      <c r="C46" s="125" t="s">
        <v>181</v>
      </c>
      <c r="D46" s="155" t="s">
        <v>785</v>
      </c>
      <c r="E46" s="68">
        <v>0.1</v>
      </c>
      <c r="F46" s="125"/>
      <c r="G46" s="125" t="s">
        <v>757</v>
      </c>
      <c r="H46" s="125" t="s">
        <v>744</v>
      </c>
      <c r="I46" s="125" t="s">
        <v>757</v>
      </c>
      <c r="J46" s="803"/>
      <c r="K46" s="117">
        <f>IFERROR(IF(D46="","",SUMIF('EXPERIENCIA '!$D$3:$D$672,D46,'EXPERIENCIA '!$AF$3:$AF$672)),"")</f>
        <v>6176.9058000000005</v>
      </c>
      <c r="L46" s="125" t="str">
        <f>IF(K46="","",IF(K46=0,0,IF(K46&gt;=PARÁMETROS!$O$5,"CUMPLE","NO CUMPLE")))</f>
        <v>NO CUMPLE</v>
      </c>
      <c r="M46" s="159" t="str">
        <f t="shared" si="2"/>
        <v/>
      </c>
      <c r="N46" s="107"/>
      <c r="O46" s="154" t="str">
        <f t="shared" si="0"/>
        <v>NO CUMPLE</v>
      </c>
      <c r="P46" s="125" t="str">
        <f t="shared" si="1"/>
        <v/>
      </c>
      <c r="Q46" s="782"/>
      <c r="R46" s="789"/>
      <c r="AN46" s="781"/>
      <c r="AO46" s="781"/>
    </row>
    <row r="47" spans="1:41" ht="23.5" customHeight="1">
      <c r="A47" s="801"/>
      <c r="B47" s="803"/>
      <c r="C47" s="125" t="s">
        <v>211</v>
      </c>
      <c r="D47" s="155" t="s">
        <v>786</v>
      </c>
      <c r="E47" s="68">
        <v>0.5</v>
      </c>
      <c r="F47" s="125"/>
      <c r="G47" s="125" t="s">
        <v>744</v>
      </c>
      <c r="H47" s="125" t="s">
        <v>744</v>
      </c>
      <c r="I47" s="125" t="s">
        <v>757</v>
      </c>
      <c r="J47" s="803"/>
      <c r="K47" s="117">
        <f>IFERROR(IF(D47="","",SUMIF('EXPERIENCIA '!$D$3:$D$672,D47,'EXPERIENCIA '!$AF$3:$AF$672)),"")</f>
        <v>16899.674999999999</v>
      </c>
      <c r="L47" s="125" t="str">
        <f>IF(K47="","",IF(K47=0,0,IF(K47&gt;=PARÁMETROS!$O$5,"CUMPLE","NO CUMPLE")))</f>
        <v>CUMPLE</v>
      </c>
      <c r="M47" s="159" t="str">
        <f t="shared" si="2"/>
        <v>CUMPLE</v>
      </c>
      <c r="N47" s="107"/>
      <c r="O47" s="154" t="str">
        <f t="shared" si="0"/>
        <v>CUMPLE</v>
      </c>
      <c r="P47" s="125" t="str">
        <f t="shared" si="1"/>
        <v>CUMPLE</v>
      </c>
      <c r="Q47" s="782"/>
      <c r="R47" s="789"/>
      <c r="AN47" s="781"/>
      <c r="AO47" s="781"/>
    </row>
    <row r="48" spans="1:41" ht="2" customHeight="1">
      <c r="A48" s="801"/>
      <c r="B48" s="803"/>
      <c r="C48" s="125" t="s">
        <v>243</v>
      </c>
      <c r="D48" s="242"/>
      <c r="E48" s="103"/>
      <c r="F48" s="121"/>
      <c r="G48" s="121"/>
      <c r="H48" s="121"/>
      <c r="I48" s="237"/>
      <c r="J48" s="803"/>
      <c r="K48" s="117" t="str">
        <f>IFERROR(IF(D48="","",SUMIF('EXPERIENCIA '!$D$3:$D$672,D48,'EXPERIENCIA '!$AF$3:$AF$672)),"")</f>
        <v/>
      </c>
      <c r="L48" s="125" t="str">
        <f>IF(K48="","",IF(K48=0,0,IF(K48&gt;=PARÁMETROS!$O$5,"CUMPLE","NO CUMPLE")))</f>
        <v/>
      </c>
      <c r="M48" s="159" t="str">
        <f t="shared" si="2"/>
        <v/>
      </c>
      <c r="N48" s="107"/>
      <c r="O48" s="154" t="str">
        <f t="shared" si="0"/>
        <v>N/A</v>
      </c>
      <c r="P48" s="125" t="str">
        <f t="shared" si="1"/>
        <v>NO CUMPLE</v>
      </c>
      <c r="Q48" s="782"/>
      <c r="R48" s="789"/>
      <c r="AN48" s="781"/>
      <c r="AO48" s="781"/>
    </row>
    <row r="49" spans="1:41" ht="2" customHeight="1">
      <c r="A49" s="801"/>
      <c r="B49" s="803"/>
      <c r="C49" s="125" t="s">
        <v>244</v>
      </c>
      <c r="D49" s="155"/>
      <c r="E49" s="68"/>
      <c r="F49" s="125"/>
      <c r="G49" s="125"/>
      <c r="H49" s="125"/>
      <c r="I49" s="125"/>
      <c r="J49" s="803"/>
      <c r="K49" s="117" t="str">
        <f>IFERROR(IF(D49="","",SUMIF('EXPERIENCIA '!$D$3:$D$672,D49,'EXPERIENCIA '!$AF$3:$AF$672)),"")</f>
        <v/>
      </c>
      <c r="L49" s="125" t="str">
        <f>IF(K49="","",IF(K49=0,0,IF(K49&gt;=PARÁMETROS!$O$5,"CUMPLE","NO CUMPLE")))</f>
        <v/>
      </c>
      <c r="M49" s="159" t="str">
        <f t="shared" si="2"/>
        <v/>
      </c>
      <c r="N49" s="107"/>
      <c r="O49" s="154" t="str">
        <f t="shared" si="0"/>
        <v>N/A</v>
      </c>
      <c r="P49" s="125" t="str">
        <f t="shared" si="1"/>
        <v>NO CUMPLE</v>
      </c>
      <c r="Q49" s="782"/>
      <c r="R49" s="789"/>
      <c r="AN49" s="781"/>
      <c r="AO49" s="781"/>
    </row>
    <row r="50" spans="1:41" ht="2" customHeight="1" thickBot="1">
      <c r="A50" s="802"/>
      <c r="B50" s="804"/>
      <c r="C50" s="133" t="s">
        <v>245</v>
      </c>
      <c r="D50" s="157"/>
      <c r="E50" s="104"/>
      <c r="F50" s="133"/>
      <c r="G50" s="133"/>
      <c r="H50" s="133"/>
      <c r="I50" s="133"/>
      <c r="J50" s="804"/>
      <c r="K50" s="136" t="str">
        <f>IFERROR(IF(D50="","",SUMIF('EXPERIENCIA '!$D$3:$D$672,D50,'EXPERIENCIA '!$AF$3:$AF$672)),"")</f>
        <v/>
      </c>
      <c r="L50" s="133" t="str">
        <f>IF(K50="","",IF(K50=0,0,IF(K50&gt;=PARÁMETROS!$O$5,"CUMPLE","NO CUMPLE")))</f>
        <v/>
      </c>
      <c r="M50" s="160" t="str">
        <f t="shared" si="2"/>
        <v/>
      </c>
      <c r="N50" s="107"/>
      <c r="O50" s="156" t="str">
        <f t="shared" si="0"/>
        <v>N/A</v>
      </c>
      <c r="P50" s="133" t="str">
        <f t="shared" si="1"/>
        <v>NO CUMPLE</v>
      </c>
      <c r="Q50" s="783"/>
      <c r="R50" s="790"/>
      <c r="AN50" s="575"/>
      <c r="AO50" s="575"/>
    </row>
    <row r="51" spans="1:41" ht="23.5" customHeight="1">
      <c r="A51" s="800" t="s">
        <v>130</v>
      </c>
      <c r="B51" s="730" t="s">
        <v>787</v>
      </c>
      <c r="C51" s="111" t="s">
        <v>183</v>
      </c>
      <c r="D51" s="153" t="s">
        <v>788</v>
      </c>
      <c r="E51" s="113">
        <v>0.42499999999999999</v>
      </c>
      <c r="F51" s="111"/>
      <c r="G51" s="116" t="s">
        <v>744</v>
      </c>
      <c r="H51" s="111" t="s">
        <v>744</v>
      </c>
      <c r="I51" s="116" t="s">
        <v>757</v>
      </c>
      <c r="J51" s="730">
        <f>SUM(AN51:AO56)</f>
        <v>2</v>
      </c>
      <c r="K51" s="115">
        <f>IFERROR(IF(D51="","",SUMIF('EXPERIENCIA '!$D$3:$D$672,D51,'EXPERIENCIA '!$AF$3:$AF$672)),"")</f>
        <v>44796.47</v>
      </c>
      <c r="L51" s="111" t="str">
        <f>IF(K51="","",IF(K51=0,0,IF(K51&gt;=PARÁMETROS!$O$5,"CUMPLE","NO CUMPLE")))</f>
        <v>CUMPLE</v>
      </c>
      <c r="M51" s="158" t="str">
        <f t="shared" si="2"/>
        <v>CUMPLE</v>
      </c>
      <c r="N51" s="107"/>
      <c r="O51" s="161" t="str">
        <f t="shared" si="0"/>
        <v>CUMPLE</v>
      </c>
      <c r="P51" s="121" t="str">
        <f t="shared" si="1"/>
        <v>CUMPLE</v>
      </c>
      <c r="Q51" s="782">
        <v>1</v>
      </c>
      <c r="R51" s="782"/>
      <c r="AN51" s="574">
        <f>IF(COUNTIF(H51:H56,"ACREDITA")&gt;0,1,0)</f>
        <v>1</v>
      </c>
      <c r="AO51" s="574">
        <f>IF(COUNTIF(I51:I56,"ACREDITA")&gt;0,1,0)</f>
        <v>1</v>
      </c>
    </row>
    <row r="52" spans="1:41" ht="23.5" customHeight="1">
      <c r="A52" s="801"/>
      <c r="B52" s="803"/>
      <c r="C52" s="125" t="s">
        <v>184</v>
      </c>
      <c r="D52" s="155" t="s">
        <v>789</v>
      </c>
      <c r="E52" s="68">
        <v>0.42499999999999999</v>
      </c>
      <c r="F52" s="125"/>
      <c r="G52" s="125" t="s">
        <v>744</v>
      </c>
      <c r="H52" s="125" t="s">
        <v>744</v>
      </c>
      <c r="I52" s="125" t="s">
        <v>757</v>
      </c>
      <c r="J52" s="803"/>
      <c r="K52" s="117">
        <f>IFERROR(IF(D52="","",SUMIF('EXPERIENCIA '!$D$3:$D$672,D52,'EXPERIENCIA '!$AF$3:$AF$672)),"")</f>
        <v>6945.6674999999996</v>
      </c>
      <c r="L52" s="125" t="str">
        <f>IF(K52="","",IF(K52=0,0,IF(K52&gt;=PARÁMETROS!$O$5,"CUMPLE","NO CUMPLE")))</f>
        <v>NO CUMPLE</v>
      </c>
      <c r="M52" s="159" t="str">
        <f t="shared" si="2"/>
        <v>NO CUMPLE</v>
      </c>
      <c r="N52" s="107"/>
      <c r="O52" s="154" t="str">
        <f t="shared" si="0"/>
        <v>NO CUMPLE</v>
      </c>
      <c r="P52" s="125" t="str">
        <f t="shared" si="1"/>
        <v>NO CUMPLE</v>
      </c>
      <c r="Q52" s="782"/>
      <c r="R52" s="782"/>
      <c r="AN52" s="781"/>
      <c r="AO52" s="781"/>
    </row>
    <row r="53" spans="1:41" ht="23.5" customHeight="1">
      <c r="A53" s="801"/>
      <c r="B53" s="803"/>
      <c r="C53" s="125" t="s">
        <v>246</v>
      </c>
      <c r="D53" s="155" t="s">
        <v>790</v>
      </c>
      <c r="E53" s="68">
        <v>0.15</v>
      </c>
      <c r="F53" s="125"/>
      <c r="G53" s="125" t="s">
        <v>757</v>
      </c>
      <c r="H53" s="125" t="s">
        <v>744</v>
      </c>
      <c r="I53" s="125" t="s">
        <v>744</v>
      </c>
      <c r="J53" s="803"/>
      <c r="K53" s="117">
        <f>IFERROR(IF(D53="","",SUMIF('EXPERIENCIA '!$D$3:$D$672,D53,'EXPERIENCIA '!$AF$3:$AF$672)),"")</f>
        <v>4348.25</v>
      </c>
      <c r="L53" s="125" t="str">
        <f>IF(K53="","",IF(K53=0,0,IF(K53&gt;=PARÁMETROS!$O$5,"CUMPLE","NO CUMPLE")))</f>
        <v>NO CUMPLE</v>
      </c>
      <c r="M53" s="159" t="str">
        <f t="shared" si="2"/>
        <v/>
      </c>
      <c r="N53" s="107"/>
      <c r="O53" s="154" t="str">
        <f t="shared" si="0"/>
        <v>NO CUMPLE</v>
      </c>
      <c r="P53" s="125" t="str">
        <f t="shared" si="1"/>
        <v/>
      </c>
      <c r="Q53" s="782"/>
      <c r="R53" s="782"/>
      <c r="AN53" s="781"/>
      <c r="AO53" s="781"/>
    </row>
    <row r="54" spans="1:41" ht="2" customHeight="1">
      <c r="A54" s="801"/>
      <c r="B54" s="803"/>
      <c r="C54" s="125" t="s">
        <v>247</v>
      </c>
      <c r="D54" s="155"/>
      <c r="E54" s="68"/>
      <c r="F54" s="125"/>
      <c r="G54" s="125"/>
      <c r="H54" s="125"/>
      <c r="I54" s="125"/>
      <c r="J54" s="803"/>
      <c r="K54" s="117" t="str">
        <f>IFERROR(IF(D54="","",SUMIF('EXPERIENCIA '!$D$3:$D$672,D54,'EXPERIENCIA '!$AF$3:$AF$672)),"")</f>
        <v/>
      </c>
      <c r="L54" s="125" t="str">
        <f>IF(K54="","",IF(K54=0,0,IF(K54&gt;=PARÁMETROS!$O$5,"CUMPLE","NO CUMPLE")))</f>
        <v/>
      </c>
      <c r="M54" s="159" t="str">
        <f t="shared" si="2"/>
        <v/>
      </c>
      <c r="N54" s="107"/>
      <c r="O54" s="154" t="str">
        <f t="shared" si="0"/>
        <v>N/A</v>
      </c>
      <c r="P54" s="125" t="str">
        <f t="shared" si="1"/>
        <v>NO CUMPLE</v>
      </c>
      <c r="Q54" s="782"/>
      <c r="R54" s="782"/>
      <c r="AN54" s="781"/>
      <c r="AO54" s="781"/>
    </row>
    <row r="55" spans="1:41" ht="2" customHeight="1">
      <c r="A55" s="801"/>
      <c r="B55" s="803"/>
      <c r="C55" s="125" t="s">
        <v>248</v>
      </c>
      <c r="D55" s="155"/>
      <c r="E55" s="68"/>
      <c r="F55" s="125"/>
      <c r="G55" s="125"/>
      <c r="H55" s="125"/>
      <c r="I55" s="125"/>
      <c r="J55" s="803"/>
      <c r="K55" s="117" t="str">
        <f>IFERROR(IF(D55="","",SUMIF('EXPERIENCIA '!$D$3:$D$672,D55,'EXPERIENCIA '!$AF$3:$AF$672)),"")</f>
        <v/>
      </c>
      <c r="L55" s="125" t="str">
        <f>IF(K55="","",IF(K55=0,0,IF(K55&gt;=PARÁMETROS!$O$5,"CUMPLE","NO CUMPLE")))</f>
        <v/>
      </c>
      <c r="M55" s="159" t="str">
        <f t="shared" si="2"/>
        <v/>
      </c>
      <c r="N55" s="107"/>
      <c r="O55" s="154" t="str">
        <f t="shared" si="0"/>
        <v>N/A</v>
      </c>
      <c r="P55" s="125" t="str">
        <f t="shared" si="1"/>
        <v>NO CUMPLE</v>
      </c>
      <c r="Q55" s="782"/>
      <c r="R55" s="782"/>
      <c r="AN55" s="781"/>
      <c r="AO55" s="781"/>
    </row>
    <row r="56" spans="1:41" ht="2" customHeight="1" thickBot="1">
      <c r="A56" s="802"/>
      <c r="B56" s="804"/>
      <c r="C56" s="133" t="s">
        <v>249</v>
      </c>
      <c r="D56" s="157"/>
      <c r="E56" s="104"/>
      <c r="F56" s="133"/>
      <c r="G56" s="133"/>
      <c r="H56" s="133"/>
      <c r="I56" s="133"/>
      <c r="J56" s="804"/>
      <c r="K56" s="136" t="str">
        <f>IFERROR(IF(D56="","",SUMIF('EXPERIENCIA '!$D$3:$D$672,D56,'EXPERIENCIA '!$AF$3:$AF$672)),"")</f>
        <v/>
      </c>
      <c r="L56" s="133" t="str">
        <f>IF(K56="","",IF(K56=0,0,IF(K56&gt;=PARÁMETROS!$O$5,"CUMPLE","NO CUMPLE")))</f>
        <v/>
      </c>
      <c r="M56" s="160" t="str">
        <f t="shared" si="2"/>
        <v/>
      </c>
      <c r="N56" s="107"/>
      <c r="O56" s="156" t="str">
        <f t="shared" si="0"/>
        <v>N/A</v>
      </c>
      <c r="P56" s="133" t="str">
        <f t="shared" si="1"/>
        <v>NO CUMPLE</v>
      </c>
      <c r="Q56" s="783"/>
      <c r="R56" s="783"/>
      <c r="AN56" s="575"/>
      <c r="AO56" s="575"/>
    </row>
    <row r="57" spans="1:41" ht="23.5" customHeight="1">
      <c r="A57" s="800" t="s">
        <v>131</v>
      </c>
      <c r="B57" s="730" t="s">
        <v>900</v>
      </c>
      <c r="C57" s="111" t="s">
        <v>185</v>
      </c>
      <c r="D57" s="153" t="s">
        <v>901</v>
      </c>
      <c r="E57" s="113">
        <v>0.7</v>
      </c>
      <c r="F57" s="111"/>
      <c r="G57" s="111" t="s">
        <v>744</v>
      </c>
      <c r="H57" s="111" t="s">
        <v>744</v>
      </c>
      <c r="I57" s="111" t="s">
        <v>744</v>
      </c>
      <c r="J57" s="730">
        <f>SUM(AN57:AO62)</f>
        <v>2</v>
      </c>
      <c r="K57" s="115">
        <f>IFERROR(IF(D57="","",SUMIF('EXPERIENCIA '!$D$3:$D$672,D57,'EXPERIENCIA '!$AF$3:$AF$672)),"")</f>
        <v>42497.008499999996</v>
      </c>
      <c r="L57" s="111" t="str">
        <f>IF(K57="","",IF(K57=0,0,IF(K57&gt;=PARÁMETROS!$O$5,"CUMPLE","NO CUMPLE")))</f>
        <v>CUMPLE</v>
      </c>
      <c r="M57" s="158" t="str">
        <f t="shared" si="2"/>
        <v>CUMPLE</v>
      </c>
      <c r="N57" s="107"/>
      <c r="O57" s="161" t="str">
        <f t="shared" si="0"/>
        <v>CUMPLE</v>
      </c>
      <c r="P57" s="121" t="str">
        <f t="shared" si="1"/>
        <v>CUMPLE</v>
      </c>
      <c r="Q57" s="782">
        <v>1</v>
      </c>
      <c r="R57" s="782"/>
      <c r="AN57" s="574">
        <f>IF(COUNTIF(H57:H62,"ACREDITA")&gt;0,1,0)</f>
        <v>1</v>
      </c>
      <c r="AO57" s="574">
        <f>IF(COUNTIF(I57:I62,"ACREDITA")&gt;0,1,0)</f>
        <v>1</v>
      </c>
    </row>
    <row r="58" spans="1:41" ht="23.5" customHeight="1">
      <c r="A58" s="801"/>
      <c r="B58" s="803"/>
      <c r="C58" s="125" t="s">
        <v>186</v>
      </c>
      <c r="D58" s="155" t="s">
        <v>902</v>
      </c>
      <c r="E58" s="68">
        <v>0.3</v>
      </c>
      <c r="F58" s="125"/>
      <c r="G58" s="125" t="s">
        <v>757</v>
      </c>
      <c r="H58" s="125" t="s">
        <v>744</v>
      </c>
      <c r="I58" s="125" t="s">
        <v>744</v>
      </c>
      <c r="J58" s="803"/>
      <c r="K58" s="117">
        <f>IFERROR(IF(D58="","",SUMIF('EXPERIENCIA '!$D$3:$D$672,D58,'EXPERIENCIA '!$AF$3:$AF$672)),"")</f>
        <v>19692.707999999999</v>
      </c>
      <c r="L58" s="125" t="str">
        <f>IF(K58="","",IF(K58=0,0,IF(K58&gt;=PARÁMETROS!$O$5,"CUMPLE","NO CUMPLE")))</f>
        <v>CUMPLE</v>
      </c>
      <c r="M58" s="159" t="str">
        <f t="shared" si="2"/>
        <v/>
      </c>
      <c r="N58" s="107"/>
      <c r="O58" s="154" t="str">
        <f t="shared" si="0"/>
        <v>CUMPLE</v>
      </c>
      <c r="P58" s="125" t="str">
        <f t="shared" si="1"/>
        <v/>
      </c>
      <c r="Q58" s="782"/>
      <c r="R58" s="782"/>
      <c r="AN58" s="781"/>
      <c r="AO58" s="781"/>
    </row>
    <row r="59" spans="1:41" ht="2" customHeight="1">
      <c r="A59" s="801"/>
      <c r="B59" s="803"/>
      <c r="C59" s="125" t="s">
        <v>250</v>
      </c>
      <c r="D59" s="155"/>
      <c r="E59" s="68"/>
      <c r="F59" s="125"/>
      <c r="G59" s="125"/>
      <c r="H59" s="125"/>
      <c r="I59" s="125"/>
      <c r="J59" s="803"/>
      <c r="K59" s="117" t="str">
        <f>IFERROR(IF(D59="","",SUMIF('EXPERIENCIA '!$D$3:$D$672,D59,'EXPERIENCIA '!$AF$3:$AF$672)),"")</f>
        <v/>
      </c>
      <c r="L59" s="125" t="str">
        <f>IF(K59="","",IF(K59=0,0,IF(K59&gt;=PARÁMETROS!$O$5,"CUMPLE","NO CUMPLE")))</f>
        <v/>
      </c>
      <c r="M59" s="159" t="str">
        <f t="shared" si="2"/>
        <v/>
      </c>
      <c r="N59" s="107"/>
      <c r="O59" s="154" t="str">
        <f t="shared" si="0"/>
        <v>N/A</v>
      </c>
      <c r="P59" s="125" t="str">
        <f t="shared" si="1"/>
        <v>NO CUMPLE</v>
      </c>
      <c r="Q59" s="782"/>
      <c r="R59" s="782"/>
      <c r="AN59" s="781"/>
      <c r="AO59" s="781"/>
    </row>
    <row r="60" spans="1:41" ht="2" customHeight="1">
      <c r="A60" s="801"/>
      <c r="B60" s="803"/>
      <c r="C60" s="125" t="s">
        <v>251</v>
      </c>
      <c r="D60" s="155"/>
      <c r="E60" s="68"/>
      <c r="F60" s="125"/>
      <c r="G60" s="125"/>
      <c r="H60" s="125"/>
      <c r="I60" s="125"/>
      <c r="J60" s="803"/>
      <c r="K60" s="117" t="str">
        <f>IFERROR(IF(D60="","",SUMIF('EXPERIENCIA '!$D$3:$D$672,D60,'EXPERIENCIA '!$AF$3:$AF$672)),"")</f>
        <v/>
      </c>
      <c r="L60" s="125" t="str">
        <f>IF(K60="","",IF(K60=0,0,IF(K60&gt;=PARÁMETROS!$O$5,"CUMPLE","NO CUMPLE")))</f>
        <v/>
      </c>
      <c r="M60" s="159" t="str">
        <f t="shared" si="2"/>
        <v/>
      </c>
      <c r="N60" s="107"/>
      <c r="O60" s="154" t="str">
        <f t="shared" si="0"/>
        <v>N/A</v>
      </c>
      <c r="P60" s="125" t="str">
        <f t="shared" si="1"/>
        <v>NO CUMPLE</v>
      </c>
      <c r="Q60" s="782"/>
      <c r="R60" s="782"/>
      <c r="AN60" s="781"/>
      <c r="AO60" s="781"/>
    </row>
    <row r="61" spans="1:41" ht="2" customHeight="1">
      <c r="A61" s="801"/>
      <c r="B61" s="803"/>
      <c r="C61" s="125" t="s">
        <v>252</v>
      </c>
      <c r="D61" s="155"/>
      <c r="E61" s="68"/>
      <c r="F61" s="125"/>
      <c r="G61" s="125"/>
      <c r="H61" s="125"/>
      <c r="I61" s="125"/>
      <c r="J61" s="803"/>
      <c r="K61" s="117" t="str">
        <f>IFERROR(IF(D61="","",SUMIF('EXPERIENCIA '!$D$3:$D$672,D61,'EXPERIENCIA '!$AF$3:$AF$672)),"")</f>
        <v/>
      </c>
      <c r="L61" s="125" t="str">
        <f>IF(K61="","",IF(K61=0,0,IF(K61&gt;=PARÁMETROS!$O$5,"CUMPLE","NO CUMPLE")))</f>
        <v/>
      </c>
      <c r="M61" s="159" t="str">
        <f t="shared" si="2"/>
        <v/>
      </c>
      <c r="N61" s="107"/>
      <c r="O61" s="154" t="str">
        <f t="shared" si="0"/>
        <v>N/A</v>
      </c>
      <c r="P61" s="125" t="str">
        <f t="shared" si="1"/>
        <v>NO CUMPLE</v>
      </c>
      <c r="Q61" s="782"/>
      <c r="R61" s="782"/>
      <c r="AN61" s="781"/>
      <c r="AO61" s="781"/>
    </row>
    <row r="62" spans="1:41" ht="2" customHeight="1" thickBot="1">
      <c r="A62" s="802"/>
      <c r="B62" s="804"/>
      <c r="C62" s="133" t="s">
        <v>253</v>
      </c>
      <c r="D62" s="157"/>
      <c r="E62" s="104"/>
      <c r="F62" s="133"/>
      <c r="G62" s="133"/>
      <c r="H62" s="133"/>
      <c r="I62" s="133"/>
      <c r="J62" s="804"/>
      <c r="K62" s="136" t="str">
        <f>IFERROR(IF(D62="","",SUMIF('EXPERIENCIA '!$D$3:$D$672,D62,'EXPERIENCIA '!$AF$3:$AF$672)),"")</f>
        <v/>
      </c>
      <c r="L62" s="133" t="str">
        <f>IF(K62="","",IF(K62=0,0,IF(K62&gt;=PARÁMETROS!$O$5,"CUMPLE","NO CUMPLE")))</f>
        <v/>
      </c>
      <c r="M62" s="160" t="str">
        <f t="shared" si="2"/>
        <v/>
      </c>
      <c r="N62" s="107"/>
      <c r="O62" s="156" t="str">
        <f t="shared" si="0"/>
        <v>N/A</v>
      </c>
      <c r="P62" s="133" t="str">
        <f t="shared" si="1"/>
        <v>NO CUMPLE</v>
      </c>
      <c r="Q62" s="783"/>
      <c r="R62" s="783"/>
      <c r="AN62" s="575"/>
      <c r="AO62" s="575"/>
    </row>
    <row r="63" spans="1:41" ht="23.5" customHeight="1">
      <c r="A63" s="800" t="s">
        <v>132</v>
      </c>
      <c r="B63" s="730" t="s">
        <v>903</v>
      </c>
      <c r="C63" s="111" t="s">
        <v>188</v>
      </c>
      <c r="D63" s="153" t="s">
        <v>904</v>
      </c>
      <c r="E63" s="113">
        <v>0.5</v>
      </c>
      <c r="F63" s="111"/>
      <c r="G63" s="111" t="s">
        <v>744</v>
      </c>
      <c r="H63" s="111" t="s">
        <v>757</v>
      </c>
      <c r="I63" s="111" t="s">
        <v>744</v>
      </c>
      <c r="J63" s="730">
        <f>SUM(AN63:AO68)</f>
        <v>2</v>
      </c>
      <c r="K63" s="115">
        <f>IFERROR(IF(D63="","",SUMIF('EXPERIENCIA '!$D$3:$D$672,D63,'EXPERIENCIA '!$AF$3:$AF$672)),"")</f>
        <v>66562.367872999996</v>
      </c>
      <c r="L63" s="111" t="str">
        <f>IF(K63="","",IF(K63=0,0,IF(K63&gt;=PARÁMETROS!$O$5,"CUMPLE","NO CUMPLE")))</f>
        <v>CUMPLE</v>
      </c>
      <c r="M63" s="158" t="str">
        <f t="shared" si="2"/>
        <v>CUMPLE</v>
      </c>
      <c r="N63" s="107"/>
      <c r="O63" s="161" t="str">
        <f t="shared" si="0"/>
        <v>CUMPLE</v>
      </c>
      <c r="P63" s="121" t="str">
        <f t="shared" si="1"/>
        <v>CUMPLE</v>
      </c>
      <c r="Q63" s="782">
        <v>1</v>
      </c>
      <c r="R63" s="782"/>
      <c r="AN63" s="574">
        <f>IF(COUNTIF(H63:H68,"ACREDITA")&gt;0,1,0)</f>
        <v>1</v>
      </c>
      <c r="AO63" s="574">
        <f>IF(COUNTIF(I63:I68,"ACREDITA")&gt;0,1,0)</f>
        <v>1</v>
      </c>
    </row>
    <row r="64" spans="1:41" ht="23.5" customHeight="1">
      <c r="A64" s="801"/>
      <c r="B64" s="803"/>
      <c r="C64" s="125" t="s">
        <v>187</v>
      </c>
      <c r="D64" s="250" t="s">
        <v>905</v>
      </c>
      <c r="E64" s="68">
        <v>0.5</v>
      </c>
      <c r="F64" s="125"/>
      <c r="G64" s="125" t="s">
        <v>757</v>
      </c>
      <c r="H64" s="125" t="s">
        <v>744</v>
      </c>
      <c r="I64" s="125" t="s">
        <v>757</v>
      </c>
      <c r="J64" s="803"/>
      <c r="K64" s="117">
        <f>IFERROR(IF(D64="","",SUMIF('EXPERIENCIA '!$D$3:$D$672,D64,'EXPERIENCIA '!$AF$3:$AF$672)),"")</f>
        <v>10100.280000000001</v>
      </c>
      <c r="L64" s="125" t="str">
        <f>IF(K64="","",IF(K64=0,0,IF(K64&gt;=PARÁMETROS!$O$5,"CUMPLE","NO CUMPLE")))</f>
        <v>CUMPLE</v>
      </c>
      <c r="M64" s="159" t="str">
        <f t="shared" si="2"/>
        <v/>
      </c>
      <c r="N64" s="107"/>
      <c r="O64" s="154" t="str">
        <f t="shared" si="0"/>
        <v>NO CUMPLE</v>
      </c>
      <c r="P64" s="125" t="str">
        <f t="shared" si="1"/>
        <v/>
      </c>
      <c r="Q64" s="782"/>
      <c r="R64" s="782"/>
      <c r="AN64" s="781"/>
      <c r="AO64" s="781"/>
    </row>
    <row r="65" spans="1:41" ht="2" customHeight="1">
      <c r="A65" s="801"/>
      <c r="B65" s="803"/>
      <c r="C65" s="125" t="s">
        <v>254</v>
      </c>
      <c r="D65" s="155"/>
      <c r="E65" s="68"/>
      <c r="F65" s="125"/>
      <c r="G65" s="125"/>
      <c r="H65" s="125"/>
      <c r="I65" s="125"/>
      <c r="J65" s="803"/>
      <c r="K65" s="117" t="str">
        <f>IFERROR(IF(D65="","",SUMIF('EXPERIENCIA '!$D$3:$D$672,D65,'EXPERIENCIA '!$AF$3:$AF$672)),"")</f>
        <v/>
      </c>
      <c r="L65" s="125" t="str">
        <f>IF(K65="","",IF(K65=0,0,IF(K65&gt;=PARÁMETROS!$O$5,"CUMPLE","NO CUMPLE")))</f>
        <v/>
      </c>
      <c r="M65" s="159" t="str">
        <f t="shared" si="2"/>
        <v/>
      </c>
      <c r="N65" s="107"/>
      <c r="O65" s="154" t="str">
        <f t="shared" si="0"/>
        <v>N/A</v>
      </c>
      <c r="P65" s="125" t="str">
        <f t="shared" si="1"/>
        <v>NO CUMPLE</v>
      </c>
      <c r="Q65" s="782"/>
      <c r="R65" s="782"/>
      <c r="AN65" s="781"/>
      <c r="AO65" s="781"/>
    </row>
    <row r="66" spans="1:41" ht="2" customHeight="1">
      <c r="A66" s="801"/>
      <c r="B66" s="803"/>
      <c r="C66" s="125" t="s">
        <v>255</v>
      </c>
      <c r="D66" s="155"/>
      <c r="E66" s="68"/>
      <c r="F66" s="125"/>
      <c r="G66" s="125"/>
      <c r="H66" s="125"/>
      <c r="I66" s="125"/>
      <c r="J66" s="803"/>
      <c r="K66" s="117" t="str">
        <f>IFERROR(IF(D66="","",SUMIF('EXPERIENCIA '!$D$3:$D$672,D66,'EXPERIENCIA '!$AF$3:$AF$672)),"")</f>
        <v/>
      </c>
      <c r="L66" s="125" t="str">
        <f>IF(K66="","",IF(K66=0,0,IF(K66&gt;=PARÁMETROS!$O$5,"CUMPLE","NO CUMPLE")))</f>
        <v/>
      </c>
      <c r="M66" s="159" t="str">
        <f t="shared" si="2"/>
        <v/>
      </c>
      <c r="N66" s="107"/>
      <c r="O66" s="154" t="str">
        <f t="shared" si="0"/>
        <v>N/A</v>
      </c>
      <c r="P66" s="125" t="str">
        <f t="shared" si="1"/>
        <v>NO CUMPLE</v>
      </c>
      <c r="Q66" s="782"/>
      <c r="R66" s="782"/>
      <c r="AN66" s="781"/>
      <c r="AO66" s="781"/>
    </row>
    <row r="67" spans="1:41" ht="2" customHeight="1">
      <c r="A67" s="801"/>
      <c r="B67" s="803"/>
      <c r="C67" s="125" t="s">
        <v>256</v>
      </c>
      <c r="D67" s="155"/>
      <c r="E67" s="68"/>
      <c r="F67" s="125"/>
      <c r="G67" s="125"/>
      <c r="H67" s="125"/>
      <c r="I67" s="125"/>
      <c r="J67" s="803"/>
      <c r="K67" s="117" t="str">
        <f>IFERROR(IF(D67="","",SUMIF('EXPERIENCIA '!$D$3:$D$672,D67,'EXPERIENCIA '!$AF$3:$AF$672)),"")</f>
        <v/>
      </c>
      <c r="L67" s="125" t="str">
        <f>IF(K67="","",IF(K67=0,0,IF(K67&gt;=PARÁMETROS!$O$5,"CUMPLE","NO CUMPLE")))</f>
        <v/>
      </c>
      <c r="M67" s="159" t="str">
        <f t="shared" ref="M67:M72" si="3">+IF(G67="ACREDITA",IF(L67="CUMPLE","CUMPLE","NO CUMPLE"),"")</f>
        <v/>
      </c>
      <c r="N67" s="107"/>
      <c r="O67" s="154" t="str">
        <f t="shared" ref="O67:O72" si="4">IFERROR(IF(OR(G67="",G67="N/A",G67="NO APLICA"),"N/A",IFERROR(IF(K67=0,"",IF(K67&gt;=PDMI,"CUMPLE","NO CUMPLE")),"")),"")</f>
        <v>N/A</v>
      </c>
      <c r="P67" s="125" t="str">
        <f t="shared" ref="P67:P72" si="5">IFERROR(IF(O67="N/A","NO CUMPLE",IFERROR(IF(G67="ACREDITA",IF(O67="CUMPLE","CUMPLE","NO CUMPLE"),""),"")),"")</f>
        <v>NO CUMPLE</v>
      </c>
      <c r="Q67" s="782"/>
      <c r="R67" s="782"/>
      <c r="AN67" s="781"/>
      <c r="AO67" s="781"/>
    </row>
    <row r="68" spans="1:41" ht="2" customHeight="1" thickBot="1">
      <c r="A68" s="802"/>
      <c r="B68" s="804"/>
      <c r="C68" s="133" t="s">
        <v>257</v>
      </c>
      <c r="D68" s="157"/>
      <c r="E68" s="104"/>
      <c r="F68" s="133"/>
      <c r="G68" s="133"/>
      <c r="H68" s="133"/>
      <c r="I68" s="133"/>
      <c r="J68" s="804"/>
      <c r="K68" s="136" t="str">
        <f>IFERROR(IF(D68="","",SUMIF('EXPERIENCIA '!$D$3:$D$672,D68,'EXPERIENCIA '!$AF$3:$AF$672)),"")</f>
        <v/>
      </c>
      <c r="L68" s="133" t="str">
        <f>IF(K68="","",IF(K68=0,0,IF(K68&gt;=PARÁMETROS!$O$5,"CUMPLE","NO CUMPLE")))</f>
        <v/>
      </c>
      <c r="M68" s="160" t="str">
        <f t="shared" si="3"/>
        <v/>
      </c>
      <c r="N68" s="107"/>
      <c r="O68" s="156" t="str">
        <f t="shared" si="4"/>
        <v>N/A</v>
      </c>
      <c r="P68" s="133" t="str">
        <f t="shared" si="5"/>
        <v>NO CUMPLE</v>
      </c>
      <c r="Q68" s="783"/>
      <c r="R68" s="783"/>
      <c r="AN68" s="575"/>
      <c r="AO68" s="575"/>
    </row>
    <row r="69" spans="1:41" ht="23.5" customHeight="1">
      <c r="A69" s="800" t="s">
        <v>133</v>
      </c>
      <c r="B69" s="730" t="s">
        <v>906</v>
      </c>
      <c r="C69" s="111" t="s">
        <v>189</v>
      </c>
      <c r="D69" s="153" t="s">
        <v>907</v>
      </c>
      <c r="E69" s="113">
        <v>0.32</v>
      </c>
      <c r="F69" s="111"/>
      <c r="G69" s="111" t="s">
        <v>744</v>
      </c>
      <c r="H69" s="111" t="s">
        <v>744</v>
      </c>
      <c r="I69" s="111" t="s">
        <v>744</v>
      </c>
      <c r="J69" s="730">
        <f>SUM(AN69:AO74)</f>
        <v>2</v>
      </c>
      <c r="K69" s="115">
        <f>IFERROR(IF(D69="","",SUMIF('EXPERIENCIA '!$D$3:$D$672,D69,'EXPERIENCIA '!$AF$3:$AF$672)),"")</f>
        <v>39384.866000000002</v>
      </c>
      <c r="L69" s="111" t="str">
        <f>IF(K69="","",IF(K69=0,0,IF(K69&gt;=PARÁMETROS!$O$5,"CUMPLE","NO CUMPLE")))</f>
        <v>CUMPLE</v>
      </c>
      <c r="M69" s="158" t="str">
        <f t="shared" si="3"/>
        <v>CUMPLE</v>
      </c>
      <c r="N69" s="107"/>
      <c r="O69" s="161" t="str">
        <f t="shared" si="4"/>
        <v>CUMPLE</v>
      </c>
      <c r="P69" s="121" t="str">
        <f t="shared" si="5"/>
        <v>CUMPLE</v>
      </c>
      <c r="Q69" s="782">
        <v>1</v>
      </c>
      <c r="R69" s="784"/>
      <c r="AN69" s="574">
        <f>IF(COUNTIF(H69:H74,"ACREDITA")&gt;0,1,0)</f>
        <v>1</v>
      </c>
      <c r="AO69" s="574">
        <f>IF(COUNTIF(I69:I74,"ACREDITA")&gt;0,1,0)</f>
        <v>1</v>
      </c>
    </row>
    <row r="70" spans="1:41" ht="23.5" customHeight="1">
      <c r="A70" s="801"/>
      <c r="B70" s="803"/>
      <c r="C70" s="125" t="s">
        <v>269</v>
      </c>
      <c r="D70" s="155" t="s">
        <v>908</v>
      </c>
      <c r="E70" s="68">
        <v>0.25</v>
      </c>
      <c r="F70" s="125"/>
      <c r="G70" s="125" t="s">
        <v>744</v>
      </c>
      <c r="H70" s="125" t="s">
        <v>744</v>
      </c>
      <c r="I70" s="125" t="s">
        <v>757</v>
      </c>
      <c r="J70" s="803"/>
      <c r="K70" s="117">
        <f>IFERROR(IF(D70="","",SUMIF('EXPERIENCIA '!$D$3:$D$672,D70,'EXPERIENCIA '!$AF$3:$AF$672)),"")</f>
        <v>61155.065600000002</v>
      </c>
      <c r="L70" s="125" t="str">
        <f>IF(K70="","",IF(K70=0,0,IF(K70&gt;=PARÁMETROS!$O$5,"CUMPLE","NO CUMPLE")))</f>
        <v>CUMPLE</v>
      </c>
      <c r="M70" s="159" t="str">
        <f t="shared" si="3"/>
        <v>CUMPLE</v>
      </c>
      <c r="N70" s="107"/>
      <c r="O70" s="154" t="str">
        <f t="shared" si="4"/>
        <v>CUMPLE</v>
      </c>
      <c r="P70" s="125" t="str">
        <f t="shared" si="5"/>
        <v>CUMPLE</v>
      </c>
      <c r="Q70" s="782"/>
      <c r="R70" s="784"/>
      <c r="AN70" s="781"/>
      <c r="AO70" s="781"/>
    </row>
    <row r="71" spans="1:41" ht="23.5" customHeight="1">
      <c r="A71" s="801"/>
      <c r="B71" s="803"/>
      <c r="C71" s="125" t="s">
        <v>270</v>
      </c>
      <c r="D71" s="155" t="s">
        <v>909</v>
      </c>
      <c r="E71" s="68">
        <v>0.43</v>
      </c>
      <c r="F71" s="125"/>
      <c r="G71" s="125" t="s">
        <v>757</v>
      </c>
      <c r="H71" s="125" t="s">
        <v>744</v>
      </c>
      <c r="I71" s="125" t="s">
        <v>757</v>
      </c>
      <c r="J71" s="803"/>
      <c r="K71" s="117">
        <f>IFERROR(IF(D71="","",SUMIF('EXPERIENCIA '!$D$3:$D$672,D71,'EXPERIENCIA '!$AF$3:$AF$672)),"")</f>
        <v>7429.97</v>
      </c>
      <c r="L71" s="125" t="str">
        <f>IF(K71="","",IF(K71=0,0,IF(K71&gt;=PARÁMETROS!$O$5,"CUMPLE","NO CUMPLE")))</f>
        <v>NO CUMPLE</v>
      </c>
      <c r="M71" s="159" t="str">
        <f t="shared" si="3"/>
        <v/>
      </c>
      <c r="N71" s="107"/>
      <c r="O71" s="154" t="str">
        <f t="shared" si="4"/>
        <v>NO CUMPLE</v>
      </c>
      <c r="P71" s="125" t="str">
        <f t="shared" si="5"/>
        <v/>
      </c>
      <c r="Q71" s="782"/>
      <c r="R71" s="784"/>
      <c r="AN71" s="781"/>
      <c r="AO71" s="781"/>
    </row>
    <row r="72" spans="1:41" ht="2" customHeight="1">
      <c r="A72" s="801"/>
      <c r="B72" s="803"/>
      <c r="C72" s="125" t="s">
        <v>271</v>
      </c>
      <c r="D72" s="155"/>
      <c r="E72" s="68"/>
      <c r="F72" s="125"/>
      <c r="G72" s="125"/>
      <c r="H72" s="125"/>
      <c r="I72" s="125"/>
      <c r="J72" s="803"/>
      <c r="K72" s="117" t="str">
        <f>IFERROR(IF(D72="","",SUMIF('EXPERIENCIA '!$D$3:$D$672,D72,'EXPERIENCIA '!$AF$3:$AF$672)),"")</f>
        <v/>
      </c>
      <c r="L72" s="125" t="str">
        <f>IF(K72="","",IF(K72=0,0,IF(K72&gt;=PARÁMETROS!$O$5,"CUMPLE","NO CUMPLE")))</f>
        <v/>
      </c>
      <c r="M72" s="159" t="str">
        <f t="shared" si="3"/>
        <v/>
      </c>
      <c r="N72" s="107"/>
      <c r="O72" s="154" t="str">
        <f t="shared" si="4"/>
        <v>N/A</v>
      </c>
      <c r="P72" s="125" t="str">
        <f t="shared" si="5"/>
        <v>NO CUMPLE</v>
      </c>
      <c r="Q72" s="782"/>
      <c r="R72" s="784"/>
      <c r="AN72" s="781"/>
      <c r="AO72" s="781"/>
    </row>
    <row r="73" spans="1:41" ht="2" customHeight="1">
      <c r="A73" s="801"/>
      <c r="B73" s="803"/>
      <c r="C73" s="125" t="s">
        <v>272</v>
      </c>
      <c r="D73" s="155"/>
      <c r="E73" s="68"/>
      <c r="F73" s="125"/>
      <c r="G73" s="125"/>
      <c r="H73" s="125"/>
      <c r="I73" s="125"/>
      <c r="J73" s="803"/>
      <c r="K73" s="117" t="str">
        <f>IFERROR(IF(D73="","",SUMIF('EXPERIENCIA '!$D$3:$D$672,D73,'EXPERIENCIA '!$AF$3:$AF$672)),"")</f>
        <v/>
      </c>
      <c r="L73" s="125" t="str">
        <f>IF(K73="","",IF(K73=0,0,IF(K73&gt;=PARÁMETROS!$O$5,"CUMPLE","NO CUMPLE")))</f>
        <v/>
      </c>
      <c r="M73" s="159" t="str">
        <f t="shared" ref="M73:M86" si="6">+IF(G73="ACREDITA",IF(L73="CUMPLE","CUMPLE","NO CUMPLE"),"")</f>
        <v/>
      </c>
      <c r="N73" s="107"/>
      <c r="O73" s="154" t="str">
        <f t="shared" ref="O73:O86" si="7">IFERROR(IF(OR(G73="",G73="N/A",G73="NO APLICA"),"N/A",IFERROR(IF(K73=0,"",IF(K73&gt;=PDMI,"CUMPLE","NO CUMPLE")),"")),"")</f>
        <v>N/A</v>
      </c>
      <c r="P73" s="125" t="str">
        <f t="shared" ref="P73:P86" si="8">IFERROR(IF(O73="N/A","NO CUMPLE",IFERROR(IF(G73="ACREDITA",IF(O73="CUMPLE","CUMPLE","NO CUMPLE"),""),"")),"")</f>
        <v>NO CUMPLE</v>
      </c>
      <c r="Q73" s="782"/>
      <c r="R73" s="784"/>
      <c r="AN73" s="781"/>
      <c r="AO73" s="781"/>
    </row>
    <row r="74" spans="1:41" ht="2" customHeight="1" thickBot="1">
      <c r="A74" s="802"/>
      <c r="B74" s="804"/>
      <c r="C74" s="133" t="s">
        <v>273</v>
      </c>
      <c r="D74" s="157"/>
      <c r="E74" s="104"/>
      <c r="F74" s="133"/>
      <c r="G74" s="133"/>
      <c r="H74" s="133"/>
      <c r="I74" s="133"/>
      <c r="J74" s="804"/>
      <c r="K74" s="136" t="str">
        <f>IFERROR(IF(D74="","",SUMIF('EXPERIENCIA '!$D$3:$D$672,D74,'EXPERIENCIA '!$AF$3:$AF$672)),"")</f>
        <v/>
      </c>
      <c r="L74" s="133" t="str">
        <f>IF(K74="","",IF(K74=0,0,IF(K74&gt;=PARÁMETROS!$O$5,"CUMPLE","NO CUMPLE")))</f>
        <v/>
      </c>
      <c r="M74" s="160" t="str">
        <f t="shared" si="6"/>
        <v/>
      </c>
      <c r="N74" s="107"/>
      <c r="O74" s="156" t="str">
        <f t="shared" si="7"/>
        <v>N/A</v>
      </c>
      <c r="P74" s="133" t="str">
        <f t="shared" si="8"/>
        <v>NO CUMPLE</v>
      </c>
      <c r="Q74" s="783"/>
      <c r="R74" s="785"/>
      <c r="AN74" s="575"/>
      <c r="AO74" s="575"/>
    </row>
    <row r="75" spans="1:41" ht="23.5" customHeight="1">
      <c r="A75" s="800" t="s">
        <v>134</v>
      </c>
      <c r="B75" s="730" t="s">
        <v>910</v>
      </c>
      <c r="C75" s="111" t="s">
        <v>190</v>
      </c>
      <c r="D75" s="153" t="s">
        <v>911</v>
      </c>
      <c r="E75" s="113">
        <v>0.5</v>
      </c>
      <c r="F75" s="111"/>
      <c r="G75" s="111" t="s">
        <v>744</v>
      </c>
      <c r="H75" s="111" t="s">
        <v>744</v>
      </c>
      <c r="I75" s="111" t="s">
        <v>744</v>
      </c>
      <c r="J75" s="730">
        <f>SUM(AN75:AO80)</f>
        <v>2</v>
      </c>
      <c r="K75" s="115">
        <f>IFERROR(IF(D75="","",SUMIF('EXPERIENCIA '!$D$3:$D$672,D75,'EXPERIENCIA '!$AF$3:$AF$672)),"")</f>
        <v>63801.89</v>
      </c>
      <c r="L75" s="111" t="str">
        <f>IF(K75="","",IF(K75=0,0,IF(K75&gt;=PARÁMETROS!$O$5,"CUMPLE","NO CUMPLE")))</f>
        <v>CUMPLE</v>
      </c>
      <c r="M75" s="158" t="str">
        <f t="shared" si="6"/>
        <v>CUMPLE</v>
      </c>
      <c r="N75" s="107"/>
      <c r="O75" s="161" t="str">
        <f t="shared" si="7"/>
        <v>CUMPLE</v>
      </c>
      <c r="P75" s="121" t="str">
        <f t="shared" si="8"/>
        <v>CUMPLE</v>
      </c>
      <c r="Q75" s="782">
        <v>1</v>
      </c>
      <c r="R75" s="784"/>
      <c r="AN75" s="574">
        <f>IF(COUNTIF(H75:H80,"ACREDITA")&gt;0,1,0)</f>
        <v>1</v>
      </c>
      <c r="AO75" s="574">
        <f>IF(COUNTIF(I75:I80,"ACREDITA")&gt;0,1,0)</f>
        <v>1</v>
      </c>
    </row>
    <row r="76" spans="1:41" ht="23.5" customHeight="1">
      <c r="A76" s="801"/>
      <c r="B76" s="803"/>
      <c r="C76" s="125" t="s">
        <v>212</v>
      </c>
      <c r="D76" s="155" t="s">
        <v>912</v>
      </c>
      <c r="E76" s="68">
        <v>0.5</v>
      </c>
      <c r="F76" s="125"/>
      <c r="G76" s="125" t="s">
        <v>757</v>
      </c>
      <c r="H76" s="125" t="s">
        <v>757</v>
      </c>
      <c r="I76" s="125" t="s">
        <v>757</v>
      </c>
      <c r="J76" s="803"/>
      <c r="K76" s="117">
        <f>IFERROR(IF(D76="","",SUMIF('EXPERIENCIA '!$D$3:$D$672,D76,'EXPERIENCIA '!$AF$3:$AF$672)),"")</f>
        <v>4940.93</v>
      </c>
      <c r="L76" s="125" t="str">
        <f>IF(K76="","",IF(K76=0,0,IF(K76&gt;=PARÁMETROS!$O$5,"CUMPLE","NO CUMPLE")))</f>
        <v>NO CUMPLE</v>
      </c>
      <c r="M76" s="159" t="str">
        <f t="shared" si="6"/>
        <v/>
      </c>
      <c r="N76" s="107"/>
      <c r="O76" s="154" t="str">
        <f t="shared" si="7"/>
        <v>NO CUMPLE</v>
      </c>
      <c r="P76" s="125" t="str">
        <f t="shared" si="8"/>
        <v/>
      </c>
      <c r="Q76" s="782"/>
      <c r="R76" s="784"/>
      <c r="AN76" s="781"/>
      <c r="AO76" s="781"/>
    </row>
    <row r="77" spans="1:41" ht="2" customHeight="1">
      <c r="A77" s="801"/>
      <c r="B77" s="803"/>
      <c r="C77" s="125" t="s">
        <v>274</v>
      </c>
      <c r="D77" s="155"/>
      <c r="E77" s="68"/>
      <c r="F77" s="125"/>
      <c r="G77" s="125"/>
      <c r="H77" s="125"/>
      <c r="I77" s="125"/>
      <c r="J77" s="803"/>
      <c r="K77" s="117" t="str">
        <f>IFERROR(IF(D77="","",SUMIF('EXPERIENCIA '!$D$3:$D$672,D77,'EXPERIENCIA '!$AF$3:$AF$672)),"")</f>
        <v/>
      </c>
      <c r="L77" s="125" t="str">
        <f>IF(K77="","",IF(K77=0,0,IF(K77&gt;=PARÁMETROS!$O$5,"CUMPLE","NO CUMPLE")))</f>
        <v/>
      </c>
      <c r="M77" s="159" t="str">
        <f t="shared" si="6"/>
        <v/>
      </c>
      <c r="N77" s="107"/>
      <c r="O77" s="154" t="str">
        <f t="shared" si="7"/>
        <v>N/A</v>
      </c>
      <c r="P77" s="125" t="str">
        <f t="shared" si="8"/>
        <v>NO CUMPLE</v>
      </c>
      <c r="Q77" s="782"/>
      <c r="R77" s="784"/>
      <c r="AN77" s="781"/>
      <c r="AO77" s="781"/>
    </row>
    <row r="78" spans="1:41" ht="2" customHeight="1">
      <c r="A78" s="801"/>
      <c r="B78" s="803"/>
      <c r="C78" s="125" t="s">
        <v>275</v>
      </c>
      <c r="D78" s="155"/>
      <c r="E78" s="68"/>
      <c r="F78" s="125"/>
      <c r="G78" s="125"/>
      <c r="H78" s="125"/>
      <c r="I78" s="125"/>
      <c r="J78" s="803"/>
      <c r="K78" s="117" t="str">
        <f>IFERROR(IF(D78="","",SUMIF('EXPERIENCIA '!$D$3:$D$672,D78,'EXPERIENCIA '!$AF$3:$AF$672)),"")</f>
        <v/>
      </c>
      <c r="L78" s="125" t="str">
        <f>IF(K78="","",IF(K78=0,0,IF(K78&gt;=PARÁMETROS!$O$5,"CUMPLE","NO CUMPLE")))</f>
        <v/>
      </c>
      <c r="M78" s="159" t="str">
        <f t="shared" si="6"/>
        <v/>
      </c>
      <c r="N78" s="107"/>
      <c r="O78" s="154" t="str">
        <f t="shared" si="7"/>
        <v>N/A</v>
      </c>
      <c r="P78" s="125" t="str">
        <f t="shared" si="8"/>
        <v>NO CUMPLE</v>
      </c>
      <c r="Q78" s="782"/>
      <c r="R78" s="784"/>
      <c r="AN78" s="781"/>
      <c r="AO78" s="781"/>
    </row>
    <row r="79" spans="1:41" ht="2" customHeight="1">
      <c r="A79" s="801"/>
      <c r="B79" s="803"/>
      <c r="C79" s="125" t="s">
        <v>276</v>
      </c>
      <c r="D79" s="155"/>
      <c r="E79" s="68"/>
      <c r="F79" s="125"/>
      <c r="G79" s="125"/>
      <c r="H79" s="125"/>
      <c r="I79" s="125"/>
      <c r="J79" s="803"/>
      <c r="K79" s="117" t="str">
        <f>IFERROR(IF(D79="","",SUMIF('EXPERIENCIA '!$D$3:$D$672,D79,'EXPERIENCIA '!$AF$3:$AF$672)),"")</f>
        <v/>
      </c>
      <c r="L79" s="125" t="str">
        <f>IF(K79="","",IF(K79=0,0,IF(K79&gt;=PARÁMETROS!$O$5,"CUMPLE","NO CUMPLE")))</f>
        <v/>
      </c>
      <c r="M79" s="159" t="str">
        <f t="shared" si="6"/>
        <v/>
      </c>
      <c r="N79" s="107"/>
      <c r="O79" s="154" t="str">
        <f t="shared" si="7"/>
        <v>N/A</v>
      </c>
      <c r="P79" s="125" t="str">
        <f t="shared" si="8"/>
        <v>NO CUMPLE</v>
      </c>
      <c r="Q79" s="782"/>
      <c r="R79" s="784"/>
      <c r="AN79" s="781"/>
      <c r="AO79" s="781"/>
    </row>
    <row r="80" spans="1:41" ht="2" customHeight="1" thickBot="1">
      <c r="A80" s="802"/>
      <c r="B80" s="804"/>
      <c r="C80" s="133" t="s">
        <v>277</v>
      </c>
      <c r="D80" s="157"/>
      <c r="E80" s="104"/>
      <c r="F80" s="133"/>
      <c r="G80" s="133"/>
      <c r="H80" s="133"/>
      <c r="I80" s="133"/>
      <c r="J80" s="804"/>
      <c r="K80" s="136" t="str">
        <f>IFERROR(IF(D80="","",SUMIF('EXPERIENCIA '!$D$3:$D$672,D80,'EXPERIENCIA '!$AF$3:$AF$672)),"")</f>
        <v/>
      </c>
      <c r="L80" s="133" t="str">
        <f>IF(K80="","",IF(K80=0,0,IF(K80&gt;=PARÁMETROS!$O$5,"CUMPLE","NO CUMPLE")))</f>
        <v/>
      </c>
      <c r="M80" s="160" t="str">
        <f t="shared" si="6"/>
        <v/>
      </c>
      <c r="N80" s="107"/>
      <c r="O80" s="156" t="str">
        <f t="shared" si="7"/>
        <v>N/A</v>
      </c>
      <c r="P80" s="133" t="str">
        <f t="shared" si="8"/>
        <v>NO CUMPLE</v>
      </c>
      <c r="Q80" s="783"/>
      <c r="R80" s="785"/>
      <c r="AN80" s="575"/>
      <c r="AO80" s="575"/>
    </row>
    <row r="81" spans="1:41" ht="23.5" customHeight="1">
      <c r="A81" s="800" t="s">
        <v>135</v>
      </c>
      <c r="B81" s="730" t="s">
        <v>913</v>
      </c>
      <c r="C81" s="111" t="s">
        <v>191</v>
      </c>
      <c r="D81" s="153" t="s">
        <v>914</v>
      </c>
      <c r="E81" s="113">
        <v>0.5</v>
      </c>
      <c r="F81" s="111"/>
      <c r="G81" s="111" t="s">
        <v>744</v>
      </c>
      <c r="H81" s="111" t="s">
        <v>757</v>
      </c>
      <c r="I81" s="111" t="s">
        <v>757</v>
      </c>
      <c r="J81" s="730">
        <f>SUM(AN81:AO86)</f>
        <v>2</v>
      </c>
      <c r="K81" s="115">
        <f>IFERROR(IF(D81="","",SUMIF('EXPERIENCIA '!$D$3:$D$672,D81,'EXPERIENCIA '!$AF$3:$AF$672)),"")</f>
        <v>40340.375999999997</v>
      </c>
      <c r="L81" s="111" t="str">
        <f>IF(K81="","",IF(K81=0,0,IF(K81&gt;=PARÁMETROS!$O$5,"CUMPLE","NO CUMPLE")))</f>
        <v>CUMPLE</v>
      </c>
      <c r="M81" s="158" t="str">
        <f t="shared" si="6"/>
        <v>CUMPLE</v>
      </c>
      <c r="N81" s="107"/>
      <c r="O81" s="161" t="str">
        <f t="shared" si="7"/>
        <v>CUMPLE</v>
      </c>
      <c r="P81" s="121" t="str">
        <f t="shared" si="8"/>
        <v>CUMPLE</v>
      </c>
      <c r="Q81" s="782">
        <v>1</v>
      </c>
      <c r="R81" s="784"/>
      <c r="AN81" s="574">
        <f>IF(COUNTIF(H81:H86,"ACREDITA")&gt;0,1,0)</f>
        <v>1</v>
      </c>
      <c r="AO81" s="574">
        <f>IF(COUNTIF(I81:I86,"ACREDITA")&gt;0,1,0)</f>
        <v>1</v>
      </c>
    </row>
    <row r="82" spans="1:41" ht="23.5" customHeight="1">
      <c r="A82" s="801"/>
      <c r="B82" s="803"/>
      <c r="C82" s="125" t="s">
        <v>278</v>
      </c>
      <c r="D82" s="155" t="s">
        <v>915</v>
      </c>
      <c r="E82" s="68">
        <v>0.3</v>
      </c>
      <c r="F82" s="125"/>
      <c r="G82" s="125" t="s">
        <v>757</v>
      </c>
      <c r="H82" s="125" t="s">
        <v>757</v>
      </c>
      <c r="I82" s="125" t="s">
        <v>744</v>
      </c>
      <c r="J82" s="803"/>
      <c r="K82" s="117">
        <f>IFERROR(IF(D82="","",SUMIF('EXPERIENCIA '!$D$3:$D$672,D82,'EXPERIENCIA '!$AF$3:$AF$672)),"")</f>
        <v>38768.311999999998</v>
      </c>
      <c r="L82" s="125" t="str">
        <f>IF(K82="","",IF(K82=0,0,IF(K82&gt;=PARÁMETROS!$O$5,"CUMPLE","NO CUMPLE")))</f>
        <v>CUMPLE</v>
      </c>
      <c r="M82" s="159" t="str">
        <f t="shared" si="6"/>
        <v/>
      </c>
      <c r="N82" s="107"/>
      <c r="O82" s="154" t="str">
        <f t="shared" si="7"/>
        <v>CUMPLE</v>
      </c>
      <c r="P82" s="125" t="str">
        <f t="shared" si="8"/>
        <v/>
      </c>
      <c r="Q82" s="782"/>
      <c r="R82" s="784"/>
      <c r="AN82" s="781"/>
      <c r="AO82" s="781"/>
    </row>
    <row r="83" spans="1:41" ht="23.5" customHeight="1">
      <c r="A83" s="801"/>
      <c r="B83" s="803"/>
      <c r="C83" s="125" t="s">
        <v>279</v>
      </c>
      <c r="D83" s="155" t="s">
        <v>916</v>
      </c>
      <c r="E83" s="68">
        <v>0.2</v>
      </c>
      <c r="F83" s="125"/>
      <c r="G83" s="125" t="s">
        <v>757</v>
      </c>
      <c r="H83" s="125" t="s">
        <v>744</v>
      </c>
      <c r="I83" s="125" t="s">
        <v>757</v>
      </c>
      <c r="J83" s="803"/>
      <c r="K83" s="117">
        <f>IFERROR(IF(D83="","",SUMIF('EXPERIENCIA '!$D$3:$D$672,D83,'EXPERIENCIA '!$AF$3:$AF$672)),"")</f>
        <v>24499.07</v>
      </c>
      <c r="L83" s="125" t="str">
        <f>IF(K83="","",IF(K83=0,0,IF(K83&gt;=PARÁMETROS!$O$5,"CUMPLE","NO CUMPLE")))</f>
        <v>CUMPLE</v>
      </c>
      <c r="M83" s="159" t="str">
        <f t="shared" si="6"/>
        <v/>
      </c>
      <c r="N83" s="107"/>
      <c r="O83" s="154" t="str">
        <f t="shared" si="7"/>
        <v>CUMPLE</v>
      </c>
      <c r="P83" s="125" t="str">
        <f t="shared" si="8"/>
        <v/>
      </c>
      <c r="Q83" s="782"/>
      <c r="R83" s="784"/>
      <c r="AN83" s="781"/>
      <c r="AO83" s="781"/>
    </row>
    <row r="84" spans="1:41" ht="2" customHeight="1">
      <c r="A84" s="801"/>
      <c r="B84" s="803"/>
      <c r="C84" s="125" t="s">
        <v>280</v>
      </c>
      <c r="D84" s="155"/>
      <c r="E84" s="68"/>
      <c r="F84" s="125"/>
      <c r="G84" s="125"/>
      <c r="H84" s="125"/>
      <c r="I84" s="125"/>
      <c r="J84" s="803"/>
      <c r="K84" s="117" t="str">
        <f>IFERROR(IF(D84="","",SUMIF('EXPERIENCIA '!$D$3:$D$672,D84,'EXPERIENCIA '!$AF$3:$AF$672)),"")</f>
        <v/>
      </c>
      <c r="L84" s="125" t="str">
        <f>IF(K84="","",IF(K84=0,0,IF(K84&gt;=PARÁMETROS!$O$5,"CUMPLE","NO CUMPLE")))</f>
        <v/>
      </c>
      <c r="M84" s="159" t="str">
        <f t="shared" si="6"/>
        <v/>
      </c>
      <c r="N84" s="107"/>
      <c r="O84" s="154" t="str">
        <f t="shared" si="7"/>
        <v>N/A</v>
      </c>
      <c r="P84" s="125" t="str">
        <f t="shared" si="8"/>
        <v>NO CUMPLE</v>
      </c>
      <c r="Q84" s="782"/>
      <c r="R84" s="784"/>
      <c r="AN84" s="781"/>
      <c r="AO84" s="781"/>
    </row>
    <row r="85" spans="1:41" ht="2" customHeight="1">
      <c r="A85" s="801"/>
      <c r="B85" s="803"/>
      <c r="C85" s="125" t="s">
        <v>281</v>
      </c>
      <c r="D85" s="155"/>
      <c r="E85" s="68"/>
      <c r="F85" s="125"/>
      <c r="G85" s="125"/>
      <c r="H85" s="125"/>
      <c r="I85" s="125"/>
      <c r="J85" s="803"/>
      <c r="K85" s="117" t="str">
        <f>IFERROR(IF(D85="","",SUMIF('EXPERIENCIA '!$D$3:$D$672,D85,'EXPERIENCIA '!$AF$3:$AF$672)),"")</f>
        <v/>
      </c>
      <c r="L85" s="125" t="str">
        <f>IF(K85="","",IF(K85=0,0,IF(K85&gt;=PARÁMETROS!$O$5,"CUMPLE","NO CUMPLE")))</f>
        <v/>
      </c>
      <c r="M85" s="159" t="str">
        <f t="shared" si="6"/>
        <v/>
      </c>
      <c r="N85" s="107"/>
      <c r="O85" s="154" t="str">
        <f t="shared" si="7"/>
        <v>N/A</v>
      </c>
      <c r="P85" s="125" t="str">
        <f t="shared" si="8"/>
        <v>NO CUMPLE</v>
      </c>
      <c r="Q85" s="782"/>
      <c r="R85" s="784"/>
      <c r="AN85" s="781"/>
      <c r="AO85" s="781"/>
    </row>
    <row r="86" spans="1:41" ht="2" customHeight="1" thickBot="1">
      <c r="A86" s="802"/>
      <c r="B86" s="804"/>
      <c r="C86" s="133" t="s">
        <v>282</v>
      </c>
      <c r="D86" s="157"/>
      <c r="E86" s="104"/>
      <c r="F86" s="133"/>
      <c r="G86" s="133"/>
      <c r="H86" s="133"/>
      <c r="I86" s="133"/>
      <c r="J86" s="804"/>
      <c r="K86" s="136" t="str">
        <f>IFERROR(IF(D86="","",SUMIF('EXPERIENCIA '!$D$3:$D$672,D86,'EXPERIENCIA '!$AF$3:$AF$672)),"")</f>
        <v/>
      </c>
      <c r="L86" s="133" t="str">
        <f>IF(K86="","",IF(K86=0,0,IF(K86&gt;=PARÁMETROS!$O$5,"CUMPLE","NO CUMPLE")))</f>
        <v/>
      </c>
      <c r="M86" s="160" t="str">
        <f t="shared" si="6"/>
        <v/>
      </c>
      <c r="N86" s="107"/>
      <c r="O86" s="156" t="str">
        <f t="shared" si="7"/>
        <v>N/A</v>
      </c>
      <c r="P86" s="133" t="str">
        <f t="shared" si="8"/>
        <v>NO CUMPLE</v>
      </c>
      <c r="Q86" s="783"/>
      <c r="R86" s="785"/>
      <c r="AN86" s="575"/>
      <c r="AO86" s="575"/>
    </row>
    <row r="87" spans="1:41" ht="23.5" customHeight="1">
      <c r="A87" s="800" t="s">
        <v>136</v>
      </c>
      <c r="B87" s="730" t="s">
        <v>917</v>
      </c>
      <c r="C87" s="111" t="s">
        <v>192</v>
      </c>
      <c r="D87" s="153" t="s">
        <v>918</v>
      </c>
      <c r="E87" s="113">
        <v>0.5</v>
      </c>
      <c r="F87" s="111"/>
      <c r="G87" s="111" t="s">
        <v>744</v>
      </c>
      <c r="H87" s="111" t="s">
        <v>744</v>
      </c>
      <c r="I87" s="111" t="s">
        <v>744</v>
      </c>
      <c r="J87" s="730">
        <f>SUM(AN87:AO92)</f>
        <v>2</v>
      </c>
      <c r="K87" s="115">
        <f>IFERROR(IF(D87="","",SUMIF('EXPERIENCIA '!$D$3:$D$672,D87,'EXPERIENCIA '!$AF$3:$AF$672)),"")</f>
        <v>44883.5625</v>
      </c>
      <c r="L87" s="111" t="str">
        <f>IF(K87="","",IF(K87=0,0,IF(K87&gt;=PARÁMETROS!$O$5,"CUMPLE","NO CUMPLE")))</f>
        <v>CUMPLE</v>
      </c>
      <c r="M87" s="158" t="str">
        <f t="shared" ref="M87:M92" si="9">+IF(G87="ACREDITA",IF(L87="CUMPLE","CUMPLE","NO CUMPLE"),"")</f>
        <v>CUMPLE</v>
      </c>
      <c r="N87" s="107"/>
      <c r="O87" s="161" t="str">
        <f t="shared" ref="O87:O92" si="10">IFERROR(IF(OR(G87="",G87="N/A",G87="NO APLICA"),"N/A",IFERROR(IF(K87=0,"",IF(K87&gt;=PDMI,"CUMPLE","NO CUMPLE")),"")),"")</f>
        <v>CUMPLE</v>
      </c>
      <c r="P87" s="121" t="str">
        <f t="shared" ref="P87:P92" si="11">IFERROR(IF(O87="N/A","NO CUMPLE",IFERROR(IF(G87="ACREDITA",IF(O87="CUMPLE","CUMPLE","NO CUMPLE"),""),"")),"")</f>
        <v>CUMPLE</v>
      </c>
      <c r="Q87" s="782">
        <v>1</v>
      </c>
      <c r="R87" s="784"/>
      <c r="AN87" s="574">
        <f>IF(COUNTIF(H87:H92,"ACREDITA")&gt;0,1,0)</f>
        <v>1</v>
      </c>
      <c r="AO87" s="574">
        <f>IF(COUNTIF(I87:I92,"ACREDITA")&gt;0,1,0)</f>
        <v>1</v>
      </c>
    </row>
    <row r="88" spans="1:41" ht="23.5" customHeight="1">
      <c r="A88" s="801"/>
      <c r="B88" s="803"/>
      <c r="C88" s="125" t="s">
        <v>213</v>
      </c>
      <c r="D88" s="155" t="s">
        <v>919</v>
      </c>
      <c r="E88" s="68">
        <v>0.5</v>
      </c>
      <c r="F88" s="125"/>
      <c r="G88" s="125" t="s">
        <v>744</v>
      </c>
      <c r="H88" s="125" t="s">
        <v>757</v>
      </c>
      <c r="I88" s="125" t="s">
        <v>744</v>
      </c>
      <c r="J88" s="803"/>
      <c r="K88" s="117">
        <f>IFERROR(IF(D88="","",SUMIF('EXPERIENCIA '!$D$3:$D$672,D88,'EXPERIENCIA '!$AF$3:$AF$672)),"")</f>
        <v>44267.574999999997</v>
      </c>
      <c r="L88" s="125" t="str">
        <f>IF(K88="","",IF(K88=0,0,IF(K88&gt;=PARÁMETROS!$O$5,"CUMPLE","NO CUMPLE")))</f>
        <v>CUMPLE</v>
      </c>
      <c r="M88" s="159" t="str">
        <f t="shared" si="9"/>
        <v>CUMPLE</v>
      </c>
      <c r="N88" s="107"/>
      <c r="O88" s="154" t="str">
        <f t="shared" si="10"/>
        <v>CUMPLE</v>
      </c>
      <c r="P88" s="125" t="str">
        <f t="shared" si="11"/>
        <v>CUMPLE</v>
      </c>
      <c r="Q88" s="782"/>
      <c r="R88" s="784"/>
      <c r="AN88" s="781"/>
      <c r="AO88" s="781"/>
    </row>
    <row r="89" spans="1:41" ht="2" customHeight="1">
      <c r="A89" s="801"/>
      <c r="B89" s="803"/>
      <c r="C89" s="125" t="s">
        <v>214</v>
      </c>
      <c r="D89" s="155"/>
      <c r="E89" s="68"/>
      <c r="F89" s="125"/>
      <c r="G89" s="125"/>
      <c r="H89" s="125"/>
      <c r="I89" s="125"/>
      <c r="J89" s="803"/>
      <c r="K89" s="117" t="str">
        <f>IFERROR(IF(D89="","",SUMIF('EXPERIENCIA '!$D$3:$D$672,D89,'EXPERIENCIA '!$AF$3:$AF$672)),"")</f>
        <v/>
      </c>
      <c r="L89" s="125" t="str">
        <f>IF(K89="","",IF(K89=0,0,IF(K89&gt;=PARÁMETROS!$O$5,"CUMPLE","NO CUMPLE")))</f>
        <v/>
      </c>
      <c r="M89" s="159" t="str">
        <f t="shared" si="9"/>
        <v/>
      </c>
      <c r="N89" s="107"/>
      <c r="O89" s="154" t="str">
        <f t="shared" si="10"/>
        <v>N/A</v>
      </c>
      <c r="P89" s="125" t="str">
        <f t="shared" si="11"/>
        <v>NO CUMPLE</v>
      </c>
      <c r="Q89" s="782"/>
      <c r="R89" s="784"/>
      <c r="AN89" s="781"/>
      <c r="AO89" s="781"/>
    </row>
    <row r="90" spans="1:41" ht="2" customHeight="1">
      <c r="A90" s="801"/>
      <c r="B90" s="803"/>
      <c r="C90" s="125" t="s">
        <v>258</v>
      </c>
      <c r="D90" s="155"/>
      <c r="E90" s="68"/>
      <c r="F90" s="125"/>
      <c r="G90" s="125"/>
      <c r="H90" s="125"/>
      <c r="I90" s="125"/>
      <c r="J90" s="803"/>
      <c r="K90" s="117" t="str">
        <f>IFERROR(IF(D90="","",SUMIF('EXPERIENCIA '!$D$3:$D$672,D90,'EXPERIENCIA '!$AF$3:$AF$672)),"")</f>
        <v/>
      </c>
      <c r="L90" s="125" t="str">
        <f>IF(K90="","",IF(K90=0,0,IF(K90&gt;=PARÁMETROS!$O$5,"CUMPLE","NO CUMPLE")))</f>
        <v/>
      </c>
      <c r="M90" s="159" t="str">
        <f t="shared" si="9"/>
        <v/>
      </c>
      <c r="N90" s="107"/>
      <c r="O90" s="154" t="str">
        <f t="shared" si="10"/>
        <v>N/A</v>
      </c>
      <c r="P90" s="125" t="str">
        <f t="shared" si="11"/>
        <v>NO CUMPLE</v>
      </c>
      <c r="Q90" s="782"/>
      <c r="R90" s="784"/>
      <c r="AN90" s="781"/>
      <c r="AO90" s="781"/>
    </row>
    <row r="91" spans="1:41" ht="2" customHeight="1">
      <c r="A91" s="801"/>
      <c r="B91" s="803"/>
      <c r="C91" s="125" t="s">
        <v>259</v>
      </c>
      <c r="D91" s="155"/>
      <c r="E91" s="68"/>
      <c r="F91" s="125"/>
      <c r="G91" s="125"/>
      <c r="H91" s="125"/>
      <c r="I91" s="125"/>
      <c r="J91" s="803"/>
      <c r="K91" s="117" t="str">
        <f>IFERROR(IF(D91="","",SUMIF('EXPERIENCIA '!$D$3:$D$672,D91,'EXPERIENCIA '!$AF$3:$AF$672)),"")</f>
        <v/>
      </c>
      <c r="L91" s="125" t="str">
        <f>IF(K91="","",IF(K91=0,0,IF(K91&gt;=PARÁMETROS!$O$5,"CUMPLE","NO CUMPLE")))</f>
        <v/>
      </c>
      <c r="M91" s="159" t="str">
        <f t="shared" si="9"/>
        <v/>
      </c>
      <c r="N91" s="107"/>
      <c r="O91" s="154" t="str">
        <f t="shared" si="10"/>
        <v>N/A</v>
      </c>
      <c r="P91" s="125" t="str">
        <f t="shared" si="11"/>
        <v>NO CUMPLE</v>
      </c>
      <c r="Q91" s="782"/>
      <c r="R91" s="784"/>
      <c r="AN91" s="781"/>
      <c r="AO91" s="781"/>
    </row>
    <row r="92" spans="1:41" ht="2" customHeight="1" thickBot="1">
      <c r="A92" s="802"/>
      <c r="B92" s="804"/>
      <c r="C92" s="133" t="s">
        <v>260</v>
      </c>
      <c r="D92" s="157"/>
      <c r="E92" s="104"/>
      <c r="F92" s="133"/>
      <c r="G92" s="133"/>
      <c r="H92" s="133"/>
      <c r="I92" s="133"/>
      <c r="J92" s="804"/>
      <c r="K92" s="136" t="str">
        <f>IFERROR(IF(D92="","",SUMIF('EXPERIENCIA '!$D$3:$D$672,D92,'EXPERIENCIA '!$AF$3:$AF$672)),"")</f>
        <v/>
      </c>
      <c r="L92" s="133" t="str">
        <f>IF(K92="","",IF(K92=0,0,IF(K92&gt;=PARÁMETROS!$O$5,"CUMPLE","NO CUMPLE")))</f>
        <v/>
      </c>
      <c r="M92" s="160" t="str">
        <f t="shared" si="9"/>
        <v/>
      </c>
      <c r="N92" s="107"/>
      <c r="O92" s="156" t="str">
        <f t="shared" si="10"/>
        <v>N/A</v>
      </c>
      <c r="P92" s="133" t="str">
        <f t="shared" si="11"/>
        <v>NO CUMPLE</v>
      </c>
      <c r="Q92" s="783"/>
      <c r="R92" s="785"/>
      <c r="AN92" s="575"/>
      <c r="AO92" s="575"/>
    </row>
    <row r="93" spans="1:41" ht="23.5" customHeight="1">
      <c r="A93" s="800" t="s">
        <v>137</v>
      </c>
      <c r="B93" s="730" t="s">
        <v>920</v>
      </c>
      <c r="C93" s="111" t="s">
        <v>318</v>
      </c>
      <c r="D93" s="153" t="s">
        <v>921</v>
      </c>
      <c r="E93" s="113">
        <v>0.6</v>
      </c>
      <c r="F93" s="111"/>
      <c r="G93" s="111" t="s">
        <v>744</v>
      </c>
      <c r="H93" s="111" t="s">
        <v>744</v>
      </c>
      <c r="I93" s="111" t="s">
        <v>744</v>
      </c>
      <c r="J93" s="730">
        <f>SUM(AN93:AO98)</f>
        <v>2</v>
      </c>
      <c r="K93" s="115">
        <f>IFERROR(IF(D93="","",SUMIF('EXPERIENCIA '!$D$3:$D$672,D93,'EXPERIENCIA '!$AF$3:$AF$672)),"")</f>
        <v>6722.4230000000007</v>
      </c>
      <c r="L93" s="111" t="str">
        <f>IF(K93="","",IF(K93=0,0,IF(K93&gt;=PARÁMETROS!$O$5,"CUMPLE","NO CUMPLE")))</f>
        <v>NO CUMPLE</v>
      </c>
      <c r="M93" s="158" t="str">
        <f t="shared" ref="M93:M140" si="12">+IF(G93="ACREDITA",IF(L93="CUMPLE","CUMPLE","NO CUMPLE"),"")</f>
        <v>NO CUMPLE</v>
      </c>
      <c r="N93" s="107"/>
      <c r="O93" s="161" t="str">
        <f t="shared" ref="O93:O140" si="13">IFERROR(IF(OR(G93="",G93="N/A",G93="NO APLICA"),"N/A",IFERROR(IF(K93=0,"",IF(K93&gt;=PDMI,"CUMPLE","NO CUMPLE")),"")),"")</f>
        <v>NO CUMPLE</v>
      </c>
      <c r="P93" s="121" t="str">
        <f t="shared" ref="P93:P140" si="14">IFERROR(IF(O93="N/A","NO CUMPLE",IFERROR(IF(G93="ACREDITA",IF(O93="CUMPLE","CUMPLE","NO CUMPLE"),""),"")),"")</f>
        <v>NO CUMPLE</v>
      </c>
      <c r="Q93" s="782">
        <v>1</v>
      </c>
      <c r="R93" s="784"/>
      <c r="AN93" s="574">
        <f>IF(COUNTIF(H93:H98,"ACREDITA")&gt;0,1,0)</f>
        <v>1</v>
      </c>
      <c r="AO93" s="574">
        <f>IF(COUNTIF(I93:I98,"ACREDITA")&gt;0,1,0)</f>
        <v>1</v>
      </c>
    </row>
    <row r="94" spans="1:41" ht="23.5" customHeight="1">
      <c r="A94" s="801"/>
      <c r="B94" s="803"/>
      <c r="C94" s="125" t="s">
        <v>319</v>
      </c>
      <c r="D94" s="155" t="s">
        <v>922</v>
      </c>
      <c r="E94" s="68">
        <v>0.4</v>
      </c>
      <c r="F94" s="125"/>
      <c r="G94" s="125" t="s">
        <v>744</v>
      </c>
      <c r="H94" s="125" t="s">
        <v>744</v>
      </c>
      <c r="I94" s="125" t="s">
        <v>744</v>
      </c>
      <c r="J94" s="803"/>
      <c r="K94" s="117">
        <f>IFERROR(IF(D94="","",SUMIF('EXPERIENCIA '!$D$3:$D$672,D94,'EXPERIENCIA '!$AF$3:$AF$672)),"")</f>
        <v>44962.17</v>
      </c>
      <c r="L94" s="125" t="str">
        <f>IF(K94="","",IF(K94=0,0,IF(K94&gt;=PARÁMETROS!$O$5,"CUMPLE","NO CUMPLE")))</f>
        <v>CUMPLE</v>
      </c>
      <c r="M94" s="159" t="str">
        <f t="shared" si="12"/>
        <v>CUMPLE</v>
      </c>
      <c r="N94" s="107"/>
      <c r="O94" s="154" t="str">
        <f t="shared" si="13"/>
        <v>CUMPLE</v>
      </c>
      <c r="P94" s="125" t="str">
        <f t="shared" si="14"/>
        <v>CUMPLE</v>
      </c>
      <c r="Q94" s="782"/>
      <c r="R94" s="784"/>
      <c r="AN94" s="781"/>
      <c r="AO94" s="781"/>
    </row>
    <row r="95" spans="1:41" ht="2" customHeight="1">
      <c r="A95" s="801"/>
      <c r="B95" s="803"/>
      <c r="C95" s="125" t="s">
        <v>320</v>
      </c>
      <c r="D95" s="155"/>
      <c r="E95" s="68"/>
      <c r="F95" s="125"/>
      <c r="G95" s="125"/>
      <c r="H95" s="125"/>
      <c r="I95" s="125"/>
      <c r="J95" s="803"/>
      <c r="K95" s="117" t="str">
        <f>IFERROR(IF(D95="","",SUMIF('EXPERIENCIA '!$D$3:$D$672,D95,'EXPERIENCIA '!$AF$3:$AF$672)),"")</f>
        <v/>
      </c>
      <c r="L95" s="125" t="str">
        <f>IF(K95="","",IF(K95=0,0,IF(K95&gt;=PARÁMETROS!$O$5,"CUMPLE","NO CUMPLE")))</f>
        <v/>
      </c>
      <c r="M95" s="159" t="str">
        <f t="shared" si="12"/>
        <v/>
      </c>
      <c r="N95" s="107"/>
      <c r="O95" s="154" t="str">
        <f t="shared" si="13"/>
        <v>N/A</v>
      </c>
      <c r="P95" s="125" t="str">
        <f t="shared" si="14"/>
        <v>NO CUMPLE</v>
      </c>
      <c r="Q95" s="782"/>
      <c r="R95" s="784"/>
      <c r="AN95" s="781"/>
      <c r="AO95" s="781"/>
    </row>
    <row r="96" spans="1:41" ht="2" customHeight="1">
      <c r="A96" s="801"/>
      <c r="B96" s="803"/>
      <c r="C96" s="125" t="s">
        <v>321</v>
      </c>
      <c r="D96" s="155"/>
      <c r="E96" s="68"/>
      <c r="F96" s="125"/>
      <c r="G96" s="125"/>
      <c r="H96" s="125"/>
      <c r="I96" s="125"/>
      <c r="J96" s="803"/>
      <c r="K96" s="117" t="str">
        <f>IFERROR(IF(D96="","",SUMIF('EXPERIENCIA '!$D$3:$D$672,D96,'EXPERIENCIA '!$AF$3:$AF$672)),"")</f>
        <v/>
      </c>
      <c r="L96" s="125" t="str">
        <f>IF(K96="","",IF(K96=0,0,IF(K96&gt;=PARÁMETROS!$O$5,"CUMPLE","NO CUMPLE")))</f>
        <v/>
      </c>
      <c r="M96" s="159" t="str">
        <f t="shared" si="12"/>
        <v/>
      </c>
      <c r="N96" s="107"/>
      <c r="O96" s="154" t="str">
        <f t="shared" si="13"/>
        <v>N/A</v>
      </c>
      <c r="P96" s="125" t="str">
        <f t="shared" si="14"/>
        <v>NO CUMPLE</v>
      </c>
      <c r="Q96" s="782"/>
      <c r="R96" s="784"/>
      <c r="AN96" s="781"/>
      <c r="AO96" s="781"/>
    </row>
    <row r="97" spans="1:41" ht="2" customHeight="1">
      <c r="A97" s="801"/>
      <c r="B97" s="803"/>
      <c r="C97" s="125" t="s">
        <v>322</v>
      </c>
      <c r="D97" s="155"/>
      <c r="E97" s="68"/>
      <c r="F97" s="125"/>
      <c r="G97" s="125"/>
      <c r="H97" s="125"/>
      <c r="I97" s="125"/>
      <c r="J97" s="803"/>
      <c r="K97" s="117" t="str">
        <f>IFERROR(IF(D97="","",SUMIF('EXPERIENCIA '!$D$3:$D$672,D97,'EXPERIENCIA '!$AF$3:$AF$672)),"")</f>
        <v/>
      </c>
      <c r="L97" s="125" t="str">
        <f>IF(K97="","",IF(K97=0,0,IF(K97&gt;=PARÁMETROS!$O$5,"CUMPLE","NO CUMPLE")))</f>
        <v/>
      </c>
      <c r="M97" s="159" t="str">
        <f t="shared" si="12"/>
        <v/>
      </c>
      <c r="N97" s="107"/>
      <c r="O97" s="154" t="str">
        <f t="shared" si="13"/>
        <v>N/A</v>
      </c>
      <c r="P97" s="125" t="str">
        <f t="shared" si="14"/>
        <v>NO CUMPLE</v>
      </c>
      <c r="Q97" s="782"/>
      <c r="R97" s="784"/>
      <c r="AN97" s="781"/>
      <c r="AO97" s="781"/>
    </row>
    <row r="98" spans="1:41" ht="2" customHeight="1" thickBot="1">
      <c r="A98" s="802"/>
      <c r="B98" s="804"/>
      <c r="C98" s="133" t="s">
        <v>323</v>
      </c>
      <c r="D98" s="157"/>
      <c r="E98" s="104"/>
      <c r="F98" s="133"/>
      <c r="G98" s="133"/>
      <c r="H98" s="133"/>
      <c r="I98" s="133"/>
      <c r="J98" s="804"/>
      <c r="K98" s="136" t="str">
        <f>IFERROR(IF(D98="","",SUMIF('EXPERIENCIA '!$D$3:$D$672,D98,'EXPERIENCIA '!$AF$3:$AF$672)),"")</f>
        <v/>
      </c>
      <c r="L98" s="133" t="str">
        <f>IF(K98="","",IF(K98=0,0,IF(K98&gt;=PARÁMETROS!$O$5,"CUMPLE","NO CUMPLE")))</f>
        <v/>
      </c>
      <c r="M98" s="160" t="str">
        <f t="shared" si="12"/>
        <v/>
      </c>
      <c r="N98" s="107"/>
      <c r="O98" s="156" t="str">
        <f t="shared" si="13"/>
        <v>N/A</v>
      </c>
      <c r="P98" s="133" t="str">
        <f t="shared" si="14"/>
        <v>NO CUMPLE</v>
      </c>
      <c r="Q98" s="783"/>
      <c r="R98" s="785"/>
      <c r="AN98" s="575"/>
      <c r="AO98" s="575"/>
    </row>
    <row r="99" spans="1:41" ht="23.5" customHeight="1">
      <c r="A99" s="800" t="s">
        <v>138</v>
      </c>
      <c r="B99" s="730" t="s">
        <v>923</v>
      </c>
      <c r="C99" s="111" t="s">
        <v>324</v>
      </c>
      <c r="D99" s="153" t="s">
        <v>924</v>
      </c>
      <c r="E99" s="113">
        <v>0.6</v>
      </c>
      <c r="F99" s="111"/>
      <c r="G99" s="111" t="s">
        <v>744</v>
      </c>
      <c r="H99" s="111" t="s">
        <v>744</v>
      </c>
      <c r="I99" s="111" t="s">
        <v>757</v>
      </c>
      <c r="J99" s="730">
        <f>SUM(AN99:AO104)</f>
        <v>1</v>
      </c>
      <c r="K99" s="115">
        <f>IFERROR(IF(D99="","",SUMIF('EXPERIENCIA '!$D$3:$D$672,D99,'EXPERIENCIA '!$AF$3:$AF$672)),"")</f>
        <v>47341.389199999998</v>
      </c>
      <c r="L99" s="111" t="str">
        <f>IF(K99="","",IF(K99=0,0,IF(K99&gt;=PARÁMETROS!$O$5,"CUMPLE","NO CUMPLE")))</f>
        <v>CUMPLE</v>
      </c>
      <c r="M99" s="158" t="str">
        <f t="shared" si="12"/>
        <v>CUMPLE</v>
      </c>
      <c r="N99" s="107"/>
      <c r="O99" s="161" t="str">
        <f t="shared" si="13"/>
        <v>CUMPLE</v>
      </c>
      <c r="P99" s="121" t="str">
        <f t="shared" si="14"/>
        <v>CUMPLE</v>
      </c>
      <c r="Q99" s="782">
        <v>1</v>
      </c>
      <c r="R99" s="784"/>
      <c r="AN99" s="574">
        <f>IF(COUNTIF(H99:H104,"ACREDITA")&gt;0,1,0)</f>
        <v>1</v>
      </c>
      <c r="AO99" s="574">
        <f>IF(COUNTIF(I99:I104,"ACREDITA")&gt;0,1,0)</f>
        <v>0</v>
      </c>
    </row>
    <row r="100" spans="1:41" ht="23.5" customHeight="1">
      <c r="A100" s="801"/>
      <c r="B100" s="803"/>
      <c r="C100" s="125" t="s">
        <v>325</v>
      </c>
      <c r="D100" s="155" t="s">
        <v>925</v>
      </c>
      <c r="E100" s="68">
        <v>0.4</v>
      </c>
      <c r="F100" s="125"/>
      <c r="G100" s="125" t="s">
        <v>757</v>
      </c>
      <c r="H100" s="125" t="s">
        <v>744</v>
      </c>
      <c r="I100" s="125" t="s">
        <v>757</v>
      </c>
      <c r="J100" s="803"/>
      <c r="K100" s="117">
        <f>IFERROR(IF(D100="","",SUMIF('EXPERIENCIA '!$D$3:$D$672,D100,'EXPERIENCIA '!$AF$3:$AF$672)),"")</f>
        <v>12300.529999999999</v>
      </c>
      <c r="L100" s="125" t="str">
        <f>IF(K100="","",IF(K100=0,0,IF(K100&gt;=PARÁMETROS!$O$5,"CUMPLE","NO CUMPLE")))</f>
        <v>CUMPLE</v>
      </c>
      <c r="M100" s="159" t="str">
        <f t="shared" si="12"/>
        <v/>
      </c>
      <c r="N100" s="107"/>
      <c r="O100" s="154" t="str">
        <f t="shared" si="13"/>
        <v>NO CUMPLE</v>
      </c>
      <c r="P100" s="125" t="str">
        <f t="shared" si="14"/>
        <v/>
      </c>
      <c r="Q100" s="782"/>
      <c r="R100" s="784"/>
      <c r="AN100" s="781"/>
      <c r="AO100" s="781"/>
    </row>
    <row r="101" spans="1:41" ht="2" customHeight="1">
      <c r="A101" s="801"/>
      <c r="B101" s="803"/>
      <c r="C101" s="125" t="s">
        <v>326</v>
      </c>
      <c r="D101" s="155"/>
      <c r="E101" s="68"/>
      <c r="F101" s="125"/>
      <c r="G101" s="125"/>
      <c r="H101" s="125"/>
      <c r="I101" s="125"/>
      <c r="J101" s="803"/>
      <c r="K101" s="117" t="str">
        <f>IFERROR(IF(D101="","",SUMIF('EXPERIENCIA '!$D$3:$D$672,D101,'EXPERIENCIA '!$AF$3:$AF$672)),"")</f>
        <v/>
      </c>
      <c r="L101" s="125" t="str">
        <f>IF(K101="","",IF(K101=0,0,IF(K101&gt;=PARÁMETROS!$O$5,"CUMPLE","NO CUMPLE")))</f>
        <v/>
      </c>
      <c r="M101" s="159" t="str">
        <f t="shared" si="12"/>
        <v/>
      </c>
      <c r="N101" s="107"/>
      <c r="O101" s="154" t="str">
        <f t="shared" si="13"/>
        <v>N/A</v>
      </c>
      <c r="P101" s="125" t="str">
        <f t="shared" si="14"/>
        <v>NO CUMPLE</v>
      </c>
      <c r="Q101" s="782"/>
      <c r="R101" s="784"/>
      <c r="AN101" s="781"/>
      <c r="AO101" s="781"/>
    </row>
    <row r="102" spans="1:41" ht="2" customHeight="1">
      <c r="A102" s="801"/>
      <c r="B102" s="803"/>
      <c r="C102" s="125" t="s">
        <v>327</v>
      </c>
      <c r="D102" s="155"/>
      <c r="E102" s="68"/>
      <c r="F102" s="125"/>
      <c r="G102" s="125"/>
      <c r="H102" s="125"/>
      <c r="I102" s="125"/>
      <c r="J102" s="803"/>
      <c r="K102" s="117" t="str">
        <f>IFERROR(IF(D102="","",SUMIF('EXPERIENCIA '!$D$3:$D$672,D102,'EXPERIENCIA '!$AF$3:$AF$672)),"")</f>
        <v/>
      </c>
      <c r="L102" s="125" t="str">
        <f>IF(K102="","",IF(K102=0,0,IF(K102&gt;=PARÁMETROS!$O$5,"CUMPLE","NO CUMPLE")))</f>
        <v/>
      </c>
      <c r="M102" s="159" t="str">
        <f t="shared" si="12"/>
        <v/>
      </c>
      <c r="N102" s="107"/>
      <c r="O102" s="154" t="str">
        <f t="shared" si="13"/>
        <v>N/A</v>
      </c>
      <c r="P102" s="125" t="str">
        <f t="shared" si="14"/>
        <v>NO CUMPLE</v>
      </c>
      <c r="Q102" s="782"/>
      <c r="R102" s="784"/>
      <c r="AN102" s="781"/>
      <c r="AO102" s="781"/>
    </row>
    <row r="103" spans="1:41" ht="2" customHeight="1">
      <c r="A103" s="801"/>
      <c r="B103" s="803"/>
      <c r="C103" s="125" t="s">
        <v>328</v>
      </c>
      <c r="D103" s="155"/>
      <c r="E103" s="68"/>
      <c r="F103" s="125"/>
      <c r="G103" s="125"/>
      <c r="H103" s="125"/>
      <c r="I103" s="125"/>
      <c r="J103" s="803"/>
      <c r="K103" s="117" t="str">
        <f>IFERROR(IF(D103="","",SUMIF('EXPERIENCIA '!$D$3:$D$672,D103,'EXPERIENCIA '!$AF$3:$AF$672)),"")</f>
        <v/>
      </c>
      <c r="L103" s="125" t="str">
        <f>IF(K103="","",IF(K103=0,0,IF(K103&gt;=PARÁMETROS!$O$5,"CUMPLE","NO CUMPLE")))</f>
        <v/>
      </c>
      <c r="M103" s="159" t="str">
        <f t="shared" si="12"/>
        <v/>
      </c>
      <c r="N103" s="107"/>
      <c r="O103" s="154" t="str">
        <f t="shared" si="13"/>
        <v>N/A</v>
      </c>
      <c r="P103" s="125" t="str">
        <f t="shared" si="14"/>
        <v>NO CUMPLE</v>
      </c>
      <c r="Q103" s="782"/>
      <c r="R103" s="784"/>
      <c r="AN103" s="781"/>
      <c r="AO103" s="781"/>
    </row>
    <row r="104" spans="1:41" ht="2" customHeight="1" thickBot="1">
      <c r="A104" s="802"/>
      <c r="B104" s="804"/>
      <c r="C104" s="133" t="s">
        <v>329</v>
      </c>
      <c r="D104" s="157"/>
      <c r="E104" s="104"/>
      <c r="F104" s="133"/>
      <c r="G104" s="133"/>
      <c r="H104" s="133"/>
      <c r="I104" s="133"/>
      <c r="J104" s="804"/>
      <c r="K104" s="136" t="str">
        <f>IFERROR(IF(D104="","",SUMIF('EXPERIENCIA '!$D$3:$D$672,D104,'EXPERIENCIA '!$AF$3:$AF$672)),"")</f>
        <v/>
      </c>
      <c r="L104" s="133" t="str">
        <f>IF(K104="","",IF(K104=0,0,IF(K104&gt;=PARÁMETROS!$O$5,"CUMPLE","NO CUMPLE")))</f>
        <v/>
      </c>
      <c r="M104" s="160" t="str">
        <f t="shared" si="12"/>
        <v/>
      </c>
      <c r="N104" s="107"/>
      <c r="O104" s="156" t="str">
        <f t="shared" si="13"/>
        <v>N/A</v>
      </c>
      <c r="P104" s="133" t="str">
        <f t="shared" si="14"/>
        <v>NO CUMPLE</v>
      </c>
      <c r="Q104" s="783"/>
      <c r="R104" s="785"/>
      <c r="AN104" s="575"/>
      <c r="AO104" s="575"/>
    </row>
    <row r="105" spans="1:41" ht="23.5" customHeight="1">
      <c r="A105" s="800" t="s">
        <v>139</v>
      </c>
      <c r="B105" s="730" t="s">
        <v>926</v>
      </c>
      <c r="C105" s="111" t="s">
        <v>330</v>
      </c>
      <c r="D105" s="153" t="s">
        <v>927</v>
      </c>
      <c r="E105" s="113">
        <v>0.3</v>
      </c>
      <c r="F105" s="111"/>
      <c r="G105" s="111" t="s">
        <v>744</v>
      </c>
      <c r="H105" s="111" t="s">
        <v>744</v>
      </c>
      <c r="I105" s="111" t="s">
        <v>757</v>
      </c>
      <c r="J105" s="730">
        <f>SUM(AN105:AO110)</f>
        <v>2</v>
      </c>
      <c r="K105" s="115">
        <f>IFERROR(IF(D105="","",SUMIF('EXPERIENCIA '!$D$3:$D$672,D105,'EXPERIENCIA '!$AF$3:$AF$672)),"")</f>
        <v>56272.317999999992</v>
      </c>
      <c r="L105" s="111" t="str">
        <f>IF(K105="","",IF(K105=0,0,IF(K105&gt;=PARÁMETROS!$O$5,"CUMPLE","NO CUMPLE")))</f>
        <v>CUMPLE</v>
      </c>
      <c r="M105" s="158" t="str">
        <f t="shared" si="12"/>
        <v>CUMPLE</v>
      </c>
      <c r="N105" s="107"/>
      <c r="O105" s="161" t="str">
        <f t="shared" si="13"/>
        <v>CUMPLE</v>
      </c>
      <c r="P105" s="121" t="str">
        <f t="shared" si="14"/>
        <v>CUMPLE</v>
      </c>
      <c r="Q105" s="782">
        <v>1</v>
      </c>
      <c r="R105" s="782"/>
      <c r="AN105" s="574">
        <f>IF(COUNTIF(H105:H110,"ACREDITA")&gt;0,1,0)</f>
        <v>1</v>
      </c>
      <c r="AO105" s="574">
        <f>IF(COUNTIF(I105:I110,"ACREDITA")&gt;0,1,0)</f>
        <v>1</v>
      </c>
    </row>
    <row r="106" spans="1:41" ht="23.5" customHeight="1">
      <c r="A106" s="801"/>
      <c r="B106" s="803"/>
      <c r="C106" s="125" t="s">
        <v>331</v>
      </c>
      <c r="D106" s="155" t="s">
        <v>928</v>
      </c>
      <c r="E106" s="68">
        <v>0.2</v>
      </c>
      <c r="F106" s="125"/>
      <c r="G106" s="125" t="s">
        <v>757</v>
      </c>
      <c r="H106" s="125" t="s">
        <v>757</v>
      </c>
      <c r="I106" s="125" t="s">
        <v>744</v>
      </c>
      <c r="J106" s="803"/>
      <c r="K106" s="117">
        <f>IFERROR(IF(D106="","",SUMIF('EXPERIENCIA '!$D$3:$D$672,D106,'EXPERIENCIA '!$AF$3:$AF$672)),"")</f>
        <v>18399.740000000002</v>
      </c>
      <c r="L106" s="125" t="str">
        <f>IF(K106="","",IF(K106=0,0,IF(K106&gt;=PARÁMETROS!$O$5,"CUMPLE","NO CUMPLE")))</f>
        <v>CUMPLE</v>
      </c>
      <c r="M106" s="159" t="str">
        <f t="shared" si="12"/>
        <v/>
      </c>
      <c r="N106" s="107"/>
      <c r="O106" s="154" t="str">
        <f t="shared" si="13"/>
        <v>CUMPLE</v>
      </c>
      <c r="P106" s="125" t="str">
        <f t="shared" si="14"/>
        <v/>
      </c>
      <c r="Q106" s="782"/>
      <c r="R106" s="782"/>
      <c r="AN106" s="781"/>
      <c r="AO106" s="781"/>
    </row>
    <row r="107" spans="1:41" ht="23.5" customHeight="1">
      <c r="A107" s="801"/>
      <c r="B107" s="803"/>
      <c r="C107" s="125" t="s">
        <v>332</v>
      </c>
      <c r="D107" s="155" t="s">
        <v>929</v>
      </c>
      <c r="E107" s="68">
        <v>0.5</v>
      </c>
      <c r="F107" s="125"/>
      <c r="G107" s="125" t="s">
        <v>744</v>
      </c>
      <c r="H107" s="125" t="s">
        <v>757</v>
      </c>
      <c r="I107" s="125" t="s">
        <v>744</v>
      </c>
      <c r="J107" s="803"/>
      <c r="K107" s="117">
        <f>IFERROR(IF(D107="","",SUMIF('EXPERIENCIA '!$D$3:$D$672,D107,'EXPERIENCIA '!$AF$3:$AF$672)),"")</f>
        <v>30053.981</v>
      </c>
      <c r="L107" s="125" t="str">
        <f>IF(K107="","",IF(K107=0,0,IF(K107&gt;=PARÁMETROS!$O$5,"CUMPLE","NO CUMPLE")))</f>
        <v>CUMPLE</v>
      </c>
      <c r="M107" s="159" t="str">
        <f t="shared" si="12"/>
        <v>CUMPLE</v>
      </c>
      <c r="N107" s="107"/>
      <c r="O107" s="154" t="str">
        <f t="shared" si="13"/>
        <v>CUMPLE</v>
      </c>
      <c r="P107" s="125" t="str">
        <f t="shared" si="14"/>
        <v>CUMPLE</v>
      </c>
      <c r="Q107" s="782"/>
      <c r="R107" s="782"/>
      <c r="AN107" s="781"/>
      <c r="AO107" s="781"/>
    </row>
    <row r="108" spans="1:41" ht="2" customHeight="1">
      <c r="A108" s="801"/>
      <c r="B108" s="803"/>
      <c r="C108" s="125" t="s">
        <v>333</v>
      </c>
      <c r="D108" s="155"/>
      <c r="E108" s="68"/>
      <c r="F108" s="125"/>
      <c r="G108" s="125"/>
      <c r="H108" s="125"/>
      <c r="I108" s="125"/>
      <c r="J108" s="803"/>
      <c r="K108" s="117" t="str">
        <f>IFERROR(IF(D108="","",SUMIF('EXPERIENCIA '!$D$3:$D$672,D108,'EXPERIENCIA '!$AF$3:$AF$672)),"")</f>
        <v/>
      </c>
      <c r="L108" s="125" t="str">
        <f>IF(K108="","",IF(K108=0,0,IF(K108&gt;=PARÁMETROS!$O$5,"CUMPLE","NO CUMPLE")))</f>
        <v/>
      </c>
      <c r="M108" s="159" t="str">
        <f t="shared" si="12"/>
        <v/>
      </c>
      <c r="N108" s="107"/>
      <c r="O108" s="154" t="str">
        <f t="shared" si="13"/>
        <v>N/A</v>
      </c>
      <c r="P108" s="125" t="str">
        <f t="shared" si="14"/>
        <v>NO CUMPLE</v>
      </c>
      <c r="Q108" s="782"/>
      <c r="R108" s="782"/>
      <c r="AN108" s="781"/>
      <c r="AO108" s="781"/>
    </row>
    <row r="109" spans="1:41" ht="2" customHeight="1">
      <c r="A109" s="801"/>
      <c r="B109" s="803"/>
      <c r="C109" s="125" t="s">
        <v>334</v>
      </c>
      <c r="D109" s="155"/>
      <c r="E109" s="68"/>
      <c r="F109" s="125"/>
      <c r="G109" s="125"/>
      <c r="H109" s="125"/>
      <c r="I109" s="125"/>
      <c r="J109" s="803"/>
      <c r="K109" s="117" t="str">
        <f>IFERROR(IF(D109="","",SUMIF('EXPERIENCIA '!$D$3:$D$672,D109,'EXPERIENCIA '!$AF$3:$AF$672)),"")</f>
        <v/>
      </c>
      <c r="L109" s="125" t="str">
        <f>IF(K109="","",IF(K109=0,0,IF(K109&gt;=PARÁMETROS!$O$5,"CUMPLE","NO CUMPLE")))</f>
        <v/>
      </c>
      <c r="M109" s="159" t="str">
        <f t="shared" si="12"/>
        <v/>
      </c>
      <c r="N109" s="107"/>
      <c r="O109" s="154" t="str">
        <f t="shared" si="13"/>
        <v>N/A</v>
      </c>
      <c r="P109" s="125" t="str">
        <f t="shared" si="14"/>
        <v>NO CUMPLE</v>
      </c>
      <c r="Q109" s="782"/>
      <c r="R109" s="782"/>
      <c r="AN109" s="781"/>
      <c r="AO109" s="781"/>
    </row>
    <row r="110" spans="1:41" ht="2" customHeight="1" thickBot="1">
      <c r="A110" s="802"/>
      <c r="B110" s="804"/>
      <c r="C110" s="133" t="s">
        <v>335</v>
      </c>
      <c r="D110" s="157"/>
      <c r="E110" s="104"/>
      <c r="F110" s="133"/>
      <c r="G110" s="133"/>
      <c r="H110" s="133"/>
      <c r="I110" s="133"/>
      <c r="J110" s="804"/>
      <c r="K110" s="136" t="str">
        <f>IFERROR(IF(D110="","",SUMIF('EXPERIENCIA '!$D$3:$D$672,D110,'EXPERIENCIA '!$AF$3:$AF$672)),"")</f>
        <v/>
      </c>
      <c r="L110" s="133" t="str">
        <f>IF(K110="","",IF(K110=0,0,IF(K110&gt;=PARÁMETROS!$O$5,"CUMPLE","NO CUMPLE")))</f>
        <v/>
      </c>
      <c r="M110" s="160" t="str">
        <f t="shared" si="12"/>
        <v/>
      </c>
      <c r="N110" s="107"/>
      <c r="O110" s="156" t="str">
        <f t="shared" si="13"/>
        <v>N/A</v>
      </c>
      <c r="P110" s="133" t="str">
        <f t="shared" si="14"/>
        <v>NO CUMPLE</v>
      </c>
      <c r="Q110" s="783"/>
      <c r="R110" s="783"/>
      <c r="AN110" s="575"/>
      <c r="AO110" s="575"/>
    </row>
    <row r="111" spans="1:41" ht="23.5" customHeight="1">
      <c r="A111" s="800" t="s">
        <v>140</v>
      </c>
      <c r="B111" s="730" t="s">
        <v>1051</v>
      </c>
      <c r="C111" s="111" t="s">
        <v>336</v>
      </c>
      <c r="D111" s="153" t="s">
        <v>1052</v>
      </c>
      <c r="E111" s="113">
        <v>0.5</v>
      </c>
      <c r="F111" s="111"/>
      <c r="G111" s="111" t="s">
        <v>744</v>
      </c>
      <c r="H111" s="111" t="s">
        <v>744</v>
      </c>
      <c r="I111" s="111" t="s">
        <v>744</v>
      </c>
      <c r="J111" s="730">
        <f>SUM(AN111:AO116)</f>
        <v>2</v>
      </c>
      <c r="K111" s="115">
        <f>IFERROR(IF(D111="","",SUMIF('EXPERIENCIA '!$D$3:$D$672,D111,'EXPERIENCIA '!$AF$3:$AF$672)),"")</f>
        <v>18722.999300000003</v>
      </c>
      <c r="L111" s="111" t="str">
        <f>IF(K111="","",IF(K111=0,0,IF(K111&gt;=PARÁMETROS!$O$5,"CUMPLE","NO CUMPLE")))</f>
        <v>CUMPLE</v>
      </c>
      <c r="M111" s="158" t="str">
        <f t="shared" si="12"/>
        <v>CUMPLE</v>
      </c>
      <c r="N111" s="107"/>
      <c r="O111" s="161" t="str">
        <f t="shared" si="13"/>
        <v>CUMPLE</v>
      </c>
      <c r="P111" s="121" t="str">
        <f t="shared" si="14"/>
        <v>CUMPLE</v>
      </c>
      <c r="Q111" s="808">
        <v>1</v>
      </c>
      <c r="R111" s="782"/>
      <c r="AN111" s="574">
        <f>IF(COUNTIF(H111:H116,"ACREDITA")&gt;0,1,0)</f>
        <v>1</v>
      </c>
      <c r="AO111" s="574">
        <f>IF(COUNTIF(I111:I116,"ACREDITA")&gt;0,1,0)</f>
        <v>1</v>
      </c>
    </row>
    <row r="112" spans="1:41" ht="23.5" customHeight="1">
      <c r="A112" s="801"/>
      <c r="B112" s="803"/>
      <c r="C112" s="125" t="s">
        <v>337</v>
      </c>
      <c r="D112" s="155" t="s">
        <v>1053</v>
      </c>
      <c r="E112" s="68">
        <v>0.5</v>
      </c>
      <c r="F112" s="125"/>
      <c r="G112" s="125" t="s">
        <v>757</v>
      </c>
      <c r="H112" s="125" t="s">
        <v>744</v>
      </c>
      <c r="I112" s="125" t="s">
        <v>757</v>
      </c>
      <c r="J112" s="803"/>
      <c r="K112" s="117">
        <f>IFERROR(IF(D112="","",SUMIF('EXPERIENCIA '!$D$3:$D$672,D112,'EXPERIENCIA '!$AF$3:$AF$672)),"")</f>
        <v>24258.397100000002</v>
      </c>
      <c r="L112" s="125" t="str">
        <f>IF(K112="","",IF(K112=0,0,IF(K112&gt;=PARÁMETROS!$O$5,"CUMPLE","NO CUMPLE")))</f>
        <v>CUMPLE</v>
      </c>
      <c r="M112" s="159" t="str">
        <f t="shared" si="12"/>
        <v/>
      </c>
      <c r="N112" s="107"/>
      <c r="O112" s="154" t="str">
        <f t="shared" si="13"/>
        <v>CUMPLE</v>
      </c>
      <c r="P112" s="125" t="str">
        <f t="shared" si="14"/>
        <v/>
      </c>
      <c r="Q112" s="808"/>
      <c r="R112" s="782"/>
      <c r="AN112" s="781"/>
      <c r="AO112" s="781"/>
    </row>
    <row r="113" spans="1:41" ht="2" customHeight="1">
      <c r="A113" s="801"/>
      <c r="B113" s="803"/>
      <c r="C113" s="125" t="s">
        <v>338</v>
      </c>
      <c r="D113" s="155"/>
      <c r="E113" s="68"/>
      <c r="F113" s="125"/>
      <c r="G113" s="125"/>
      <c r="H113" s="125"/>
      <c r="I113" s="125"/>
      <c r="J113" s="803"/>
      <c r="K113" s="117" t="str">
        <f>IFERROR(IF(D113="","",SUMIF('EXPERIENCIA '!$D$3:$D$672,D113,'EXPERIENCIA '!$AF$3:$AF$672)),"")</f>
        <v/>
      </c>
      <c r="L113" s="125" t="str">
        <f>IF(K113="","",IF(K113=0,0,IF(K113&gt;=PARÁMETROS!$O$5,"CUMPLE","NO CUMPLE")))</f>
        <v/>
      </c>
      <c r="M113" s="159" t="str">
        <f t="shared" si="12"/>
        <v/>
      </c>
      <c r="N113" s="107"/>
      <c r="O113" s="154" t="str">
        <f t="shared" si="13"/>
        <v>N/A</v>
      </c>
      <c r="P113" s="125" t="str">
        <f t="shared" si="14"/>
        <v>NO CUMPLE</v>
      </c>
      <c r="Q113" s="808"/>
      <c r="R113" s="782"/>
      <c r="AN113" s="781"/>
      <c r="AO113" s="781"/>
    </row>
    <row r="114" spans="1:41" ht="2" customHeight="1">
      <c r="A114" s="801"/>
      <c r="B114" s="803"/>
      <c r="C114" s="125" t="s">
        <v>339</v>
      </c>
      <c r="D114" s="155"/>
      <c r="E114" s="68"/>
      <c r="F114" s="125"/>
      <c r="G114" s="125"/>
      <c r="H114" s="125"/>
      <c r="I114" s="125"/>
      <c r="J114" s="803"/>
      <c r="K114" s="117" t="str">
        <f>IFERROR(IF(D114="","",SUMIF('EXPERIENCIA '!$D$3:$D$672,D114,'EXPERIENCIA '!$AF$3:$AF$672)),"")</f>
        <v/>
      </c>
      <c r="L114" s="125" t="str">
        <f>IF(K114="","",IF(K114=0,0,IF(K114&gt;=PARÁMETROS!$O$5,"CUMPLE","NO CUMPLE")))</f>
        <v/>
      </c>
      <c r="M114" s="159" t="str">
        <f t="shared" si="12"/>
        <v/>
      </c>
      <c r="N114" s="107"/>
      <c r="O114" s="154" t="str">
        <f t="shared" si="13"/>
        <v>N/A</v>
      </c>
      <c r="P114" s="125" t="str">
        <f t="shared" si="14"/>
        <v>NO CUMPLE</v>
      </c>
      <c r="Q114" s="808"/>
      <c r="R114" s="782"/>
      <c r="AN114" s="781"/>
      <c r="AO114" s="781"/>
    </row>
    <row r="115" spans="1:41" ht="2" customHeight="1">
      <c r="A115" s="801"/>
      <c r="B115" s="803"/>
      <c r="C115" s="125" t="s">
        <v>340</v>
      </c>
      <c r="D115" s="155"/>
      <c r="E115" s="68"/>
      <c r="F115" s="125"/>
      <c r="G115" s="125"/>
      <c r="H115" s="125"/>
      <c r="I115" s="125"/>
      <c r="J115" s="803"/>
      <c r="K115" s="117" t="str">
        <f>IFERROR(IF(D115="","",SUMIF('EXPERIENCIA '!$D$3:$D$672,D115,'EXPERIENCIA '!$AF$3:$AF$672)),"")</f>
        <v/>
      </c>
      <c r="L115" s="125" t="str">
        <f>IF(K115="","",IF(K115=0,0,IF(K115&gt;=PARÁMETROS!$O$5,"CUMPLE","NO CUMPLE")))</f>
        <v/>
      </c>
      <c r="M115" s="159" t="str">
        <f t="shared" si="12"/>
        <v/>
      </c>
      <c r="N115" s="107"/>
      <c r="O115" s="154" t="str">
        <f t="shared" si="13"/>
        <v>N/A</v>
      </c>
      <c r="P115" s="125" t="str">
        <f t="shared" si="14"/>
        <v>NO CUMPLE</v>
      </c>
      <c r="Q115" s="808"/>
      <c r="R115" s="782"/>
      <c r="AN115" s="781"/>
      <c r="AO115" s="781"/>
    </row>
    <row r="116" spans="1:41" ht="2" customHeight="1" thickBot="1">
      <c r="A116" s="802"/>
      <c r="B116" s="804"/>
      <c r="C116" s="133" t="s">
        <v>341</v>
      </c>
      <c r="D116" s="157"/>
      <c r="E116" s="104"/>
      <c r="F116" s="133"/>
      <c r="G116" s="133"/>
      <c r="H116" s="133"/>
      <c r="I116" s="133"/>
      <c r="J116" s="804"/>
      <c r="K116" s="136" t="str">
        <f>IFERROR(IF(D116="","",SUMIF('EXPERIENCIA '!$D$3:$D$672,D116,'EXPERIENCIA '!$AF$3:$AF$672)),"")</f>
        <v/>
      </c>
      <c r="L116" s="133" t="str">
        <f>IF(K116="","",IF(K116=0,0,IF(K116&gt;=PARÁMETROS!$O$5,"CUMPLE","NO CUMPLE")))</f>
        <v/>
      </c>
      <c r="M116" s="160" t="str">
        <f t="shared" si="12"/>
        <v/>
      </c>
      <c r="N116" s="107"/>
      <c r="O116" s="156" t="str">
        <f t="shared" si="13"/>
        <v>N/A</v>
      </c>
      <c r="P116" s="133" t="str">
        <f t="shared" si="14"/>
        <v>NO CUMPLE</v>
      </c>
      <c r="Q116" s="809"/>
      <c r="R116" s="783"/>
      <c r="AN116" s="575"/>
      <c r="AO116" s="575"/>
    </row>
    <row r="117" spans="1:41" ht="23.5" customHeight="1">
      <c r="A117" s="800" t="s">
        <v>141</v>
      </c>
      <c r="B117" s="730" t="s">
        <v>1054</v>
      </c>
      <c r="C117" s="111" t="s">
        <v>342</v>
      </c>
      <c r="D117" s="153" t="s">
        <v>1055</v>
      </c>
      <c r="E117" s="113">
        <v>0.4</v>
      </c>
      <c r="F117" s="111"/>
      <c r="G117" s="111"/>
      <c r="H117" s="125" t="s">
        <v>744</v>
      </c>
      <c r="I117" s="111"/>
      <c r="J117" s="730">
        <f>SUM(AN117:AO122)</f>
        <v>2</v>
      </c>
      <c r="K117" s="115">
        <f>IFERROR(IF(D117="","",SUMIF('EXPERIENCIA '!$D$3:$D$672,D117,'EXPERIENCIA '!$AF$3:$AF$672)),"")</f>
        <v>4125.51</v>
      </c>
      <c r="L117" s="111" t="str">
        <f>IF(K117="","",IF(K117=0,0,IF(K117&gt;=PARÁMETROS!$O$5,"CUMPLE","NO CUMPLE")))</f>
        <v>NO CUMPLE</v>
      </c>
      <c r="M117" s="158" t="str">
        <f t="shared" si="12"/>
        <v/>
      </c>
      <c r="N117" s="107"/>
      <c r="O117" s="161" t="str">
        <f t="shared" si="13"/>
        <v>N/A</v>
      </c>
      <c r="P117" s="121" t="str">
        <f t="shared" si="14"/>
        <v>NO CUMPLE</v>
      </c>
      <c r="Q117" s="782">
        <v>1</v>
      </c>
      <c r="R117" s="784"/>
      <c r="AN117" s="574">
        <f>IF(COUNTIF(H117:H122,"ACREDITA")&gt;0,1,0)</f>
        <v>1</v>
      </c>
      <c r="AO117" s="574">
        <f>IF(COUNTIF(I117:I122,"ACREDITA")&gt;0,1,0)</f>
        <v>1</v>
      </c>
    </row>
    <row r="118" spans="1:41" ht="23.5" customHeight="1">
      <c r="A118" s="801"/>
      <c r="B118" s="803"/>
      <c r="C118" s="125" t="s">
        <v>343</v>
      </c>
      <c r="D118" s="155" t="s">
        <v>1056</v>
      </c>
      <c r="E118" s="68">
        <v>0.3</v>
      </c>
      <c r="F118" s="125"/>
      <c r="G118" s="125"/>
      <c r="H118" s="125" t="s">
        <v>744</v>
      </c>
      <c r="I118" s="125" t="s">
        <v>744</v>
      </c>
      <c r="J118" s="803"/>
      <c r="K118" s="117">
        <f>IFERROR(IF(D118="","",SUMIF('EXPERIENCIA '!$D$3:$D$672,D118,'EXPERIENCIA '!$AF$3:$AF$672)),"")</f>
        <v>22556.39</v>
      </c>
      <c r="L118" s="125" t="str">
        <f>IF(K118="","",IF(K118=0,0,IF(K118&gt;=PARÁMETROS!$O$5,"CUMPLE","NO CUMPLE")))</f>
        <v>CUMPLE</v>
      </c>
      <c r="M118" s="159" t="str">
        <f t="shared" si="12"/>
        <v/>
      </c>
      <c r="N118" s="107"/>
      <c r="O118" s="154" t="str">
        <f t="shared" si="13"/>
        <v>N/A</v>
      </c>
      <c r="P118" s="125" t="str">
        <f t="shared" si="14"/>
        <v>NO CUMPLE</v>
      </c>
      <c r="Q118" s="782"/>
      <c r="R118" s="784"/>
      <c r="AN118" s="781"/>
      <c r="AO118" s="781"/>
    </row>
    <row r="119" spans="1:41" ht="23.5" customHeight="1">
      <c r="A119" s="801"/>
      <c r="B119" s="803"/>
      <c r="C119" s="125" t="s">
        <v>344</v>
      </c>
      <c r="D119" s="155" t="s">
        <v>1057</v>
      </c>
      <c r="E119" s="68" t="s">
        <v>1058</v>
      </c>
      <c r="F119" s="125"/>
      <c r="G119" s="125" t="s">
        <v>744</v>
      </c>
      <c r="H119" s="125" t="s">
        <v>744</v>
      </c>
      <c r="I119" s="125"/>
      <c r="J119" s="803"/>
      <c r="K119" s="117">
        <f>IFERROR(IF(D119="","",SUMIF('EXPERIENCIA '!$D$3:$D$672,D119,'EXPERIENCIA '!$AF$3:$AF$672)),"")</f>
        <v>37431.68</v>
      </c>
      <c r="L119" s="125" t="str">
        <f>IF(K119="","",IF(K119=0,0,IF(K119&gt;=PARÁMETROS!$O$5,"CUMPLE","NO CUMPLE")))</f>
        <v>CUMPLE</v>
      </c>
      <c r="M119" s="159" t="str">
        <f t="shared" si="12"/>
        <v>CUMPLE</v>
      </c>
      <c r="N119" s="107"/>
      <c r="O119" s="154" t="str">
        <f t="shared" si="13"/>
        <v>CUMPLE</v>
      </c>
      <c r="P119" s="125" t="str">
        <f t="shared" si="14"/>
        <v>CUMPLE</v>
      </c>
      <c r="Q119" s="782"/>
      <c r="R119" s="784"/>
      <c r="AN119" s="781"/>
      <c r="AO119" s="781"/>
    </row>
    <row r="120" spans="1:41" ht="2" customHeight="1">
      <c r="A120" s="801"/>
      <c r="B120" s="803"/>
      <c r="C120" s="125" t="s">
        <v>345</v>
      </c>
      <c r="D120" s="155"/>
      <c r="E120" s="68"/>
      <c r="F120" s="125"/>
      <c r="G120" s="125"/>
      <c r="H120" s="125"/>
      <c r="I120" s="125"/>
      <c r="J120" s="803"/>
      <c r="K120" s="117" t="str">
        <f>IFERROR(IF(D120="","",SUMIF('EXPERIENCIA '!$D$3:$D$672,D120,'EXPERIENCIA '!$AF$3:$AF$672)),"")</f>
        <v/>
      </c>
      <c r="L120" s="125" t="str">
        <f>IF(K120="","",IF(K120=0,0,IF(K120&gt;=PARÁMETROS!$O$5,"CUMPLE","NO CUMPLE")))</f>
        <v/>
      </c>
      <c r="M120" s="159" t="str">
        <f t="shared" si="12"/>
        <v/>
      </c>
      <c r="N120" s="107"/>
      <c r="O120" s="154" t="str">
        <f t="shared" si="13"/>
        <v>N/A</v>
      </c>
      <c r="P120" s="125" t="str">
        <f t="shared" si="14"/>
        <v>NO CUMPLE</v>
      </c>
      <c r="Q120" s="782"/>
      <c r="R120" s="784"/>
      <c r="AN120" s="781"/>
      <c r="AO120" s="781"/>
    </row>
    <row r="121" spans="1:41" ht="2" customHeight="1">
      <c r="A121" s="801"/>
      <c r="B121" s="803"/>
      <c r="C121" s="125" t="s">
        <v>346</v>
      </c>
      <c r="D121" s="155"/>
      <c r="E121" s="68"/>
      <c r="F121" s="125"/>
      <c r="G121" s="125"/>
      <c r="H121" s="125"/>
      <c r="I121" s="125"/>
      <c r="J121" s="803"/>
      <c r="K121" s="117" t="str">
        <f>IFERROR(IF(D121="","",SUMIF('EXPERIENCIA '!$D$3:$D$672,D121,'EXPERIENCIA '!$AF$3:$AF$672)),"")</f>
        <v/>
      </c>
      <c r="L121" s="125" t="str">
        <f>IF(K121="","",IF(K121=0,0,IF(K121&gt;=PARÁMETROS!$O$5,"CUMPLE","NO CUMPLE")))</f>
        <v/>
      </c>
      <c r="M121" s="159" t="str">
        <f t="shared" si="12"/>
        <v/>
      </c>
      <c r="N121" s="107"/>
      <c r="O121" s="154" t="str">
        <f t="shared" si="13"/>
        <v>N/A</v>
      </c>
      <c r="P121" s="125" t="str">
        <f t="shared" si="14"/>
        <v>NO CUMPLE</v>
      </c>
      <c r="Q121" s="782"/>
      <c r="R121" s="784"/>
      <c r="AN121" s="781"/>
      <c r="AO121" s="781"/>
    </row>
    <row r="122" spans="1:41" ht="2" customHeight="1" thickBot="1">
      <c r="A122" s="802"/>
      <c r="B122" s="804"/>
      <c r="C122" s="133" t="s">
        <v>347</v>
      </c>
      <c r="D122" s="157"/>
      <c r="E122" s="104"/>
      <c r="F122" s="133"/>
      <c r="G122" s="133"/>
      <c r="H122" s="133"/>
      <c r="I122" s="133"/>
      <c r="J122" s="804"/>
      <c r="K122" s="136" t="str">
        <f>IFERROR(IF(D122="","",SUMIF('EXPERIENCIA '!$D$3:$D$672,D122,'EXPERIENCIA '!$AF$3:$AF$672)),"")</f>
        <v/>
      </c>
      <c r="L122" s="133" t="str">
        <f>IF(K122="","",IF(K122=0,0,IF(K122&gt;=PARÁMETROS!$O$5,"CUMPLE","NO CUMPLE")))</f>
        <v/>
      </c>
      <c r="M122" s="160" t="str">
        <f t="shared" si="12"/>
        <v/>
      </c>
      <c r="N122" s="107"/>
      <c r="O122" s="156" t="str">
        <f t="shared" si="13"/>
        <v>N/A</v>
      </c>
      <c r="P122" s="133" t="str">
        <f t="shared" si="14"/>
        <v>NO CUMPLE</v>
      </c>
      <c r="Q122" s="783"/>
      <c r="R122" s="785"/>
      <c r="AN122" s="575"/>
      <c r="AO122" s="575"/>
    </row>
    <row r="123" spans="1:41" ht="23.5" customHeight="1">
      <c r="A123" s="800" t="s">
        <v>142</v>
      </c>
      <c r="B123" s="730" t="s">
        <v>1059</v>
      </c>
      <c r="C123" s="111" t="s">
        <v>348</v>
      </c>
      <c r="D123" s="153" t="s">
        <v>1060</v>
      </c>
      <c r="E123" s="113">
        <v>0.33</v>
      </c>
      <c r="F123" s="111"/>
      <c r="G123" s="111"/>
      <c r="H123" s="111" t="s">
        <v>744</v>
      </c>
      <c r="I123" s="111"/>
      <c r="J123" s="730">
        <f>SUM(AN123:AO128)</f>
        <v>2</v>
      </c>
      <c r="K123" s="115">
        <f>IFERROR(IF(D123="","",SUMIF('EXPERIENCIA '!$D$3:$D$672,D123,'EXPERIENCIA '!$AF$3:$AF$672)),"")</f>
        <v>7584.35</v>
      </c>
      <c r="L123" s="111" t="str">
        <f>IF(K123="","",IF(K123=0,0,IF(K123&gt;=PARÁMETROS!$O$5,"CUMPLE","NO CUMPLE")))</f>
        <v>NO CUMPLE</v>
      </c>
      <c r="M123" s="158" t="str">
        <f t="shared" si="12"/>
        <v/>
      </c>
      <c r="N123" s="107"/>
      <c r="O123" s="161" t="str">
        <f t="shared" si="13"/>
        <v>N/A</v>
      </c>
      <c r="P123" s="121" t="str">
        <f t="shared" si="14"/>
        <v>NO CUMPLE</v>
      </c>
      <c r="Q123" s="782">
        <v>1</v>
      </c>
      <c r="R123" s="784"/>
      <c r="AN123" s="574">
        <f>IF(COUNTIF(H123:H128,"ACREDITA")&gt;0,1,0)</f>
        <v>1</v>
      </c>
      <c r="AO123" s="574">
        <f>IF(COUNTIF(I123:I128,"ACREDITA")&gt;0,1,0)</f>
        <v>1</v>
      </c>
    </row>
    <row r="124" spans="1:41" ht="23.5" customHeight="1">
      <c r="A124" s="801"/>
      <c r="B124" s="803"/>
      <c r="C124" s="125" t="s">
        <v>349</v>
      </c>
      <c r="D124" s="155" t="s">
        <v>1061</v>
      </c>
      <c r="E124" s="68">
        <v>0.34</v>
      </c>
      <c r="F124" s="125"/>
      <c r="G124" s="125"/>
      <c r="H124" s="125"/>
      <c r="I124" s="125" t="s">
        <v>744</v>
      </c>
      <c r="J124" s="803"/>
      <c r="K124" s="117">
        <f>IFERROR(IF(D124="","",SUMIF('EXPERIENCIA '!$D$3:$D$672,D124,'EXPERIENCIA '!$AF$3:$AF$672)),"")</f>
        <v>25850.880000000001</v>
      </c>
      <c r="L124" s="125" t="str">
        <f>IF(K124="","",IF(K124=0,0,IF(K124&gt;=PARÁMETROS!$O$5,"CUMPLE","NO CUMPLE")))</f>
        <v>CUMPLE</v>
      </c>
      <c r="M124" s="159" t="str">
        <f t="shared" si="12"/>
        <v/>
      </c>
      <c r="N124" s="107"/>
      <c r="O124" s="154" t="str">
        <f t="shared" si="13"/>
        <v>N/A</v>
      </c>
      <c r="P124" s="125" t="str">
        <f t="shared" si="14"/>
        <v>NO CUMPLE</v>
      </c>
      <c r="Q124" s="782"/>
      <c r="R124" s="784"/>
      <c r="AN124" s="781"/>
      <c r="AO124" s="781"/>
    </row>
    <row r="125" spans="1:41" ht="23.5" customHeight="1">
      <c r="A125" s="801"/>
      <c r="B125" s="803"/>
      <c r="C125" s="125" t="s">
        <v>350</v>
      </c>
      <c r="D125" s="155" t="s">
        <v>1062</v>
      </c>
      <c r="E125" s="68">
        <v>0.33</v>
      </c>
      <c r="F125" s="125"/>
      <c r="G125" s="125" t="s">
        <v>744</v>
      </c>
      <c r="H125" s="125" t="s">
        <v>744</v>
      </c>
      <c r="I125" s="125" t="s">
        <v>744</v>
      </c>
      <c r="J125" s="803"/>
      <c r="K125" s="117">
        <f>IFERROR(IF(D125="","",SUMIF('EXPERIENCIA '!$D$3:$D$672,D125,'EXPERIENCIA '!$AF$3:$AF$672)),"")</f>
        <v>27789.588499999998</v>
      </c>
      <c r="L125" s="125" t="str">
        <f>IF(K125="","",IF(K125=0,0,IF(K125&gt;=PARÁMETROS!$O$5,"CUMPLE","NO CUMPLE")))</f>
        <v>CUMPLE</v>
      </c>
      <c r="M125" s="159" t="str">
        <f t="shared" si="12"/>
        <v>CUMPLE</v>
      </c>
      <c r="N125" s="107"/>
      <c r="O125" s="154" t="str">
        <f t="shared" si="13"/>
        <v>CUMPLE</v>
      </c>
      <c r="P125" s="125" t="str">
        <f t="shared" si="14"/>
        <v>CUMPLE</v>
      </c>
      <c r="Q125" s="782"/>
      <c r="R125" s="784"/>
      <c r="AN125" s="781"/>
      <c r="AO125" s="781"/>
    </row>
    <row r="126" spans="1:41" ht="2" customHeight="1">
      <c r="A126" s="801"/>
      <c r="B126" s="803"/>
      <c r="C126" s="125" t="s">
        <v>351</v>
      </c>
      <c r="D126" s="155"/>
      <c r="E126" s="68"/>
      <c r="F126" s="125"/>
      <c r="G126" s="125"/>
      <c r="H126" s="125"/>
      <c r="I126" s="125"/>
      <c r="J126" s="803"/>
      <c r="K126" s="117" t="str">
        <f>IFERROR(IF(D126="","",SUMIF('EXPERIENCIA '!$D$3:$D$672,D126,'EXPERIENCIA '!$AF$3:$AF$672)),"")</f>
        <v/>
      </c>
      <c r="L126" s="125" t="str">
        <f>IF(K126="","",IF(K126=0,0,IF(K126&gt;=PARÁMETROS!$O$5,"CUMPLE","NO CUMPLE")))</f>
        <v/>
      </c>
      <c r="M126" s="159" t="str">
        <f t="shared" si="12"/>
        <v/>
      </c>
      <c r="N126" s="107"/>
      <c r="O126" s="154" t="str">
        <f t="shared" si="13"/>
        <v>N/A</v>
      </c>
      <c r="P126" s="125" t="str">
        <f t="shared" si="14"/>
        <v>NO CUMPLE</v>
      </c>
      <c r="Q126" s="782"/>
      <c r="R126" s="784"/>
      <c r="AN126" s="781"/>
      <c r="AO126" s="781"/>
    </row>
    <row r="127" spans="1:41" ht="2" customHeight="1">
      <c r="A127" s="801"/>
      <c r="B127" s="803"/>
      <c r="C127" s="125" t="s">
        <v>352</v>
      </c>
      <c r="D127" s="155"/>
      <c r="E127" s="68"/>
      <c r="F127" s="125"/>
      <c r="G127" s="125"/>
      <c r="H127" s="125"/>
      <c r="I127" s="125"/>
      <c r="J127" s="803"/>
      <c r="K127" s="117" t="str">
        <f>IFERROR(IF(D127="","",SUMIF('EXPERIENCIA '!$D$3:$D$672,D127,'EXPERIENCIA '!$AF$3:$AF$672)),"")</f>
        <v/>
      </c>
      <c r="L127" s="125" t="str">
        <f>IF(K127="","",IF(K127=0,0,IF(K127&gt;=PARÁMETROS!$O$5,"CUMPLE","NO CUMPLE")))</f>
        <v/>
      </c>
      <c r="M127" s="159" t="str">
        <f t="shared" si="12"/>
        <v/>
      </c>
      <c r="N127" s="107"/>
      <c r="O127" s="154" t="str">
        <f t="shared" si="13"/>
        <v>N/A</v>
      </c>
      <c r="P127" s="125" t="str">
        <f t="shared" si="14"/>
        <v>NO CUMPLE</v>
      </c>
      <c r="Q127" s="782"/>
      <c r="R127" s="784"/>
      <c r="AN127" s="781"/>
      <c r="AO127" s="781"/>
    </row>
    <row r="128" spans="1:41" ht="2" customHeight="1" thickBot="1">
      <c r="A128" s="802"/>
      <c r="B128" s="804"/>
      <c r="C128" s="133" t="s">
        <v>353</v>
      </c>
      <c r="D128" s="157"/>
      <c r="E128" s="104"/>
      <c r="F128" s="133"/>
      <c r="G128" s="133"/>
      <c r="H128" s="133"/>
      <c r="I128" s="133"/>
      <c r="J128" s="804"/>
      <c r="K128" s="136" t="str">
        <f>IFERROR(IF(D128="","",SUMIF('EXPERIENCIA '!$D$3:$D$672,D128,'EXPERIENCIA '!$AF$3:$AF$672)),"")</f>
        <v/>
      </c>
      <c r="L128" s="133" t="str">
        <f>IF(K128="","",IF(K128=0,0,IF(K128&gt;=PARÁMETROS!$O$5,"CUMPLE","NO CUMPLE")))</f>
        <v/>
      </c>
      <c r="M128" s="160" t="str">
        <f t="shared" si="12"/>
        <v/>
      </c>
      <c r="N128" s="107"/>
      <c r="O128" s="156" t="str">
        <f t="shared" si="13"/>
        <v>N/A</v>
      </c>
      <c r="P128" s="133" t="str">
        <f t="shared" si="14"/>
        <v>NO CUMPLE</v>
      </c>
      <c r="Q128" s="783"/>
      <c r="R128" s="785"/>
      <c r="AN128" s="575"/>
      <c r="AO128" s="575"/>
    </row>
    <row r="129" spans="1:41" ht="23.5" customHeight="1">
      <c r="A129" s="800" t="s">
        <v>283</v>
      </c>
      <c r="B129" s="730" t="s">
        <v>1063</v>
      </c>
      <c r="C129" s="111" t="s">
        <v>354</v>
      </c>
      <c r="D129" s="153" t="s">
        <v>1064</v>
      </c>
      <c r="E129" s="113">
        <v>0.4</v>
      </c>
      <c r="F129" s="111"/>
      <c r="G129" s="111" t="s">
        <v>744</v>
      </c>
      <c r="H129" s="111" t="s">
        <v>744</v>
      </c>
      <c r="I129" s="111"/>
      <c r="J129" s="730">
        <f>SUM(AN129:AO134)</f>
        <v>2</v>
      </c>
      <c r="K129" s="115">
        <f>IFERROR(IF(D129="","",SUMIF('EXPERIENCIA '!$D$3:$D$672,D129,'EXPERIENCIA '!$AF$3:$AF$672)),"")</f>
        <v>18616.388999999996</v>
      </c>
      <c r="L129" s="111" t="str">
        <f>IF(K129="","",IF(K129=0,0,IF(K129&gt;=PARÁMETROS!$O$5,"CUMPLE","NO CUMPLE")))</f>
        <v>CUMPLE</v>
      </c>
      <c r="M129" s="158" t="str">
        <f t="shared" si="12"/>
        <v>CUMPLE</v>
      </c>
      <c r="N129" s="107"/>
      <c r="O129" s="161" t="str">
        <f t="shared" si="13"/>
        <v>CUMPLE</v>
      </c>
      <c r="P129" s="121" t="str">
        <f t="shared" si="14"/>
        <v>CUMPLE</v>
      </c>
      <c r="Q129" s="808">
        <v>1</v>
      </c>
      <c r="R129" s="784"/>
      <c r="AN129" s="574">
        <f>IF(COUNTIF(H129:H134,"ACREDITA")&gt;0,1,0)</f>
        <v>1</v>
      </c>
      <c r="AO129" s="574">
        <f>IF(COUNTIF(I129:I134,"ACREDITA")&gt;0,1,0)</f>
        <v>1</v>
      </c>
    </row>
    <row r="130" spans="1:41" ht="23.5" customHeight="1">
      <c r="A130" s="801"/>
      <c r="B130" s="803"/>
      <c r="C130" s="125" t="s">
        <v>355</v>
      </c>
      <c r="D130" s="155" t="s">
        <v>1065</v>
      </c>
      <c r="E130" s="68">
        <v>0.5</v>
      </c>
      <c r="F130" s="125"/>
      <c r="G130" s="125"/>
      <c r="H130" s="125"/>
      <c r="I130" s="125"/>
      <c r="J130" s="803"/>
      <c r="K130" s="117">
        <f>IFERROR(IF(D130="","",SUMIF('EXPERIENCIA '!$D$3:$D$672,D130,'EXPERIENCIA '!$AF$3:$AF$672)),"")</f>
        <v>50406.6296</v>
      </c>
      <c r="L130" s="125" t="str">
        <f>IF(K130="","",IF(K130=0,0,IF(K130&gt;=PARÁMETROS!$O$5,"CUMPLE","NO CUMPLE")))</f>
        <v>CUMPLE</v>
      </c>
      <c r="M130" s="159" t="str">
        <f t="shared" si="12"/>
        <v/>
      </c>
      <c r="N130" s="107"/>
      <c r="O130" s="154" t="str">
        <f t="shared" si="13"/>
        <v>N/A</v>
      </c>
      <c r="P130" s="125" t="str">
        <f t="shared" si="14"/>
        <v>NO CUMPLE</v>
      </c>
      <c r="Q130" s="808"/>
      <c r="R130" s="784"/>
      <c r="AN130" s="781"/>
      <c r="AO130" s="781"/>
    </row>
    <row r="131" spans="1:41" ht="23.5" customHeight="1">
      <c r="A131" s="801"/>
      <c r="B131" s="803"/>
      <c r="C131" s="125" t="s">
        <v>261</v>
      </c>
      <c r="D131" s="155" t="s">
        <v>1066</v>
      </c>
      <c r="E131" s="68">
        <v>0.1</v>
      </c>
      <c r="F131" s="125"/>
      <c r="G131" s="125"/>
      <c r="H131" s="125" t="s">
        <v>744</v>
      </c>
      <c r="I131" s="125" t="s">
        <v>744</v>
      </c>
      <c r="J131" s="803"/>
      <c r="K131" s="117">
        <f>IFERROR(IF(D131="","",SUMIF('EXPERIENCIA '!$D$3:$D$672,D131,'EXPERIENCIA '!$AF$3:$AF$672)),"")</f>
        <v>7236.8349999999991</v>
      </c>
      <c r="L131" s="125" t="str">
        <f>IF(K131="","",IF(K131=0,0,IF(K131&gt;=PARÁMETROS!$O$5,"CUMPLE","NO CUMPLE")))</f>
        <v>NO CUMPLE</v>
      </c>
      <c r="M131" s="159" t="str">
        <f t="shared" si="12"/>
        <v/>
      </c>
      <c r="N131" s="107"/>
      <c r="O131" s="154" t="str">
        <f t="shared" si="13"/>
        <v>N/A</v>
      </c>
      <c r="P131" s="125" t="str">
        <f t="shared" si="14"/>
        <v>NO CUMPLE</v>
      </c>
      <c r="Q131" s="808"/>
      <c r="R131" s="784"/>
      <c r="AN131" s="781"/>
      <c r="AO131" s="781"/>
    </row>
    <row r="132" spans="1:41" ht="2" customHeight="1">
      <c r="A132" s="801"/>
      <c r="B132" s="803"/>
      <c r="C132" s="125" t="s">
        <v>262</v>
      </c>
      <c r="D132" s="155"/>
      <c r="E132" s="68"/>
      <c r="F132" s="125"/>
      <c r="G132" s="125"/>
      <c r="H132" s="125"/>
      <c r="I132" s="125"/>
      <c r="J132" s="803"/>
      <c r="K132" s="117" t="str">
        <f>IFERROR(IF(D132="","",SUMIF('EXPERIENCIA '!$D$3:$D$672,D132,'EXPERIENCIA '!$AF$3:$AF$672)),"")</f>
        <v/>
      </c>
      <c r="L132" s="125" t="str">
        <f>IF(K132="","",IF(K132=0,0,IF(K132&gt;=PARÁMETROS!$O$5,"CUMPLE","NO CUMPLE")))</f>
        <v/>
      </c>
      <c r="M132" s="159" t="str">
        <f t="shared" si="12"/>
        <v/>
      </c>
      <c r="N132" s="107"/>
      <c r="O132" s="154" t="str">
        <f t="shared" si="13"/>
        <v>N/A</v>
      </c>
      <c r="P132" s="125" t="str">
        <f t="shared" si="14"/>
        <v>NO CUMPLE</v>
      </c>
      <c r="Q132" s="808"/>
      <c r="R132" s="784"/>
      <c r="AN132" s="781"/>
      <c r="AO132" s="781"/>
    </row>
    <row r="133" spans="1:41" ht="2" customHeight="1">
      <c r="A133" s="801"/>
      <c r="B133" s="803"/>
      <c r="C133" s="125" t="s">
        <v>263</v>
      </c>
      <c r="D133" s="155"/>
      <c r="E133" s="68"/>
      <c r="F133" s="125"/>
      <c r="G133" s="125"/>
      <c r="H133" s="125"/>
      <c r="I133" s="125"/>
      <c r="J133" s="803"/>
      <c r="K133" s="117" t="str">
        <f>IFERROR(IF(D133="","",SUMIF('EXPERIENCIA '!$D$3:$D$672,D133,'EXPERIENCIA '!$AF$3:$AF$672)),"")</f>
        <v/>
      </c>
      <c r="L133" s="125" t="str">
        <f>IF(K133="","",IF(K133=0,0,IF(K133&gt;=PARÁMETROS!$O$5,"CUMPLE","NO CUMPLE")))</f>
        <v/>
      </c>
      <c r="M133" s="159" t="str">
        <f t="shared" si="12"/>
        <v/>
      </c>
      <c r="N133" s="107"/>
      <c r="O133" s="154" t="str">
        <f t="shared" si="13"/>
        <v>N/A</v>
      </c>
      <c r="P133" s="125" t="str">
        <f t="shared" si="14"/>
        <v>NO CUMPLE</v>
      </c>
      <c r="Q133" s="808"/>
      <c r="R133" s="784"/>
      <c r="AN133" s="781"/>
      <c r="AO133" s="781"/>
    </row>
    <row r="134" spans="1:41" ht="2" customHeight="1" thickBot="1">
      <c r="A134" s="802"/>
      <c r="B134" s="804"/>
      <c r="C134" s="133" t="s">
        <v>264</v>
      </c>
      <c r="D134" s="157"/>
      <c r="E134" s="104"/>
      <c r="F134" s="133"/>
      <c r="G134" s="133"/>
      <c r="H134" s="133"/>
      <c r="I134" s="133"/>
      <c r="J134" s="804"/>
      <c r="K134" s="136" t="str">
        <f>IFERROR(IF(D134="","",SUMIF('EXPERIENCIA '!$D$3:$D$672,D134,'EXPERIENCIA '!$AF$3:$AF$672)),"")</f>
        <v/>
      </c>
      <c r="L134" s="133" t="str">
        <f>IF(K134="","",IF(K134=0,0,IF(K134&gt;=PARÁMETROS!$O$5,"CUMPLE","NO CUMPLE")))</f>
        <v/>
      </c>
      <c r="M134" s="160" t="str">
        <f t="shared" si="12"/>
        <v/>
      </c>
      <c r="N134" s="107"/>
      <c r="O134" s="156" t="str">
        <f t="shared" si="13"/>
        <v>N/A</v>
      </c>
      <c r="P134" s="133" t="str">
        <f t="shared" si="14"/>
        <v>NO CUMPLE</v>
      </c>
      <c r="Q134" s="809"/>
      <c r="R134" s="785"/>
      <c r="AN134" s="575"/>
      <c r="AO134" s="575"/>
    </row>
    <row r="135" spans="1:41" ht="23.5" customHeight="1">
      <c r="A135" s="800" t="s">
        <v>284</v>
      </c>
      <c r="B135" s="730" t="s">
        <v>1067</v>
      </c>
      <c r="C135" s="111" t="s">
        <v>356</v>
      </c>
      <c r="D135" s="153" t="s">
        <v>1068</v>
      </c>
      <c r="E135" s="113">
        <v>0.4</v>
      </c>
      <c r="F135" s="111"/>
      <c r="G135" s="111"/>
      <c r="H135" s="111" t="s">
        <v>744</v>
      </c>
      <c r="I135" s="111" t="s">
        <v>744</v>
      </c>
      <c r="J135" s="730">
        <f>SUM(AN135:AO140)</f>
        <v>2</v>
      </c>
      <c r="K135" s="115">
        <f>IFERROR(IF(D135="","",SUMIF('EXPERIENCIA '!$D$3:$D$672,D135,'EXPERIENCIA '!$AF$3:$AF$672)),"")</f>
        <v>13586.252699999999</v>
      </c>
      <c r="L135" s="111" t="str">
        <f>IF(K135="","",IF(K135=0,0,IF(K135&gt;=PARÁMETROS!$O$5,"CUMPLE","NO CUMPLE")))</f>
        <v>CUMPLE</v>
      </c>
      <c r="M135" s="158" t="str">
        <f t="shared" si="12"/>
        <v/>
      </c>
      <c r="N135" s="107"/>
      <c r="O135" s="161" t="str">
        <f t="shared" si="13"/>
        <v>N/A</v>
      </c>
      <c r="P135" s="121" t="str">
        <f t="shared" si="14"/>
        <v>NO CUMPLE</v>
      </c>
      <c r="Q135" s="782">
        <v>1</v>
      </c>
      <c r="R135" s="784"/>
      <c r="AN135" s="574">
        <f>IF(COUNTIF(H135:H140,"ACREDITA")&gt;0,1,0)</f>
        <v>1</v>
      </c>
      <c r="AO135" s="574">
        <f>IF(COUNTIF(I135:I140,"ACREDITA")&gt;0,1,0)</f>
        <v>1</v>
      </c>
    </row>
    <row r="136" spans="1:41" ht="23.5" customHeight="1">
      <c r="A136" s="801"/>
      <c r="B136" s="803"/>
      <c r="C136" s="125" t="s">
        <v>357</v>
      </c>
      <c r="D136" s="155" t="s">
        <v>1069</v>
      </c>
      <c r="E136" s="68">
        <v>0.6</v>
      </c>
      <c r="F136" s="125"/>
      <c r="G136" s="125" t="s">
        <v>744</v>
      </c>
      <c r="H136" s="125" t="s">
        <v>744</v>
      </c>
      <c r="I136" s="125" t="s">
        <v>744</v>
      </c>
      <c r="J136" s="803"/>
      <c r="K136" s="117">
        <f>IFERROR(IF(D136="","",SUMIF('EXPERIENCIA '!$D$3:$D$672,D136,'EXPERIENCIA '!$AF$3:$AF$672)),"")</f>
        <v>42429.675000000003</v>
      </c>
      <c r="L136" s="125" t="str">
        <f>IF(K136="","",IF(K136=0,0,IF(K136&gt;=PARÁMETROS!$O$5,"CUMPLE","NO CUMPLE")))</f>
        <v>CUMPLE</v>
      </c>
      <c r="M136" s="159" t="str">
        <f t="shared" si="12"/>
        <v>CUMPLE</v>
      </c>
      <c r="N136" s="107"/>
      <c r="O136" s="154" t="str">
        <f t="shared" si="13"/>
        <v>CUMPLE</v>
      </c>
      <c r="P136" s="125" t="str">
        <f t="shared" si="14"/>
        <v>CUMPLE</v>
      </c>
      <c r="Q136" s="782"/>
      <c r="R136" s="784"/>
      <c r="AN136" s="781"/>
      <c r="AO136" s="781"/>
    </row>
    <row r="137" spans="1:41" ht="2" customHeight="1">
      <c r="A137" s="801"/>
      <c r="B137" s="803"/>
      <c r="C137" s="125" t="s">
        <v>358</v>
      </c>
      <c r="D137" s="155"/>
      <c r="E137" s="68"/>
      <c r="F137" s="125"/>
      <c r="G137" s="125"/>
      <c r="H137" s="125"/>
      <c r="I137" s="125"/>
      <c r="J137" s="803"/>
      <c r="K137" s="117" t="str">
        <f>IFERROR(IF(D137="","",SUMIF('EXPERIENCIA '!$D$3:$D$672,D137,'EXPERIENCIA '!$AF$3:$AF$672)),"")</f>
        <v/>
      </c>
      <c r="L137" s="125" t="str">
        <f>IF(K137="","",IF(K137=0,0,IF(K137&gt;=PARÁMETROS!$O$5,"CUMPLE","NO CUMPLE")))</f>
        <v/>
      </c>
      <c r="M137" s="159" t="str">
        <f t="shared" si="12"/>
        <v/>
      </c>
      <c r="N137" s="107"/>
      <c r="O137" s="154" t="str">
        <f t="shared" si="13"/>
        <v>N/A</v>
      </c>
      <c r="P137" s="125" t="str">
        <f t="shared" si="14"/>
        <v>NO CUMPLE</v>
      </c>
      <c r="Q137" s="782"/>
      <c r="R137" s="784"/>
      <c r="AN137" s="781"/>
      <c r="AO137" s="781"/>
    </row>
    <row r="138" spans="1:41" ht="2" customHeight="1">
      <c r="A138" s="801"/>
      <c r="B138" s="803"/>
      <c r="C138" s="125" t="s">
        <v>359</v>
      </c>
      <c r="D138" s="155"/>
      <c r="E138" s="68"/>
      <c r="F138" s="125"/>
      <c r="G138" s="125"/>
      <c r="H138" s="125"/>
      <c r="I138" s="125"/>
      <c r="J138" s="803"/>
      <c r="K138" s="117" t="str">
        <f>IFERROR(IF(D138="","",SUMIF('EXPERIENCIA '!$D$3:$D$672,D138,'EXPERIENCIA '!$AF$3:$AF$672)),"")</f>
        <v/>
      </c>
      <c r="L138" s="125" t="str">
        <f>IF(K138="","",IF(K138=0,0,IF(K138&gt;=PARÁMETROS!$O$5,"CUMPLE","NO CUMPLE")))</f>
        <v/>
      </c>
      <c r="M138" s="159" t="str">
        <f t="shared" si="12"/>
        <v/>
      </c>
      <c r="N138" s="107"/>
      <c r="O138" s="154" t="str">
        <f t="shared" si="13"/>
        <v>N/A</v>
      </c>
      <c r="P138" s="125" t="str">
        <f t="shared" si="14"/>
        <v>NO CUMPLE</v>
      </c>
      <c r="Q138" s="782"/>
      <c r="R138" s="784"/>
      <c r="AN138" s="781"/>
      <c r="AO138" s="781"/>
    </row>
    <row r="139" spans="1:41" ht="2" customHeight="1">
      <c r="A139" s="801"/>
      <c r="B139" s="803"/>
      <c r="C139" s="125" t="s">
        <v>360</v>
      </c>
      <c r="D139" s="155"/>
      <c r="E139" s="68"/>
      <c r="F139" s="125"/>
      <c r="G139" s="125"/>
      <c r="H139" s="125"/>
      <c r="I139" s="125"/>
      <c r="J139" s="803"/>
      <c r="K139" s="117" t="str">
        <f>IFERROR(IF(D139="","",SUMIF('EXPERIENCIA '!$D$3:$D$672,D139,'EXPERIENCIA '!$AF$3:$AF$672)),"")</f>
        <v/>
      </c>
      <c r="L139" s="125" t="str">
        <f>IF(K139="","",IF(K139=0,0,IF(K139&gt;=PARÁMETROS!$O$5,"CUMPLE","NO CUMPLE")))</f>
        <v/>
      </c>
      <c r="M139" s="159" t="str">
        <f t="shared" si="12"/>
        <v/>
      </c>
      <c r="N139" s="107"/>
      <c r="O139" s="154" t="str">
        <f t="shared" si="13"/>
        <v>N/A</v>
      </c>
      <c r="P139" s="125" t="str">
        <f t="shared" si="14"/>
        <v>NO CUMPLE</v>
      </c>
      <c r="Q139" s="782"/>
      <c r="R139" s="784"/>
      <c r="AN139" s="781"/>
      <c r="AO139" s="781"/>
    </row>
    <row r="140" spans="1:41" ht="2" customHeight="1" thickBot="1">
      <c r="A140" s="802"/>
      <c r="B140" s="804"/>
      <c r="C140" s="133" t="s">
        <v>361</v>
      </c>
      <c r="D140" s="157"/>
      <c r="E140" s="104"/>
      <c r="F140" s="133"/>
      <c r="G140" s="133"/>
      <c r="H140" s="133"/>
      <c r="I140" s="133"/>
      <c r="J140" s="804"/>
      <c r="K140" s="136" t="str">
        <f>IFERROR(IF(D140="","",SUMIF('EXPERIENCIA '!$D$3:$D$672,D140,'EXPERIENCIA '!$AF$3:$AF$672)),"")</f>
        <v/>
      </c>
      <c r="L140" s="133" t="str">
        <f>IF(K140="","",IF(K140=0,0,IF(K140&gt;=PARÁMETROS!$O$5,"CUMPLE","NO CUMPLE")))</f>
        <v/>
      </c>
      <c r="M140" s="160" t="str">
        <f t="shared" si="12"/>
        <v/>
      </c>
      <c r="N140" s="107"/>
      <c r="O140" s="156" t="str">
        <f t="shared" si="13"/>
        <v>N/A</v>
      </c>
      <c r="P140" s="133" t="str">
        <f t="shared" si="14"/>
        <v>NO CUMPLE</v>
      </c>
      <c r="Q140" s="783"/>
      <c r="R140" s="785"/>
      <c r="AN140" s="575"/>
      <c r="AO140" s="575"/>
    </row>
    <row r="141" spans="1:41" ht="23.5" customHeight="1">
      <c r="A141" s="800" t="s">
        <v>285</v>
      </c>
      <c r="B141" s="730" t="s">
        <v>1070</v>
      </c>
      <c r="C141" s="111" t="s">
        <v>362</v>
      </c>
      <c r="D141" s="153" t="s">
        <v>1071</v>
      </c>
      <c r="E141" s="113">
        <v>0.6</v>
      </c>
      <c r="F141" s="111"/>
      <c r="G141" s="111"/>
      <c r="H141" s="111"/>
      <c r="I141" s="111"/>
      <c r="J141" s="730">
        <f>SUM(AN141:AO146)</f>
        <v>2</v>
      </c>
      <c r="K141" s="115">
        <f>IFERROR(IF(D141="","",SUMIF('EXPERIENCIA '!$D$3:$D$672,D141,'EXPERIENCIA '!$AF$3:$AF$672)),"")</f>
        <v>42366.068499999994</v>
      </c>
      <c r="L141" s="111" t="str">
        <f>IF(K141="","",IF(K141=0,0,IF(K141&gt;=PARÁMETROS!$O$5,"CUMPLE","NO CUMPLE")))</f>
        <v>CUMPLE</v>
      </c>
      <c r="M141" s="158" t="str">
        <f t="shared" ref="M141:M204" si="15">+IF(G141="ACREDITA",IF(L141="CUMPLE","CUMPLE","NO CUMPLE"),"")</f>
        <v/>
      </c>
      <c r="N141" s="107"/>
      <c r="O141" s="161" t="str">
        <f t="shared" ref="O141:O204" si="16">IFERROR(IF(OR(G141="",G141="N/A",G141="NO APLICA"),"N/A",IFERROR(IF(K141=0,"",IF(K141&gt;=PDMI,"CUMPLE","NO CUMPLE")),"")),"")</f>
        <v>N/A</v>
      </c>
      <c r="P141" s="121" t="str">
        <f t="shared" ref="P141:P204" si="17">IFERROR(IF(O141="N/A","NO CUMPLE",IFERROR(IF(G141="ACREDITA",IF(O141="CUMPLE","CUMPLE","NO CUMPLE"),""),"")),"")</f>
        <v>NO CUMPLE</v>
      </c>
      <c r="Q141" s="810">
        <v>1</v>
      </c>
      <c r="R141" s="812"/>
      <c r="AN141" s="574">
        <f>IF(COUNTIF(H141:H146,"ACREDITA")&gt;0,1,0)</f>
        <v>1</v>
      </c>
      <c r="AO141" s="574">
        <f>IF(COUNTIF(I141:I146,"ACREDITA")&gt;0,1,0)</f>
        <v>1</v>
      </c>
    </row>
    <row r="142" spans="1:41" ht="23.5" customHeight="1">
      <c r="A142" s="801"/>
      <c r="B142" s="803"/>
      <c r="C142" s="125" t="s">
        <v>363</v>
      </c>
      <c r="D142" s="155" t="s">
        <v>1072</v>
      </c>
      <c r="E142" s="68">
        <v>0.1</v>
      </c>
      <c r="F142" s="125"/>
      <c r="G142" s="125" t="s">
        <v>757</v>
      </c>
      <c r="H142" s="125"/>
      <c r="I142" s="125"/>
      <c r="J142" s="803"/>
      <c r="K142" s="117">
        <f>IFERROR(IF(D142="","",SUMIF('EXPERIENCIA '!$D$3:$D$672,D142,'EXPERIENCIA '!$AF$3:$AF$672)),"")</f>
        <v>25937.522300000001</v>
      </c>
      <c r="L142" s="125" t="str">
        <f>IF(K142="","",IF(K142=0,0,IF(K142&gt;=PARÁMETROS!$O$5,"CUMPLE","NO CUMPLE")))</f>
        <v>CUMPLE</v>
      </c>
      <c r="M142" s="159" t="str">
        <f t="shared" si="15"/>
        <v/>
      </c>
      <c r="N142" s="107"/>
      <c r="O142" s="154" t="str">
        <f t="shared" si="16"/>
        <v>CUMPLE</v>
      </c>
      <c r="P142" s="125" t="str">
        <f t="shared" si="17"/>
        <v/>
      </c>
      <c r="Q142" s="810"/>
      <c r="R142" s="812"/>
      <c r="AN142" s="781"/>
      <c r="AO142" s="781"/>
    </row>
    <row r="143" spans="1:41" ht="23.5" customHeight="1">
      <c r="A143" s="801"/>
      <c r="B143" s="803"/>
      <c r="C143" s="125" t="s">
        <v>364</v>
      </c>
      <c r="D143" s="155" t="s">
        <v>1073</v>
      </c>
      <c r="E143" s="68">
        <v>0.3</v>
      </c>
      <c r="F143" s="125"/>
      <c r="G143" s="125" t="s">
        <v>757</v>
      </c>
      <c r="H143" s="125" t="s">
        <v>744</v>
      </c>
      <c r="I143" s="125" t="s">
        <v>744</v>
      </c>
      <c r="J143" s="803"/>
      <c r="K143" s="117">
        <f>IFERROR(IF(D143="","",SUMIF('EXPERIENCIA '!$D$3:$D$672,D143,'EXPERIENCIA '!$AF$3:$AF$672)),"")</f>
        <v>8904.2639999999992</v>
      </c>
      <c r="L143" s="125" t="str">
        <f>IF(K143="","",IF(K143=0,0,IF(K143&gt;=PARÁMETROS!$O$5,"CUMPLE","NO CUMPLE")))</f>
        <v>NO CUMPLE</v>
      </c>
      <c r="M143" s="159" t="str">
        <f t="shared" si="15"/>
        <v/>
      </c>
      <c r="N143" s="107"/>
      <c r="O143" s="154" t="str">
        <f t="shared" si="16"/>
        <v>NO CUMPLE</v>
      </c>
      <c r="P143" s="125" t="str">
        <f t="shared" si="17"/>
        <v/>
      </c>
      <c r="Q143" s="810"/>
      <c r="R143" s="812"/>
      <c r="AN143" s="781"/>
      <c r="AO143" s="781"/>
    </row>
    <row r="144" spans="1:41" ht="2" customHeight="1">
      <c r="A144" s="801"/>
      <c r="B144" s="803"/>
      <c r="C144" s="125" t="s">
        <v>365</v>
      </c>
      <c r="D144" s="155"/>
      <c r="E144" s="68"/>
      <c r="F144" s="125"/>
      <c r="G144" s="125"/>
      <c r="H144" s="125"/>
      <c r="I144" s="125"/>
      <c r="J144" s="803"/>
      <c r="K144" s="117" t="str">
        <f>IFERROR(IF(D144="","",SUMIF('EXPERIENCIA '!$D$3:$D$672,D144,'EXPERIENCIA '!$AF$3:$AF$672)),"")</f>
        <v/>
      </c>
      <c r="L144" s="125" t="str">
        <f>IF(K144="","",IF(K144=0,0,IF(K144&gt;=PARÁMETROS!$O$5,"CUMPLE","NO CUMPLE")))</f>
        <v/>
      </c>
      <c r="M144" s="159" t="str">
        <f t="shared" si="15"/>
        <v/>
      </c>
      <c r="N144" s="107"/>
      <c r="O144" s="154" t="str">
        <f t="shared" si="16"/>
        <v>N/A</v>
      </c>
      <c r="P144" s="125" t="str">
        <f t="shared" si="17"/>
        <v>NO CUMPLE</v>
      </c>
      <c r="Q144" s="810"/>
      <c r="R144" s="812"/>
      <c r="AN144" s="781"/>
      <c r="AO144" s="781"/>
    </row>
    <row r="145" spans="1:41" ht="2" customHeight="1">
      <c r="A145" s="801"/>
      <c r="B145" s="803"/>
      <c r="C145" s="125" t="s">
        <v>366</v>
      </c>
      <c r="D145" s="155"/>
      <c r="E145" s="68"/>
      <c r="F145" s="125"/>
      <c r="G145" s="125"/>
      <c r="H145" s="125"/>
      <c r="I145" s="125"/>
      <c r="J145" s="803"/>
      <c r="K145" s="117" t="str">
        <f>IFERROR(IF(D145="","",SUMIF('EXPERIENCIA '!$D$3:$D$672,D145,'EXPERIENCIA '!$AF$3:$AF$672)),"")</f>
        <v/>
      </c>
      <c r="L145" s="125" t="str">
        <f>IF(K145="","",IF(K145=0,0,IF(K145&gt;=PARÁMETROS!$O$5,"CUMPLE","NO CUMPLE")))</f>
        <v/>
      </c>
      <c r="M145" s="159" t="str">
        <f t="shared" si="15"/>
        <v/>
      </c>
      <c r="N145" s="107"/>
      <c r="O145" s="154" t="str">
        <f t="shared" si="16"/>
        <v>N/A</v>
      </c>
      <c r="P145" s="125" t="str">
        <f t="shared" si="17"/>
        <v>NO CUMPLE</v>
      </c>
      <c r="Q145" s="810"/>
      <c r="R145" s="812"/>
      <c r="AN145" s="781"/>
      <c r="AO145" s="781"/>
    </row>
    <row r="146" spans="1:41" ht="2" customHeight="1" thickBot="1">
      <c r="A146" s="802"/>
      <c r="B146" s="804"/>
      <c r="C146" s="133" t="s">
        <v>367</v>
      </c>
      <c r="D146" s="157"/>
      <c r="E146" s="104"/>
      <c r="F146" s="133"/>
      <c r="G146" s="133"/>
      <c r="H146" s="133"/>
      <c r="I146" s="133"/>
      <c r="J146" s="804"/>
      <c r="K146" s="136" t="str">
        <f>IFERROR(IF(D146="","",SUMIF('EXPERIENCIA '!$D$3:$D$672,D146,'EXPERIENCIA '!$AF$3:$AF$672)),"")</f>
        <v/>
      </c>
      <c r="L146" s="133" t="str">
        <f>IF(K146="","",IF(K146=0,0,IF(K146&gt;=PARÁMETROS!$O$5,"CUMPLE","NO CUMPLE")))</f>
        <v/>
      </c>
      <c r="M146" s="160" t="str">
        <f t="shared" si="15"/>
        <v/>
      </c>
      <c r="N146" s="107"/>
      <c r="O146" s="156" t="str">
        <f t="shared" si="16"/>
        <v>N/A</v>
      </c>
      <c r="P146" s="133" t="str">
        <f t="shared" si="17"/>
        <v>NO CUMPLE</v>
      </c>
      <c r="Q146" s="811"/>
      <c r="R146" s="813"/>
      <c r="AN146" s="575"/>
      <c r="AO146" s="575"/>
    </row>
    <row r="147" spans="1:41" ht="23.5" customHeight="1" thickBot="1">
      <c r="A147" s="800" t="s">
        <v>286</v>
      </c>
      <c r="B147" s="730" t="s">
        <v>1074</v>
      </c>
      <c r="C147" s="111" t="s">
        <v>368</v>
      </c>
      <c r="D147" s="153" t="s">
        <v>1075</v>
      </c>
      <c r="E147" s="113">
        <v>0.9</v>
      </c>
      <c r="F147" s="111"/>
      <c r="G147" s="180"/>
      <c r="H147" s="180" t="s">
        <v>744</v>
      </c>
      <c r="I147" s="180" t="s">
        <v>744</v>
      </c>
      <c r="J147" s="730">
        <f>SUM(AN147:AO152)</f>
        <v>2</v>
      </c>
      <c r="K147" s="115">
        <f>IFERROR(IF(D147="","",SUMIF('EXPERIENCIA '!$D$3:$D$672,D147,'EXPERIENCIA '!$AF$3:$AF$672)),"")</f>
        <v>32884.0052</v>
      </c>
      <c r="L147" s="111" t="str">
        <f>IF(K147="","",IF(K147=0,0,IF(K147&gt;=PARÁMETROS!$O$5,"CUMPLE","NO CUMPLE")))</f>
        <v>CUMPLE</v>
      </c>
      <c r="M147" s="158" t="str">
        <f t="shared" si="15"/>
        <v/>
      </c>
      <c r="N147" s="107"/>
      <c r="O147" s="161" t="str">
        <f t="shared" si="16"/>
        <v>N/A</v>
      </c>
      <c r="P147" s="121" t="str">
        <f t="shared" si="17"/>
        <v>NO CUMPLE</v>
      </c>
      <c r="Q147" s="810">
        <v>1</v>
      </c>
      <c r="R147" s="812" t="s">
        <v>1344</v>
      </c>
      <c r="AN147" s="574">
        <f>IF(COUNTIF(H147:H152,"ACREDITA")&gt;0,1,0)</f>
        <v>1</v>
      </c>
      <c r="AO147" s="574">
        <f>IF(COUNTIF(I147:I152,"ACREDITA")&gt;0,1,0)</f>
        <v>1</v>
      </c>
    </row>
    <row r="148" spans="1:41" ht="23.5" customHeight="1">
      <c r="A148" s="801"/>
      <c r="B148" s="803"/>
      <c r="C148" s="125" t="s">
        <v>369</v>
      </c>
      <c r="D148" s="155" t="s">
        <v>1076</v>
      </c>
      <c r="E148" s="68">
        <v>0.1</v>
      </c>
      <c r="F148" s="125"/>
      <c r="G148" s="180" t="s">
        <v>744</v>
      </c>
      <c r="H148" s="3"/>
      <c r="I148" s="3"/>
      <c r="J148" s="803"/>
      <c r="K148" s="117">
        <f>IFERROR(IF(D148="","",SUMIF('EXPERIENCIA '!$D$3:$D$672,D148,'EXPERIENCIA '!$AF$3:$AF$672)),"")</f>
        <v>25822.12</v>
      </c>
      <c r="L148" s="125" t="str">
        <f>IF(K148="","",IF(K148=0,0,IF(K148&gt;=PARÁMETROS!$O$5,"CUMPLE","NO CUMPLE")))</f>
        <v>CUMPLE</v>
      </c>
      <c r="M148" s="159" t="str">
        <f t="shared" si="15"/>
        <v>CUMPLE</v>
      </c>
      <c r="N148" s="107"/>
      <c r="O148" s="154" t="str">
        <f t="shared" si="16"/>
        <v>CUMPLE</v>
      </c>
      <c r="P148" s="125" t="str">
        <f t="shared" si="17"/>
        <v>CUMPLE</v>
      </c>
      <c r="Q148" s="810"/>
      <c r="R148" s="812"/>
      <c r="AN148" s="781"/>
      <c r="AO148" s="781"/>
    </row>
    <row r="149" spans="1:41" ht="2" customHeight="1">
      <c r="A149" s="801"/>
      <c r="B149" s="803"/>
      <c r="C149" s="125" t="s">
        <v>370</v>
      </c>
      <c r="D149" s="155"/>
      <c r="E149" s="68"/>
      <c r="F149" s="125"/>
      <c r="G149" s="125"/>
      <c r="H149" s="125"/>
      <c r="I149" s="125"/>
      <c r="J149" s="803"/>
      <c r="K149" s="117" t="str">
        <f>IFERROR(IF(D149="","",SUMIF('EXPERIENCIA '!$D$3:$D$672,D149,'EXPERIENCIA '!$AF$3:$AF$672)),"")</f>
        <v/>
      </c>
      <c r="L149" s="125" t="str">
        <f>IF(K149="","",IF(K149=0,0,IF(K149&gt;=PARÁMETROS!$O$5,"CUMPLE","NO CUMPLE")))</f>
        <v/>
      </c>
      <c r="M149" s="159" t="str">
        <f t="shared" si="15"/>
        <v/>
      </c>
      <c r="N149" s="107"/>
      <c r="O149" s="154" t="str">
        <f t="shared" si="16"/>
        <v>N/A</v>
      </c>
      <c r="P149" s="125" t="str">
        <f t="shared" si="17"/>
        <v>NO CUMPLE</v>
      </c>
      <c r="Q149" s="810"/>
      <c r="R149" s="812"/>
      <c r="AN149" s="781"/>
      <c r="AO149" s="781"/>
    </row>
    <row r="150" spans="1:41" ht="2" customHeight="1">
      <c r="A150" s="801"/>
      <c r="B150" s="803"/>
      <c r="C150" s="125" t="s">
        <v>371</v>
      </c>
      <c r="D150" s="155"/>
      <c r="E150" s="68"/>
      <c r="F150" s="125"/>
      <c r="G150" s="125"/>
      <c r="H150" s="125"/>
      <c r="I150" s="125"/>
      <c r="J150" s="803"/>
      <c r="K150" s="117" t="str">
        <f>IFERROR(IF(D150="","",SUMIF('EXPERIENCIA '!$D$3:$D$672,D150,'EXPERIENCIA '!$AF$3:$AF$672)),"")</f>
        <v/>
      </c>
      <c r="L150" s="125" t="str">
        <f>IF(K150="","",IF(K150=0,0,IF(K150&gt;=PARÁMETROS!$O$5,"CUMPLE","NO CUMPLE")))</f>
        <v/>
      </c>
      <c r="M150" s="159" t="str">
        <f t="shared" si="15"/>
        <v/>
      </c>
      <c r="N150" s="107"/>
      <c r="O150" s="154" t="str">
        <f t="shared" si="16"/>
        <v>N/A</v>
      </c>
      <c r="P150" s="125" t="str">
        <f t="shared" si="17"/>
        <v>NO CUMPLE</v>
      </c>
      <c r="Q150" s="810"/>
      <c r="R150" s="812"/>
      <c r="AN150" s="781"/>
      <c r="AO150" s="781"/>
    </row>
    <row r="151" spans="1:41" ht="2" customHeight="1">
      <c r="A151" s="801"/>
      <c r="B151" s="803"/>
      <c r="C151" s="125" t="s">
        <v>372</v>
      </c>
      <c r="D151" s="155"/>
      <c r="E151" s="68"/>
      <c r="F151" s="125"/>
      <c r="G151" s="125"/>
      <c r="H151" s="125"/>
      <c r="I151" s="125"/>
      <c r="J151" s="803"/>
      <c r="K151" s="117" t="str">
        <f>IFERROR(IF(D151="","",SUMIF('EXPERIENCIA '!$D$3:$D$672,D151,'EXPERIENCIA '!$AF$3:$AF$672)),"")</f>
        <v/>
      </c>
      <c r="L151" s="125" t="str">
        <f>IF(K151="","",IF(K151=0,0,IF(K151&gt;=PARÁMETROS!$O$5,"CUMPLE","NO CUMPLE")))</f>
        <v/>
      </c>
      <c r="M151" s="159" t="str">
        <f t="shared" si="15"/>
        <v/>
      </c>
      <c r="N151" s="107"/>
      <c r="O151" s="154" t="str">
        <f t="shared" si="16"/>
        <v>N/A</v>
      </c>
      <c r="P151" s="125" t="str">
        <f t="shared" si="17"/>
        <v>NO CUMPLE</v>
      </c>
      <c r="Q151" s="810"/>
      <c r="R151" s="812"/>
      <c r="AN151" s="781"/>
      <c r="AO151" s="781"/>
    </row>
    <row r="152" spans="1:41" ht="2" customHeight="1" thickBot="1">
      <c r="A152" s="802"/>
      <c r="B152" s="804"/>
      <c r="C152" s="133" t="s">
        <v>373</v>
      </c>
      <c r="D152" s="157"/>
      <c r="E152" s="104"/>
      <c r="F152" s="133"/>
      <c r="G152" s="133"/>
      <c r="H152" s="133"/>
      <c r="I152" s="133"/>
      <c r="J152" s="804"/>
      <c r="K152" s="136" t="str">
        <f>IFERROR(IF(D152="","",SUMIF('EXPERIENCIA '!$D$3:$D$672,D152,'EXPERIENCIA '!$AF$3:$AF$672)),"")</f>
        <v/>
      </c>
      <c r="L152" s="133" t="str">
        <f>IF(K152="","",IF(K152=0,0,IF(K152&gt;=PARÁMETROS!$O$5,"CUMPLE","NO CUMPLE")))</f>
        <v/>
      </c>
      <c r="M152" s="160" t="str">
        <f t="shared" si="15"/>
        <v/>
      </c>
      <c r="N152" s="107"/>
      <c r="O152" s="156" t="str">
        <f t="shared" si="16"/>
        <v>N/A</v>
      </c>
      <c r="P152" s="133" t="str">
        <f t="shared" si="17"/>
        <v>NO CUMPLE</v>
      </c>
      <c r="Q152" s="811"/>
      <c r="R152" s="813"/>
      <c r="AN152" s="575"/>
      <c r="AO152" s="575"/>
    </row>
    <row r="153" spans="1:41" ht="23.5" customHeight="1">
      <c r="A153" s="800" t="s">
        <v>287</v>
      </c>
      <c r="B153" s="730" t="s">
        <v>1077</v>
      </c>
      <c r="C153" s="111" t="s">
        <v>374</v>
      </c>
      <c r="D153" s="153" t="s">
        <v>1078</v>
      </c>
      <c r="E153" s="113">
        <v>0.5</v>
      </c>
      <c r="F153" s="111"/>
      <c r="G153" s="111" t="s">
        <v>744</v>
      </c>
      <c r="H153" s="111"/>
      <c r="I153" s="111"/>
      <c r="J153" s="730">
        <f>SUM(AN153:AO158)</f>
        <v>2</v>
      </c>
      <c r="K153" s="115">
        <f>IFERROR(IF(D153="","",SUMIF('EXPERIENCIA '!$D$3:$D$672,D153,'EXPERIENCIA '!$AF$3:$AF$672)),"")</f>
        <v>11562.227999999999</v>
      </c>
      <c r="L153" s="111" t="str">
        <f>IF(K153="","",IF(K153=0,0,IF(K153&gt;=PARÁMETROS!$O$5,"CUMPLE","NO CUMPLE")))</f>
        <v>CUMPLE</v>
      </c>
      <c r="M153" s="158" t="str">
        <f t="shared" si="15"/>
        <v>CUMPLE</v>
      </c>
      <c r="N153" s="107"/>
      <c r="O153" s="161" t="str">
        <f t="shared" si="16"/>
        <v>NO CUMPLE</v>
      </c>
      <c r="P153" s="121" t="str">
        <f t="shared" si="17"/>
        <v>NO CUMPLE</v>
      </c>
      <c r="Q153" s="782">
        <v>1</v>
      </c>
      <c r="R153" s="782"/>
      <c r="AN153" s="574">
        <f>IF(COUNTIF(H153:H158,"ACREDITA")&gt;0,1,0)</f>
        <v>1</v>
      </c>
      <c r="AO153" s="574">
        <f>IF(COUNTIF(I153:I158,"ACREDITA")&gt;0,1,0)</f>
        <v>1</v>
      </c>
    </row>
    <row r="154" spans="1:41" ht="23.5" customHeight="1">
      <c r="A154" s="801"/>
      <c r="B154" s="803"/>
      <c r="C154" s="125" t="s">
        <v>375</v>
      </c>
      <c r="D154" s="155" t="s">
        <v>1079</v>
      </c>
      <c r="E154" s="68">
        <v>0.5</v>
      </c>
      <c r="F154" s="125"/>
      <c r="G154" s="125" t="s">
        <v>744</v>
      </c>
      <c r="H154" s="125" t="s">
        <v>744</v>
      </c>
      <c r="I154" s="125" t="s">
        <v>744</v>
      </c>
      <c r="J154" s="803"/>
      <c r="K154" s="117">
        <f>IFERROR(IF(D154="","",SUMIF('EXPERIENCIA '!$D$3:$D$672,D154,'EXPERIENCIA '!$AF$3:$AF$672)),"")</f>
        <v>30788.379700000001</v>
      </c>
      <c r="L154" s="125" t="str">
        <f>IF(K154="","",IF(K154=0,0,IF(K154&gt;=PARÁMETROS!$O$5,"CUMPLE","NO CUMPLE")))</f>
        <v>CUMPLE</v>
      </c>
      <c r="M154" s="159" t="str">
        <f t="shared" si="15"/>
        <v>CUMPLE</v>
      </c>
      <c r="N154" s="107"/>
      <c r="O154" s="154" t="str">
        <f t="shared" si="16"/>
        <v>CUMPLE</v>
      </c>
      <c r="P154" s="125" t="str">
        <f t="shared" si="17"/>
        <v>CUMPLE</v>
      </c>
      <c r="Q154" s="782"/>
      <c r="R154" s="782"/>
      <c r="AN154" s="781"/>
      <c r="AO154" s="781"/>
    </row>
    <row r="155" spans="1:41" ht="2" customHeight="1">
      <c r="A155" s="801"/>
      <c r="B155" s="803"/>
      <c r="C155" s="125" t="s">
        <v>376</v>
      </c>
      <c r="D155" s="155"/>
      <c r="E155" s="68"/>
      <c r="F155" s="125"/>
      <c r="G155" s="125"/>
      <c r="H155" s="125"/>
      <c r="I155" s="125"/>
      <c r="J155" s="803"/>
      <c r="K155" s="117" t="str">
        <f>IFERROR(IF(D155="","",SUMIF('EXPERIENCIA '!$D$3:$D$672,D155,'EXPERIENCIA '!$AF$3:$AF$672)),"")</f>
        <v/>
      </c>
      <c r="L155" s="125" t="str">
        <f>IF(K155="","",IF(K155=0,0,IF(K155&gt;=PARÁMETROS!$O$5,"CUMPLE","NO CUMPLE")))</f>
        <v/>
      </c>
      <c r="M155" s="159" t="str">
        <f t="shared" si="15"/>
        <v/>
      </c>
      <c r="N155" s="107"/>
      <c r="O155" s="154" t="str">
        <f t="shared" si="16"/>
        <v>N/A</v>
      </c>
      <c r="P155" s="125" t="str">
        <f t="shared" si="17"/>
        <v>NO CUMPLE</v>
      </c>
      <c r="Q155" s="782"/>
      <c r="R155" s="782"/>
      <c r="AN155" s="781"/>
      <c r="AO155" s="781"/>
    </row>
    <row r="156" spans="1:41" ht="2" customHeight="1">
      <c r="A156" s="801"/>
      <c r="B156" s="803"/>
      <c r="C156" s="125" t="s">
        <v>377</v>
      </c>
      <c r="D156" s="155"/>
      <c r="E156" s="68"/>
      <c r="F156" s="125"/>
      <c r="G156" s="125"/>
      <c r="H156" s="125"/>
      <c r="I156" s="125"/>
      <c r="J156" s="803"/>
      <c r="K156" s="117" t="str">
        <f>IFERROR(IF(D156="","",SUMIF('EXPERIENCIA '!$D$3:$D$672,D156,'EXPERIENCIA '!$AF$3:$AF$672)),"")</f>
        <v/>
      </c>
      <c r="L156" s="125" t="str">
        <f>IF(K156="","",IF(K156=0,0,IF(K156&gt;=PARÁMETROS!$O$5,"CUMPLE","NO CUMPLE")))</f>
        <v/>
      </c>
      <c r="M156" s="159" t="str">
        <f t="shared" si="15"/>
        <v/>
      </c>
      <c r="N156" s="107"/>
      <c r="O156" s="154" t="str">
        <f t="shared" si="16"/>
        <v>N/A</v>
      </c>
      <c r="P156" s="125" t="str">
        <f t="shared" si="17"/>
        <v>NO CUMPLE</v>
      </c>
      <c r="Q156" s="782"/>
      <c r="R156" s="782"/>
      <c r="AN156" s="781"/>
      <c r="AO156" s="781"/>
    </row>
    <row r="157" spans="1:41" ht="2" customHeight="1">
      <c r="A157" s="801"/>
      <c r="B157" s="803"/>
      <c r="C157" s="125" t="s">
        <v>378</v>
      </c>
      <c r="D157" s="155"/>
      <c r="E157" s="68"/>
      <c r="F157" s="125"/>
      <c r="G157" s="125"/>
      <c r="H157" s="125"/>
      <c r="I157" s="125"/>
      <c r="J157" s="803"/>
      <c r="K157" s="117" t="str">
        <f>IFERROR(IF(D157="","",SUMIF('EXPERIENCIA '!$D$3:$D$672,D157,'EXPERIENCIA '!$AF$3:$AF$672)),"")</f>
        <v/>
      </c>
      <c r="L157" s="125" t="str">
        <f>IF(K157="","",IF(K157=0,0,IF(K157&gt;=PARÁMETROS!$O$5,"CUMPLE","NO CUMPLE")))</f>
        <v/>
      </c>
      <c r="M157" s="159" t="str">
        <f t="shared" si="15"/>
        <v/>
      </c>
      <c r="N157" s="107"/>
      <c r="O157" s="154" t="str">
        <f t="shared" si="16"/>
        <v>N/A</v>
      </c>
      <c r="P157" s="125" t="str">
        <f t="shared" si="17"/>
        <v>NO CUMPLE</v>
      </c>
      <c r="Q157" s="782"/>
      <c r="R157" s="782"/>
      <c r="AN157" s="781"/>
      <c r="AO157" s="781"/>
    </row>
    <row r="158" spans="1:41" ht="2" customHeight="1" thickBot="1">
      <c r="A158" s="802"/>
      <c r="B158" s="804"/>
      <c r="C158" s="133" t="s">
        <v>379</v>
      </c>
      <c r="D158" s="157"/>
      <c r="E158" s="104"/>
      <c r="F158" s="133"/>
      <c r="G158" s="133"/>
      <c r="H158" s="133"/>
      <c r="I158" s="133"/>
      <c r="J158" s="804"/>
      <c r="K158" s="136" t="str">
        <f>IFERROR(IF(D158="","",SUMIF('EXPERIENCIA '!$D$3:$D$672,D158,'EXPERIENCIA '!$AF$3:$AF$672)),"")</f>
        <v/>
      </c>
      <c r="L158" s="133" t="str">
        <f>IF(K158="","",IF(K158=0,0,IF(K158&gt;=PARÁMETROS!$O$5,"CUMPLE","NO CUMPLE")))</f>
        <v/>
      </c>
      <c r="M158" s="160" t="str">
        <f t="shared" si="15"/>
        <v/>
      </c>
      <c r="N158" s="107"/>
      <c r="O158" s="156" t="str">
        <f t="shared" si="16"/>
        <v>N/A</v>
      </c>
      <c r="P158" s="133" t="str">
        <f t="shared" si="17"/>
        <v>NO CUMPLE</v>
      </c>
      <c r="Q158" s="783"/>
      <c r="R158" s="783"/>
      <c r="AN158" s="575"/>
      <c r="AO158" s="575"/>
    </row>
    <row r="159" spans="1:41" ht="23.5" customHeight="1">
      <c r="A159" s="800" t="s">
        <v>288</v>
      </c>
      <c r="B159" s="730" t="s">
        <v>1080</v>
      </c>
      <c r="C159" s="111" t="s">
        <v>380</v>
      </c>
      <c r="D159" s="153" t="s">
        <v>1081</v>
      </c>
      <c r="E159" s="113">
        <v>0.6</v>
      </c>
      <c r="F159" s="111"/>
      <c r="G159" s="111" t="s">
        <v>744</v>
      </c>
      <c r="H159" s="111"/>
      <c r="I159" s="111" t="s">
        <v>744</v>
      </c>
      <c r="J159" s="730">
        <f>SUM(AN159:AO164)</f>
        <v>2</v>
      </c>
      <c r="K159" s="115">
        <f>IFERROR(IF(D159="","",SUMIF('EXPERIENCIA '!$D$3:$D$672,D159,'EXPERIENCIA '!$AF$3:$AF$672)),"")</f>
        <v>45566.437999999995</v>
      </c>
      <c r="L159" s="111" t="str">
        <f>IF(K159="","",IF(K159=0,0,IF(K159&gt;=PARÁMETROS!$O$5,"CUMPLE","NO CUMPLE")))</f>
        <v>CUMPLE</v>
      </c>
      <c r="M159" s="158" t="str">
        <f t="shared" si="15"/>
        <v>CUMPLE</v>
      </c>
      <c r="N159" s="107"/>
      <c r="O159" s="161" t="str">
        <f t="shared" si="16"/>
        <v>CUMPLE</v>
      </c>
      <c r="P159" s="121" t="str">
        <f t="shared" si="17"/>
        <v>CUMPLE</v>
      </c>
      <c r="Q159" s="782">
        <v>1</v>
      </c>
      <c r="R159" s="782"/>
      <c r="AN159" s="574">
        <f>IF(COUNTIF(H159:H164,"ACREDITA")&gt;0,1,0)</f>
        <v>1</v>
      </c>
      <c r="AO159" s="574">
        <f>IF(COUNTIF(I159:I164,"ACREDITA")&gt;0,1,0)</f>
        <v>1</v>
      </c>
    </row>
    <row r="160" spans="1:41" ht="23.5" customHeight="1">
      <c r="A160" s="801"/>
      <c r="B160" s="803"/>
      <c r="C160" s="125" t="s">
        <v>381</v>
      </c>
      <c r="D160" s="155" t="s">
        <v>1082</v>
      </c>
      <c r="E160" s="68">
        <v>0.4</v>
      </c>
      <c r="F160" s="125"/>
      <c r="G160" s="125" t="s">
        <v>744</v>
      </c>
      <c r="H160" s="125" t="s">
        <v>744</v>
      </c>
      <c r="I160" s="125" t="s">
        <v>744</v>
      </c>
      <c r="J160" s="803"/>
      <c r="K160" s="117">
        <f>IFERROR(IF(D160="","",SUMIF('EXPERIENCIA '!$D$3:$D$672,D160,'EXPERIENCIA '!$AF$3:$AF$672)),"")</f>
        <v>8547.768</v>
      </c>
      <c r="L160" s="125" t="str">
        <f>IF(K160="","",IF(K160=0,0,IF(K160&gt;=PARÁMETROS!$O$5,"CUMPLE","NO CUMPLE")))</f>
        <v>NO CUMPLE</v>
      </c>
      <c r="M160" s="159" t="str">
        <f t="shared" si="15"/>
        <v>NO CUMPLE</v>
      </c>
      <c r="N160" s="107"/>
      <c r="O160" s="154" t="str">
        <f t="shared" si="16"/>
        <v>NO CUMPLE</v>
      </c>
      <c r="P160" s="125" t="str">
        <f t="shared" si="17"/>
        <v>NO CUMPLE</v>
      </c>
      <c r="Q160" s="782"/>
      <c r="R160" s="782"/>
      <c r="AN160" s="781"/>
      <c r="AO160" s="781"/>
    </row>
    <row r="161" spans="1:41" ht="2" customHeight="1">
      <c r="A161" s="801"/>
      <c r="B161" s="803"/>
      <c r="C161" s="125" t="s">
        <v>382</v>
      </c>
      <c r="D161" s="155"/>
      <c r="E161" s="68"/>
      <c r="F161" s="125"/>
      <c r="G161" s="125"/>
      <c r="H161" s="125"/>
      <c r="I161" s="125"/>
      <c r="J161" s="803"/>
      <c r="K161" s="117" t="str">
        <f>IFERROR(IF(D161="","",SUMIF('EXPERIENCIA '!$D$3:$D$672,D161,'EXPERIENCIA '!$AF$3:$AF$672)),"")</f>
        <v/>
      </c>
      <c r="L161" s="125" t="str">
        <f>IF(K161="","",IF(K161=0,0,IF(K161&gt;=PARÁMETROS!$O$5,"CUMPLE","NO CUMPLE")))</f>
        <v/>
      </c>
      <c r="M161" s="159" t="str">
        <f t="shared" si="15"/>
        <v/>
      </c>
      <c r="N161" s="107"/>
      <c r="O161" s="154" t="str">
        <f t="shared" si="16"/>
        <v>N/A</v>
      </c>
      <c r="P161" s="125" t="str">
        <f t="shared" si="17"/>
        <v>NO CUMPLE</v>
      </c>
      <c r="Q161" s="782"/>
      <c r="R161" s="782"/>
      <c r="AN161" s="781"/>
      <c r="AO161" s="781"/>
    </row>
    <row r="162" spans="1:41" ht="2" customHeight="1">
      <c r="A162" s="801"/>
      <c r="B162" s="803"/>
      <c r="C162" s="125" t="s">
        <v>383</v>
      </c>
      <c r="D162" s="155"/>
      <c r="E162" s="68"/>
      <c r="F162" s="125"/>
      <c r="G162" s="125"/>
      <c r="H162" s="125"/>
      <c r="I162" s="125"/>
      <c r="J162" s="803"/>
      <c r="K162" s="117" t="str">
        <f>IFERROR(IF(D162="","",SUMIF('EXPERIENCIA '!$D$3:$D$672,D162,'EXPERIENCIA '!$AF$3:$AF$672)),"")</f>
        <v/>
      </c>
      <c r="L162" s="125" t="str">
        <f>IF(K162="","",IF(K162=0,0,IF(K162&gt;=PARÁMETROS!$O$5,"CUMPLE","NO CUMPLE")))</f>
        <v/>
      </c>
      <c r="M162" s="159" t="str">
        <f t="shared" si="15"/>
        <v/>
      </c>
      <c r="N162" s="107"/>
      <c r="O162" s="154" t="str">
        <f t="shared" si="16"/>
        <v>N/A</v>
      </c>
      <c r="P162" s="125" t="str">
        <f t="shared" si="17"/>
        <v>NO CUMPLE</v>
      </c>
      <c r="Q162" s="782"/>
      <c r="R162" s="782"/>
      <c r="AN162" s="781"/>
      <c r="AO162" s="781"/>
    </row>
    <row r="163" spans="1:41" ht="2" customHeight="1">
      <c r="A163" s="801"/>
      <c r="B163" s="803"/>
      <c r="C163" s="125" t="s">
        <v>384</v>
      </c>
      <c r="D163" s="155"/>
      <c r="E163" s="68"/>
      <c r="F163" s="125"/>
      <c r="G163" s="125"/>
      <c r="H163" s="125"/>
      <c r="I163" s="125"/>
      <c r="J163" s="803"/>
      <c r="K163" s="117" t="str">
        <f>IFERROR(IF(D163="","",SUMIF('EXPERIENCIA '!$D$3:$D$672,D163,'EXPERIENCIA '!$AF$3:$AF$672)),"")</f>
        <v/>
      </c>
      <c r="L163" s="125" t="str">
        <f>IF(K163="","",IF(K163=0,0,IF(K163&gt;=PARÁMETROS!$O$5,"CUMPLE","NO CUMPLE")))</f>
        <v/>
      </c>
      <c r="M163" s="159" t="str">
        <f t="shared" si="15"/>
        <v/>
      </c>
      <c r="N163" s="107"/>
      <c r="O163" s="154" t="str">
        <f t="shared" si="16"/>
        <v>N/A</v>
      </c>
      <c r="P163" s="125" t="str">
        <f t="shared" si="17"/>
        <v>NO CUMPLE</v>
      </c>
      <c r="Q163" s="782"/>
      <c r="R163" s="782"/>
      <c r="AN163" s="781"/>
      <c r="AO163" s="781"/>
    </row>
    <row r="164" spans="1:41" ht="2" customHeight="1" thickBot="1">
      <c r="A164" s="802"/>
      <c r="B164" s="804"/>
      <c r="C164" s="133" t="s">
        <v>385</v>
      </c>
      <c r="D164" s="157"/>
      <c r="E164" s="104"/>
      <c r="F164" s="133"/>
      <c r="G164" s="133"/>
      <c r="H164" s="133"/>
      <c r="I164" s="133"/>
      <c r="J164" s="804"/>
      <c r="K164" s="136" t="str">
        <f>IFERROR(IF(D164="","",SUMIF('EXPERIENCIA '!$D$3:$D$672,D164,'EXPERIENCIA '!$AF$3:$AF$672)),"")</f>
        <v/>
      </c>
      <c r="L164" s="133" t="str">
        <f>IF(K164="","",IF(K164=0,0,IF(K164&gt;=PARÁMETROS!$O$5,"CUMPLE","NO CUMPLE")))</f>
        <v/>
      </c>
      <c r="M164" s="160" t="str">
        <f t="shared" si="15"/>
        <v/>
      </c>
      <c r="N164" s="107"/>
      <c r="O164" s="156" t="str">
        <f t="shared" si="16"/>
        <v>N/A</v>
      </c>
      <c r="P164" s="133" t="str">
        <f t="shared" si="17"/>
        <v>NO CUMPLE</v>
      </c>
      <c r="Q164" s="783"/>
      <c r="R164" s="783"/>
      <c r="AN164" s="575"/>
      <c r="AO164" s="575"/>
    </row>
    <row r="165" spans="1:41" ht="23.5" customHeight="1">
      <c r="A165" s="800" t="s">
        <v>289</v>
      </c>
      <c r="B165" s="730" t="s">
        <v>1184</v>
      </c>
      <c r="C165" s="111" t="s">
        <v>386</v>
      </c>
      <c r="D165" s="153" t="s">
        <v>1185</v>
      </c>
      <c r="E165" s="113">
        <v>0.3</v>
      </c>
      <c r="F165" s="111"/>
      <c r="G165" s="111"/>
      <c r="H165" s="111" t="s">
        <v>744</v>
      </c>
      <c r="I165" s="111" t="s">
        <v>744</v>
      </c>
      <c r="J165" s="730">
        <f>SUM(AN165:AO170)</f>
        <v>2</v>
      </c>
      <c r="K165" s="115">
        <f>IFERROR(IF(D165="","",SUMIF('EXPERIENCIA '!$D$3:$D$672,D165,'EXPERIENCIA '!$AF$3:$AF$672)),"")</f>
        <v>5259.4769999999999</v>
      </c>
      <c r="L165" s="111" t="str">
        <f>IF(K165="","",IF(K165=0,0,IF(K165&gt;=PARÁMETROS!$O$5,"CUMPLE","NO CUMPLE")))</f>
        <v>NO CUMPLE</v>
      </c>
      <c r="M165" s="158" t="str">
        <f t="shared" si="15"/>
        <v/>
      </c>
      <c r="N165" s="107"/>
      <c r="O165" s="161" t="str">
        <f t="shared" si="16"/>
        <v>N/A</v>
      </c>
      <c r="P165" s="121" t="str">
        <f t="shared" si="17"/>
        <v>NO CUMPLE</v>
      </c>
      <c r="Q165" s="782">
        <v>1</v>
      </c>
      <c r="R165" s="784"/>
      <c r="AN165" s="574">
        <f>IF(COUNTIF(H165:H170,"ACREDITA")&gt;0,1,0)</f>
        <v>1</v>
      </c>
      <c r="AO165" s="574">
        <f>IF(COUNTIF(I165:I170,"ACREDITA")&gt;0,1,0)</f>
        <v>1</v>
      </c>
    </row>
    <row r="166" spans="1:41" ht="23.5" customHeight="1">
      <c r="A166" s="801"/>
      <c r="B166" s="803"/>
      <c r="C166" s="125" t="s">
        <v>387</v>
      </c>
      <c r="D166" s="155" t="s">
        <v>1186</v>
      </c>
      <c r="E166" s="68">
        <v>0.3</v>
      </c>
      <c r="F166" s="125"/>
      <c r="G166" s="125" t="s">
        <v>744</v>
      </c>
      <c r="H166" s="125" t="s">
        <v>744</v>
      </c>
      <c r="I166" s="125" t="s">
        <v>744</v>
      </c>
      <c r="J166" s="803"/>
      <c r="K166" s="117">
        <f>IFERROR(IF(D166="","",SUMIF('EXPERIENCIA '!$D$3:$D$672,D166,'EXPERIENCIA '!$AF$3:$AF$672)),"")</f>
        <v>4200.7749999999996</v>
      </c>
      <c r="L166" s="125" t="str">
        <f>IF(K166="","",IF(K166=0,0,IF(K166&gt;=PARÁMETROS!$O$5,"CUMPLE","NO CUMPLE")))</f>
        <v>NO CUMPLE</v>
      </c>
      <c r="M166" s="159" t="str">
        <f t="shared" si="15"/>
        <v>NO CUMPLE</v>
      </c>
      <c r="N166" s="107"/>
      <c r="O166" s="154" t="str">
        <f t="shared" si="16"/>
        <v>NO CUMPLE</v>
      </c>
      <c r="P166" s="125" t="str">
        <f t="shared" si="17"/>
        <v>NO CUMPLE</v>
      </c>
      <c r="Q166" s="782"/>
      <c r="R166" s="784"/>
      <c r="AN166" s="781"/>
      <c r="AO166" s="781"/>
    </row>
    <row r="167" spans="1:41" ht="23.5" customHeight="1">
      <c r="A167" s="801"/>
      <c r="B167" s="803"/>
      <c r="C167" s="125" t="s">
        <v>388</v>
      </c>
      <c r="D167" s="155" t="s">
        <v>1187</v>
      </c>
      <c r="E167" s="68">
        <v>0.4</v>
      </c>
      <c r="F167" s="125"/>
      <c r="G167" s="125"/>
      <c r="H167" s="125"/>
      <c r="I167" s="125" t="s">
        <v>744</v>
      </c>
      <c r="J167" s="803"/>
      <c r="K167" s="117">
        <f>IFERROR(IF(D167="","",SUMIF('EXPERIENCIA '!$D$3:$D$672,D167,'EXPERIENCIA '!$AF$3:$AF$672)),"")</f>
        <v>118700.99500000001</v>
      </c>
      <c r="L167" s="125" t="str">
        <f>IF(K167="","",IF(K167=0,0,IF(K167&gt;=PARÁMETROS!$O$5,"CUMPLE","NO CUMPLE")))</f>
        <v>CUMPLE</v>
      </c>
      <c r="M167" s="159" t="str">
        <f t="shared" si="15"/>
        <v/>
      </c>
      <c r="N167" s="107"/>
      <c r="O167" s="154" t="str">
        <f t="shared" si="16"/>
        <v>N/A</v>
      </c>
      <c r="P167" s="125" t="str">
        <f t="shared" si="17"/>
        <v>NO CUMPLE</v>
      </c>
      <c r="Q167" s="782"/>
      <c r="R167" s="784"/>
      <c r="AN167" s="781"/>
      <c r="AO167" s="781"/>
    </row>
    <row r="168" spans="1:41" ht="2" customHeight="1">
      <c r="A168" s="801"/>
      <c r="B168" s="803"/>
      <c r="C168" s="125" t="s">
        <v>389</v>
      </c>
      <c r="D168" s="155"/>
      <c r="E168" s="68"/>
      <c r="F168" s="125"/>
      <c r="G168" s="125"/>
      <c r="H168" s="125"/>
      <c r="I168" s="125"/>
      <c r="J168" s="803"/>
      <c r="K168" s="117" t="str">
        <f>IFERROR(IF(D168="","",SUMIF('EXPERIENCIA '!$D$3:$D$672,D168,'EXPERIENCIA '!$AF$3:$AF$672)),"")</f>
        <v/>
      </c>
      <c r="L168" s="125" t="str">
        <f>IF(K168="","",IF(K168=0,0,IF(K168&gt;=PARÁMETROS!$O$5,"CUMPLE","NO CUMPLE")))</f>
        <v/>
      </c>
      <c r="M168" s="159" t="str">
        <f t="shared" si="15"/>
        <v/>
      </c>
      <c r="N168" s="107"/>
      <c r="O168" s="154" t="str">
        <f t="shared" si="16"/>
        <v>N/A</v>
      </c>
      <c r="P168" s="125" t="str">
        <f t="shared" si="17"/>
        <v>NO CUMPLE</v>
      </c>
      <c r="Q168" s="782"/>
      <c r="R168" s="784"/>
      <c r="AN168" s="781"/>
      <c r="AO168" s="781"/>
    </row>
    <row r="169" spans="1:41" ht="2" customHeight="1">
      <c r="A169" s="801"/>
      <c r="B169" s="803"/>
      <c r="C169" s="125" t="s">
        <v>390</v>
      </c>
      <c r="D169" s="155"/>
      <c r="E169" s="68"/>
      <c r="F169" s="125"/>
      <c r="G169" s="125"/>
      <c r="H169" s="125"/>
      <c r="I169" s="125"/>
      <c r="J169" s="803"/>
      <c r="K169" s="117" t="str">
        <f>IFERROR(IF(D169="","",SUMIF('EXPERIENCIA '!$D$3:$D$672,D169,'EXPERIENCIA '!$AF$3:$AF$672)),"")</f>
        <v/>
      </c>
      <c r="L169" s="125" t="str">
        <f>IF(K169="","",IF(K169=0,0,IF(K169&gt;=PARÁMETROS!$O$5,"CUMPLE","NO CUMPLE")))</f>
        <v/>
      </c>
      <c r="M169" s="159" t="str">
        <f t="shared" si="15"/>
        <v/>
      </c>
      <c r="N169" s="107"/>
      <c r="O169" s="154" t="str">
        <f t="shared" si="16"/>
        <v>N/A</v>
      </c>
      <c r="P169" s="125" t="str">
        <f t="shared" si="17"/>
        <v>NO CUMPLE</v>
      </c>
      <c r="Q169" s="782"/>
      <c r="R169" s="784"/>
      <c r="AN169" s="781"/>
      <c r="AO169" s="781"/>
    </row>
    <row r="170" spans="1:41" ht="2" customHeight="1" thickBot="1">
      <c r="A170" s="802"/>
      <c r="B170" s="804"/>
      <c r="C170" s="133" t="s">
        <v>391</v>
      </c>
      <c r="D170" s="157"/>
      <c r="E170" s="104"/>
      <c r="F170" s="133"/>
      <c r="G170" s="133"/>
      <c r="H170" s="133"/>
      <c r="I170" s="133"/>
      <c r="J170" s="804"/>
      <c r="K170" s="136" t="str">
        <f>IFERROR(IF(D170="","",SUMIF('EXPERIENCIA '!$D$3:$D$672,D170,'EXPERIENCIA '!$AF$3:$AF$672)),"")</f>
        <v/>
      </c>
      <c r="L170" s="133" t="str">
        <f>IF(K170="","",IF(K170=0,0,IF(K170&gt;=PARÁMETROS!$O$5,"CUMPLE","NO CUMPLE")))</f>
        <v/>
      </c>
      <c r="M170" s="160" t="str">
        <f t="shared" si="15"/>
        <v/>
      </c>
      <c r="N170" s="107"/>
      <c r="O170" s="156" t="str">
        <f t="shared" si="16"/>
        <v>N/A</v>
      </c>
      <c r="P170" s="133" t="str">
        <f t="shared" si="17"/>
        <v>NO CUMPLE</v>
      </c>
      <c r="Q170" s="783"/>
      <c r="R170" s="785"/>
      <c r="AN170" s="575"/>
      <c r="AO170" s="575"/>
    </row>
    <row r="171" spans="1:41" ht="23.5" customHeight="1">
      <c r="A171" s="800" t="s">
        <v>290</v>
      </c>
      <c r="B171" s="730" t="s">
        <v>1188</v>
      </c>
      <c r="C171" s="111" t="s">
        <v>392</v>
      </c>
      <c r="D171" s="153" t="s">
        <v>1189</v>
      </c>
      <c r="E171" s="113">
        <v>0.33</v>
      </c>
      <c r="F171" s="111"/>
      <c r="G171" s="111" t="s">
        <v>744</v>
      </c>
      <c r="H171" s="111"/>
      <c r="I171" s="111"/>
      <c r="J171" s="730">
        <f>SUM(AN171:AO176)</f>
        <v>2</v>
      </c>
      <c r="K171" s="115">
        <f>IFERROR(IF(D171="","",SUMIF('EXPERIENCIA '!$D$3:$D$672,D171,'EXPERIENCIA '!$AF$3:$AF$672)),"")</f>
        <v>18058.684000000001</v>
      </c>
      <c r="L171" s="111" t="str">
        <f>IF(K171="","",IF(K171=0,0,IF(K171&gt;=PARÁMETROS!$O$5,"CUMPLE","NO CUMPLE")))</f>
        <v>CUMPLE</v>
      </c>
      <c r="M171" s="158" t="str">
        <f t="shared" si="15"/>
        <v>CUMPLE</v>
      </c>
      <c r="N171" s="107"/>
      <c r="O171" s="161" t="str">
        <f t="shared" si="16"/>
        <v>CUMPLE</v>
      </c>
      <c r="P171" s="121" t="str">
        <f t="shared" si="17"/>
        <v>CUMPLE</v>
      </c>
      <c r="Q171" s="782">
        <v>1</v>
      </c>
      <c r="R171" s="784"/>
      <c r="AN171" s="574">
        <f>IF(COUNTIF(H171:H176,"ACREDITA")&gt;0,1,0)</f>
        <v>1</v>
      </c>
      <c r="AO171" s="574">
        <f>IF(COUNTIF(I171:I176,"ACREDITA")&gt;0,1,0)</f>
        <v>1</v>
      </c>
    </row>
    <row r="172" spans="1:41" ht="23.5" customHeight="1">
      <c r="A172" s="801"/>
      <c r="B172" s="803"/>
      <c r="C172" s="125" t="s">
        <v>393</v>
      </c>
      <c r="D172" s="155" t="s">
        <v>1190</v>
      </c>
      <c r="E172" s="68">
        <v>0.33500000000000002</v>
      </c>
      <c r="F172" s="125"/>
      <c r="G172" s="125" t="s">
        <v>744</v>
      </c>
      <c r="H172" s="125" t="s">
        <v>744</v>
      </c>
      <c r="I172" s="125" t="s">
        <v>744</v>
      </c>
      <c r="J172" s="803"/>
      <c r="K172" s="117">
        <f>IFERROR(IF(D172="","",SUMIF('EXPERIENCIA '!$D$3:$D$672,D172,'EXPERIENCIA '!$AF$3:$AF$672)),"")</f>
        <v>19365.7575</v>
      </c>
      <c r="L172" s="125" t="str">
        <f>IF(K172="","",IF(K172=0,0,IF(K172&gt;=PARÁMETROS!$O$5,"CUMPLE","NO CUMPLE")))</f>
        <v>CUMPLE</v>
      </c>
      <c r="M172" s="159" t="str">
        <f t="shared" si="15"/>
        <v>CUMPLE</v>
      </c>
      <c r="N172" s="107"/>
      <c r="O172" s="154" t="str">
        <f t="shared" si="16"/>
        <v>CUMPLE</v>
      </c>
      <c r="P172" s="125" t="str">
        <f t="shared" si="17"/>
        <v>CUMPLE</v>
      </c>
      <c r="Q172" s="782"/>
      <c r="R172" s="784"/>
      <c r="AN172" s="781"/>
      <c r="AO172" s="781"/>
    </row>
    <row r="173" spans="1:41" ht="23.5" customHeight="1">
      <c r="A173" s="801"/>
      <c r="B173" s="803"/>
      <c r="C173" s="125" t="s">
        <v>394</v>
      </c>
      <c r="D173" s="155" t="s">
        <v>1191</v>
      </c>
      <c r="E173" s="68">
        <v>0.33500000000000002</v>
      </c>
      <c r="F173" s="125"/>
      <c r="G173" s="125"/>
      <c r="H173" s="125"/>
      <c r="I173" s="125"/>
      <c r="J173" s="803"/>
      <c r="K173" s="117">
        <f>IFERROR(IF(D173="","",SUMIF('EXPERIENCIA '!$D$3:$D$672,D173,'EXPERIENCIA '!$AF$3:$AF$672)),"")</f>
        <v>73055.33</v>
      </c>
      <c r="L173" s="125" t="str">
        <f>IF(K173="","",IF(K173=0,0,IF(K173&gt;=PARÁMETROS!$O$5,"CUMPLE","NO CUMPLE")))</f>
        <v>CUMPLE</v>
      </c>
      <c r="M173" s="159" t="str">
        <f t="shared" si="15"/>
        <v/>
      </c>
      <c r="N173" s="107"/>
      <c r="O173" s="154" t="str">
        <f t="shared" si="16"/>
        <v>N/A</v>
      </c>
      <c r="P173" s="125" t="str">
        <f t="shared" si="17"/>
        <v>NO CUMPLE</v>
      </c>
      <c r="Q173" s="782"/>
      <c r="R173" s="784"/>
      <c r="AN173" s="781"/>
      <c r="AO173" s="781"/>
    </row>
    <row r="174" spans="1:41" ht="2" customHeight="1">
      <c r="A174" s="801"/>
      <c r="B174" s="803"/>
      <c r="C174" s="125" t="s">
        <v>395</v>
      </c>
      <c r="D174" s="155"/>
      <c r="E174" s="68"/>
      <c r="F174" s="125"/>
      <c r="G174" s="125"/>
      <c r="H174" s="125"/>
      <c r="I174" s="125"/>
      <c r="J174" s="803"/>
      <c r="K174" s="117" t="str">
        <f>IFERROR(IF(D174="","",SUMIF('EXPERIENCIA '!$D$3:$D$672,D174,'EXPERIENCIA '!$AF$3:$AF$672)),"")</f>
        <v/>
      </c>
      <c r="L174" s="125" t="str">
        <f>IF(K174="","",IF(K174=0,0,IF(K174&gt;=PARÁMETROS!$O$5,"CUMPLE","NO CUMPLE")))</f>
        <v/>
      </c>
      <c r="M174" s="159" t="str">
        <f t="shared" si="15"/>
        <v/>
      </c>
      <c r="N174" s="107"/>
      <c r="O174" s="154" t="str">
        <f t="shared" si="16"/>
        <v>N/A</v>
      </c>
      <c r="P174" s="125" t="str">
        <f t="shared" si="17"/>
        <v>NO CUMPLE</v>
      </c>
      <c r="Q174" s="782"/>
      <c r="R174" s="784"/>
      <c r="AN174" s="781"/>
      <c r="AO174" s="781"/>
    </row>
    <row r="175" spans="1:41" ht="2" customHeight="1">
      <c r="A175" s="801"/>
      <c r="B175" s="803"/>
      <c r="C175" s="125" t="s">
        <v>396</v>
      </c>
      <c r="D175" s="155"/>
      <c r="E175" s="68"/>
      <c r="F175" s="125"/>
      <c r="G175" s="125"/>
      <c r="H175" s="125"/>
      <c r="I175" s="125"/>
      <c r="J175" s="803"/>
      <c r="K175" s="117" t="str">
        <f>IFERROR(IF(D175="","",SUMIF('EXPERIENCIA '!$D$3:$D$672,D175,'EXPERIENCIA '!$AF$3:$AF$672)),"")</f>
        <v/>
      </c>
      <c r="L175" s="125" t="str">
        <f>IF(K175="","",IF(K175=0,0,IF(K175&gt;=PARÁMETROS!$O$5,"CUMPLE","NO CUMPLE")))</f>
        <v/>
      </c>
      <c r="M175" s="159" t="str">
        <f t="shared" si="15"/>
        <v/>
      </c>
      <c r="N175" s="107"/>
      <c r="O175" s="154" t="str">
        <f t="shared" si="16"/>
        <v>N/A</v>
      </c>
      <c r="P175" s="125" t="str">
        <f t="shared" si="17"/>
        <v>NO CUMPLE</v>
      </c>
      <c r="Q175" s="782"/>
      <c r="R175" s="784"/>
      <c r="AN175" s="781"/>
      <c r="AO175" s="781"/>
    </row>
    <row r="176" spans="1:41" ht="2" customHeight="1" thickBot="1">
      <c r="A176" s="802"/>
      <c r="B176" s="804"/>
      <c r="C176" s="133" t="s">
        <v>397</v>
      </c>
      <c r="D176" s="157"/>
      <c r="E176" s="104"/>
      <c r="F176" s="133"/>
      <c r="G176" s="133"/>
      <c r="H176" s="133"/>
      <c r="I176" s="133"/>
      <c r="J176" s="804"/>
      <c r="K176" s="136" t="str">
        <f>IFERROR(IF(D176="","",SUMIF('EXPERIENCIA '!$D$3:$D$672,D176,'EXPERIENCIA '!$AF$3:$AF$672)),"")</f>
        <v/>
      </c>
      <c r="L176" s="133" t="str">
        <f>IF(K176="","",IF(K176=0,0,IF(K176&gt;=PARÁMETROS!$O$5,"CUMPLE","NO CUMPLE")))</f>
        <v/>
      </c>
      <c r="M176" s="160" t="str">
        <f t="shared" si="15"/>
        <v/>
      </c>
      <c r="N176" s="107"/>
      <c r="O176" s="156" t="str">
        <f t="shared" si="16"/>
        <v>N/A</v>
      </c>
      <c r="P176" s="133" t="str">
        <f t="shared" si="17"/>
        <v>NO CUMPLE</v>
      </c>
      <c r="Q176" s="783"/>
      <c r="R176" s="785"/>
      <c r="AN176" s="575"/>
      <c r="AO176" s="575"/>
    </row>
    <row r="177" spans="1:41" ht="23.5" customHeight="1">
      <c r="A177" s="800" t="s">
        <v>291</v>
      </c>
      <c r="B177" s="730" t="s">
        <v>1192</v>
      </c>
      <c r="C177" s="111" t="s">
        <v>398</v>
      </c>
      <c r="D177" s="153" t="s">
        <v>1193</v>
      </c>
      <c r="E177" s="113">
        <v>0.3</v>
      </c>
      <c r="F177" s="111"/>
      <c r="G177" s="111"/>
      <c r="H177" s="111"/>
      <c r="I177" s="111"/>
      <c r="J177" s="730">
        <f>SUM(AN177:AO182)</f>
        <v>2</v>
      </c>
      <c r="K177" s="115">
        <f>IFERROR(IF(D177="","",SUMIF('EXPERIENCIA '!$D$3:$D$672,D177,'EXPERIENCIA '!$AF$3:$AF$672)),"")</f>
        <v>4665.17</v>
      </c>
      <c r="L177" s="111" t="str">
        <f>IF(K177="","",IF(K177=0,0,IF(K177&gt;=PARÁMETROS!$O$5,"CUMPLE","NO CUMPLE")))</f>
        <v>NO CUMPLE</v>
      </c>
      <c r="M177" s="158" t="str">
        <f t="shared" si="15"/>
        <v/>
      </c>
      <c r="N177" s="107"/>
      <c r="O177" s="161" t="str">
        <f t="shared" si="16"/>
        <v>N/A</v>
      </c>
      <c r="P177" s="121" t="str">
        <f t="shared" si="17"/>
        <v>NO CUMPLE</v>
      </c>
      <c r="Q177" s="782">
        <v>1</v>
      </c>
      <c r="R177" s="784"/>
      <c r="AN177" s="574">
        <f>IF(COUNTIF(H177:H182,"ACREDITA")&gt;0,1,0)</f>
        <v>1</v>
      </c>
      <c r="AO177" s="574">
        <f>IF(COUNTIF(I177:I182,"ACREDITA")&gt;0,1,0)</f>
        <v>1</v>
      </c>
    </row>
    <row r="178" spans="1:41" ht="23.5" customHeight="1">
      <c r="A178" s="801"/>
      <c r="B178" s="803"/>
      <c r="C178" s="125" t="s">
        <v>399</v>
      </c>
      <c r="D178" s="155" t="s">
        <v>1194</v>
      </c>
      <c r="E178" s="68">
        <v>0.4</v>
      </c>
      <c r="F178" s="125"/>
      <c r="G178" s="125"/>
      <c r="H178" s="125" t="s">
        <v>744</v>
      </c>
      <c r="I178" s="280" t="s">
        <v>744</v>
      </c>
      <c r="J178" s="803"/>
      <c r="K178" s="117">
        <f>IFERROR(IF(D178="","",SUMIF('EXPERIENCIA '!$D$3:$D$672,D178,'EXPERIENCIA '!$AF$3:$AF$672)),"")</f>
        <v>5388.75</v>
      </c>
      <c r="L178" s="125" t="str">
        <f>IF(K178="","",IF(K178=0,0,IF(K178&gt;=PARÁMETROS!$O$5,"CUMPLE","NO CUMPLE")))</f>
        <v>NO CUMPLE</v>
      </c>
      <c r="M178" s="159" t="str">
        <f t="shared" si="15"/>
        <v/>
      </c>
      <c r="N178" s="107"/>
      <c r="O178" s="154" t="str">
        <f t="shared" si="16"/>
        <v>N/A</v>
      </c>
      <c r="P178" s="125" t="str">
        <f t="shared" si="17"/>
        <v>NO CUMPLE</v>
      </c>
      <c r="Q178" s="782"/>
      <c r="R178" s="784"/>
      <c r="AN178" s="781"/>
      <c r="AO178" s="781"/>
    </row>
    <row r="179" spans="1:41" ht="23.5" customHeight="1">
      <c r="A179" s="801"/>
      <c r="B179" s="803"/>
      <c r="C179" s="125" t="s">
        <v>400</v>
      </c>
      <c r="D179" s="155" t="s">
        <v>1195</v>
      </c>
      <c r="E179" s="68">
        <v>0.3</v>
      </c>
      <c r="F179" s="125"/>
      <c r="G179" s="280" t="s">
        <v>744</v>
      </c>
      <c r="H179" s="125"/>
      <c r="I179" s="280"/>
      <c r="J179" s="803"/>
      <c r="K179" s="117">
        <f>IFERROR(IF(D179="","",SUMIF('EXPERIENCIA '!$D$3:$D$672,D179,'EXPERIENCIA '!$AF$3:$AF$672)),"")</f>
        <v>58470.229999999996</v>
      </c>
      <c r="L179" s="125" t="str">
        <f>IF(K179="","",IF(K179=0,0,IF(K179&gt;=PARÁMETROS!$O$5,"CUMPLE","NO CUMPLE")))</f>
        <v>CUMPLE</v>
      </c>
      <c r="M179" s="159" t="str">
        <f t="shared" si="15"/>
        <v>CUMPLE</v>
      </c>
      <c r="N179" s="107"/>
      <c r="O179" s="154" t="str">
        <f t="shared" si="16"/>
        <v>CUMPLE</v>
      </c>
      <c r="P179" s="125" t="str">
        <f t="shared" si="17"/>
        <v>CUMPLE</v>
      </c>
      <c r="Q179" s="782"/>
      <c r="R179" s="784"/>
      <c r="AN179" s="781"/>
      <c r="AO179" s="781"/>
    </row>
    <row r="180" spans="1:41" ht="2" customHeight="1">
      <c r="A180" s="801"/>
      <c r="B180" s="803"/>
      <c r="C180" s="125" t="s">
        <v>401</v>
      </c>
      <c r="D180" s="155"/>
      <c r="E180" s="68"/>
      <c r="F180" s="125"/>
      <c r="G180" s="125"/>
      <c r="H180" s="125"/>
      <c r="I180" s="125"/>
      <c r="J180" s="803"/>
      <c r="K180" s="117" t="str">
        <f>IFERROR(IF(D180="","",SUMIF('EXPERIENCIA '!$D$3:$D$672,D180,'EXPERIENCIA '!$AF$3:$AF$672)),"")</f>
        <v/>
      </c>
      <c r="L180" s="125" t="str">
        <f>IF(K180="","",IF(K180=0,0,IF(K180&gt;=PARÁMETROS!$O$5,"CUMPLE","NO CUMPLE")))</f>
        <v/>
      </c>
      <c r="M180" s="159" t="str">
        <f t="shared" si="15"/>
        <v/>
      </c>
      <c r="N180" s="107"/>
      <c r="O180" s="154" t="str">
        <f t="shared" si="16"/>
        <v>N/A</v>
      </c>
      <c r="P180" s="125" t="str">
        <f t="shared" si="17"/>
        <v>NO CUMPLE</v>
      </c>
      <c r="Q180" s="782"/>
      <c r="R180" s="784"/>
      <c r="AN180" s="781"/>
      <c r="AO180" s="781"/>
    </row>
    <row r="181" spans="1:41" ht="2" customHeight="1">
      <c r="A181" s="801"/>
      <c r="B181" s="803"/>
      <c r="C181" s="125" t="s">
        <v>402</v>
      </c>
      <c r="D181" s="155"/>
      <c r="E181" s="68"/>
      <c r="F181" s="125"/>
      <c r="G181" s="125"/>
      <c r="H181" s="125"/>
      <c r="I181" s="125"/>
      <c r="J181" s="803"/>
      <c r="K181" s="117" t="str">
        <f>IFERROR(IF(D181="","",SUMIF('EXPERIENCIA '!$D$3:$D$672,D181,'EXPERIENCIA '!$AF$3:$AF$672)),"")</f>
        <v/>
      </c>
      <c r="L181" s="125" t="str">
        <f>IF(K181="","",IF(K181=0,0,IF(K181&gt;=PARÁMETROS!$O$5,"CUMPLE","NO CUMPLE")))</f>
        <v/>
      </c>
      <c r="M181" s="159" t="str">
        <f t="shared" si="15"/>
        <v/>
      </c>
      <c r="N181" s="107"/>
      <c r="O181" s="154" t="str">
        <f t="shared" si="16"/>
        <v>N/A</v>
      </c>
      <c r="P181" s="125" t="str">
        <f t="shared" si="17"/>
        <v>NO CUMPLE</v>
      </c>
      <c r="Q181" s="782"/>
      <c r="R181" s="784"/>
      <c r="AN181" s="781"/>
      <c r="AO181" s="781"/>
    </row>
    <row r="182" spans="1:41" ht="2" customHeight="1" thickBot="1">
      <c r="A182" s="802"/>
      <c r="B182" s="804"/>
      <c r="C182" s="133" t="s">
        <v>403</v>
      </c>
      <c r="D182" s="157"/>
      <c r="E182" s="104"/>
      <c r="F182" s="133"/>
      <c r="G182" s="133"/>
      <c r="H182" s="133"/>
      <c r="I182" s="133"/>
      <c r="J182" s="804"/>
      <c r="K182" s="136" t="str">
        <f>IFERROR(IF(D182="","",SUMIF('EXPERIENCIA '!$D$3:$D$672,D182,'EXPERIENCIA '!$AF$3:$AF$672)),"")</f>
        <v/>
      </c>
      <c r="L182" s="133" t="str">
        <f>IF(K182="","",IF(K182=0,0,IF(K182&gt;=PARÁMETROS!$O$5,"CUMPLE","NO CUMPLE")))</f>
        <v/>
      </c>
      <c r="M182" s="160" t="str">
        <f t="shared" si="15"/>
        <v/>
      </c>
      <c r="N182" s="107"/>
      <c r="O182" s="156" t="str">
        <f t="shared" si="16"/>
        <v>N/A</v>
      </c>
      <c r="P182" s="133" t="str">
        <f t="shared" si="17"/>
        <v>NO CUMPLE</v>
      </c>
      <c r="Q182" s="783"/>
      <c r="R182" s="785"/>
      <c r="AN182" s="575"/>
      <c r="AO182" s="575"/>
    </row>
    <row r="183" spans="1:41" ht="23.5" customHeight="1">
      <c r="A183" s="800" t="s">
        <v>292</v>
      </c>
      <c r="B183" s="730" t="s">
        <v>1196</v>
      </c>
      <c r="C183" s="111" t="s">
        <v>404</v>
      </c>
      <c r="D183" s="153" t="s">
        <v>1197</v>
      </c>
      <c r="E183" s="113">
        <v>0.4</v>
      </c>
      <c r="F183" s="111"/>
      <c r="G183" s="111"/>
      <c r="H183" s="111"/>
      <c r="I183" s="111"/>
      <c r="J183" s="730">
        <f>SUM(AN183:AO188)</f>
        <v>2</v>
      </c>
      <c r="K183" s="115">
        <f>IFERROR(IF(D183="","",SUMIF('EXPERIENCIA '!$D$3:$D$672,D183,'EXPERIENCIA '!$AF$3:$AF$672)),"")</f>
        <v>29095.115000000002</v>
      </c>
      <c r="L183" s="111" t="str">
        <f>IF(K183="","",IF(K183=0,0,IF(K183&gt;=PARÁMETROS!$O$5,"CUMPLE","NO CUMPLE")))</f>
        <v>CUMPLE</v>
      </c>
      <c r="M183" s="158" t="str">
        <f t="shared" si="15"/>
        <v/>
      </c>
      <c r="N183" s="107"/>
      <c r="O183" s="161" t="str">
        <f t="shared" si="16"/>
        <v>N/A</v>
      </c>
      <c r="P183" s="121" t="str">
        <f t="shared" si="17"/>
        <v>NO CUMPLE</v>
      </c>
      <c r="Q183" s="782">
        <v>1</v>
      </c>
      <c r="R183" s="784"/>
      <c r="AN183" s="574">
        <f>IF(COUNTIF(H183:H188,"ACREDITA")&gt;0,1,0)</f>
        <v>1</v>
      </c>
      <c r="AO183" s="574">
        <f>IF(COUNTIF(I183:I188,"ACREDITA")&gt;0,1,0)</f>
        <v>1</v>
      </c>
    </row>
    <row r="184" spans="1:41" ht="23.5" customHeight="1">
      <c r="A184" s="801"/>
      <c r="B184" s="803"/>
      <c r="C184" s="125" t="s">
        <v>405</v>
      </c>
      <c r="D184" s="155" t="s">
        <v>1198</v>
      </c>
      <c r="E184" s="68">
        <v>0.1</v>
      </c>
      <c r="F184" s="125"/>
      <c r="G184" s="125" t="s">
        <v>744</v>
      </c>
      <c r="H184" s="125" t="s">
        <v>744</v>
      </c>
      <c r="I184" s="125"/>
      <c r="J184" s="803"/>
      <c r="K184" s="117">
        <f>IFERROR(IF(D184="","",SUMIF('EXPERIENCIA '!$D$3:$D$672,D184,'EXPERIENCIA '!$AF$3:$AF$672)),"")</f>
        <v>40614.93</v>
      </c>
      <c r="L184" s="125" t="str">
        <f>IF(K184="","",IF(K184=0,0,IF(K184&gt;=PARÁMETROS!$O$5,"CUMPLE","NO CUMPLE")))</f>
        <v>CUMPLE</v>
      </c>
      <c r="M184" s="159" t="str">
        <f t="shared" si="15"/>
        <v>CUMPLE</v>
      </c>
      <c r="N184" s="107"/>
      <c r="O184" s="154" t="str">
        <f t="shared" si="16"/>
        <v>CUMPLE</v>
      </c>
      <c r="P184" s="125" t="str">
        <f t="shared" si="17"/>
        <v>CUMPLE</v>
      </c>
      <c r="Q184" s="782"/>
      <c r="R184" s="784"/>
      <c r="AN184" s="781"/>
      <c r="AO184" s="781"/>
    </row>
    <row r="185" spans="1:41" ht="23.5" customHeight="1">
      <c r="A185" s="801"/>
      <c r="B185" s="803"/>
      <c r="C185" s="125" t="s">
        <v>406</v>
      </c>
      <c r="D185" s="155" t="s">
        <v>1199</v>
      </c>
      <c r="E185" s="68">
        <v>0.5</v>
      </c>
      <c r="F185" s="125"/>
      <c r="G185" s="125"/>
      <c r="H185" s="125" t="s">
        <v>744</v>
      </c>
      <c r="I185" s="125" t="s">
        <v>744</v>
      </c>
      <c r="J185" s="803"/>
      <c r="K185" s="117">
        <f>IFERROR(IF(D185="","",SUMIF('EXPERIENCIA '!$D$3:$D$672,D185,'EXPERIENCIA '!$AF$3:$AF$672)),"")</f>
        <v>4511.1080000000002</v>
      </c>
      <c r="L185" s="125" t="str">
        <f>IF(K185="","",IF(K185=0,0,IF(K185&gt;=PARÁMETROS!$O$5,"CUMPLE","NO CUMPLE")))</f>
        <v>NO CUMPLE</v>
      </c>
      <c r="M185" s="159" t="str">
        <f t="shared" si="15"/>
        <v/>
      </c>
      <c r="N185" s="107"/>
      <c r="O185" s="154" t="str">
        <f t="shared" si="16"/>
        <v>N/A</v>
      </c>
      <c r="P185" s="125" t="str">
        <f t="shared" si="17"/>
        <v>NO CUMPLE</v>
      </c>
      <c r="Q185" s="782"/>
      <c r="R185" s="784"/>
      <c r="AN185" s="781"/>
      <c r="AO185" s="781"/>
    </row>
    <row r="186" spans="1:41" ht="2" customHeight="1">
      <c r="A186" s="801"/>
      <c r="B186" s="803"/>
      <c r="C186" s="125" t="s">
        <v>407</v>
      </c>
      <c r="D186" s="281"/>
      <c r="E186" s="68"/>
      <c r="F186" s="125"/>
      <c r="G186" s="125"/>
      <c r="H186" s="125"/>
      <c r="I186" s="125"/>
      <c r="J186" s="803"/>
      <c r="K186" s="117" t="str">
        <f>IFERROR(IF(D186="","",SUMIF('EXPERIENCIA '!$D$3:$D$672,D186,'EXPERIENCIA '!$AF$3:$AF$672)),"")</f>
        <v/>
      </c>
      <c r="L186" s="125" t="str">
        <f>IF(K186="","",IF(K186=0,0,IF(K186&gt;=PARÁMETROS!$O$5,"CUMPLE","NO CUMPLE")))</f>
        <v/>
      </c>
      <c r="M186" s="159" t="str">
        <f t="shared" si="15"/>
        <v/>
      </c>
      <c r="N186" s="107"/>
      <c r="O186" s="154" t="str">
        <f t="shared" si="16"/>
        <v>N/A</v>
      </c>
      <c r="P186" s="125" t="str">
        <f t="shared" si="17"/>
        <v>NO CUMPLE</v>
      </c>
      <c r="Q186" s="782"/>
      <c r="R186" s="784"/>
      <c r="AN186" s="781"/>
      <c r="AO186" s="781"/>
    </row>
    <row r="187" spans="1:41" ht="2" customHeight="1">
      <c r="A187" s="801"/>
      <c r="B187" s="803"/>
      <c r="C187" s="125" t="s">
        <v>408</v>
      </c>
      <c r="D187" s="155"/>
      <c r="E187" s="68"/>
      <c r="F187" s="125"/>
      <c r="G187" s="125"/>
      <c r="H187" s="125"/>
      <c r="I187" s="125"/>
      <c r="J187" s="803"/>
      <c r="K187" s="117" t="str">
        <f>IFERROR(IF(D187="","",SUMIF('EXPERIENCIA '!$D$3:$D$672,D187,'EXPERIENCIA '!$AF$3:$AF$672)),"")</f>
        <v/>
      </c>
      <c r="L187" s="125" t="str">
        <f>IF(K187="","",IF(K187=0,0,IF(K187&gt;=PARÁMETROS!$O$5,"CUMPLE","NO CUMPLE")))</f>
        <v/>
      </c>
      <c r="M187" s="159" t="str">
        <f t="shared" si="15"/>
        <v/>
      </c>
      <c r="N187" s="107"/>
      <c r="O187" s="154" t="str">
        <f t="shared" si="16"/>
        <v>N/A</v>
      </c>
      <c r="P187" s="125" t="str">
        <f t="shared" si="17"/>
        <v>NO CUMPLE</v>
      </c>
      <c r="Q187" s="782"/>
      <c r="R187" s="784"/>
      <c r="AN187" s="781"/>
      <c r="AO187" s="781"/>
    </row>
    <row r="188" spans="1:41" ht="2" customHeight="1" thickBot="1">
      <c r="A188" s="802"/>
      <c r="B188" s="804"/>
      <c r="C188" s="133" t="s">
        <v>409</v>
      </c>
      <c r="D188" s="157"/>
      <c r="E188" s="104"/>
      <c r="F188" s="133"/>
      <c r="G188" s="133"/>
      <c r="H188" s="133"/>
      <c r="I188" s="133"/>
      <c r="J188" s="804"/>
      <c r="K188" s="136" t="str">
        <f>IFERROR(IF(D188="","",SUMIF('EXPERIENCIA '!$D$3:$D$672,D188,'EXPERIENCIA '!$AF$3:$AF$672)),"")</f>
        <v/>
      </c>
      <c r="L188" s="133" t="str">
        <f>IF(K188="","",IF(K188=0,0,IF(K188&gt;=PARÁMETROS!$O$5,"CUMPLE","NO CUMPLE")))</f>
        <v/>
      </c>
      <c r="M188" s="160" t="str">
        <f t="shared" si="15"/>
        <v/>
      </c>
      <c r="N188" s="107"/>
      <c r="O188" s="156" t="str">
        <f t="shared" si="16"/>
        <v>N/A</v>
      </c>
      <c r="P188" s="133" t="str">
        <f t="shared" si="17"/>
        <v>NO CUMPLE</v>
      </c>
      <c r="Q188" s="783"/>
      <c r="R188" s="785"/>
      <c r="AN188" s="575"/>
      <c r="AO188" s="575"/>
    </row>
    <row r="189" spans="1:41" ht="23.5" customHeight="1">
      <c r="A189" s="800" t="s">
        <v>293</v>
      </c>
      <c r="B189" s="730" t="s">
        <v>1200</v>
      </c>
      <c r="C189" s="111" t="s">
        <v>410</v>
      </c>
      <c r="D189" s="153" t="s">
        <v>1201</v>
      </c>
      <c r="E189" s="113">
        <v>0.33339999999999997</v>
      </c>
      <c r="F189" s="111"/>
      <c r="G189" s="111" t="s">
        <v>744</v>
      </c>
      <c r="H189" s="125" t="s">
        <v>744</v>
      </c>
      <c r="I189" s="111" t="s">
        <v>744</v>
      </c>
      <c r="J189" s="730">
        <f>SUM(AN189:AO194)</f>
        <v>2</v>
      </c>
      <c r="K189" s="115">
        <f>IFERROR(IF(D189="","",SUMIF('EXPERIENCIA '!$D$3:$D$672,D189,'EXPERIENCIA '!$AF$3:$AF$672)),"")</f>
        <v>8450.1779999999999</v>
      </c>
      <c r="L189" s="111" t="str">
        <f>IF(K189="","",IF(K189=0,0,IF(K189&gt;=PARÁMETROS!$O$5,"CUMPLE","NO CUMPLE")))</f>
        <v>NO CUMPLE</v>
      </c>
      <c r="M189" s="158" t="str">
        <f t="shared" si="15"/>
        <v>NO CUMPLE</v>
      </c>
      <c r="N189" s="107"/>
      <c r="O189" s="161" t="str">
        <f t="shared" si="16"/>
        <v>NO CUMPLE</v>
      </c>
      <c r="P189" s="121" t="str">
        <f t="shared" si="17"/>
        <v>NO CUMPLE</v>
      </c>
      <c r="Q189" s="782">
        <v>1</v>
      </c>
      <c r="R189" s="784"/>
      <c r="AN189" s="574">
        <f>IF(COUNTIF(H189:H194,"ACREDITA")&gt;0,1,0)</f>
        <v>1</v>
      </c>
      <c r="AO189" s="574">
        <f>IF(COUNTIF(I189:I194,"ACREDITA")&gt;0,1,0)</f>
        <v>1</v>
      </c>
    </row>
    <row r="190" spans="1:41" ht="23.5" customHeight="1">
      <c r="A190" s="801"/>
      <c r="B190" s="803"/>
      <c r="C190" s="125" t="s">
        <v>411</v>
      </c>
      <c r="D190" s="155" t="s">
        <v>1202</v>
      </c>
      <c r="E190" s="68">
        <v>0.33329999999999999</v>
      </c>
      <c r="F190" s="125"/>
      <c r="G190" s="125" t="s">
        <v>744</v>
      </c>
      <c r="H190" s="125"/>
      <c r="I190" s="125" t="s">
        <v>744</v>
      </c>
      <c r="J190" s="803"/>
      <c r="K190" s="117">
        <f>IFERROR(IF(D190="","",SUMIF('EXPERIENCIA '!$D$3:$D$672,D190,'EXPERIENCIA '!$AF$3:$AF$672)),"")</f>
        <v>15930.45</v>
      </c>
      <c r="L190" s="125" t="str">
        <f>IF(K190="","",IF(K190=0,0,IF(K190&gt;=PARÁMETROS!$O$5,"CUMPLE","NO CUMPLE")))</f>
        <v>CUMPLE</v>
      </c>
      <c r="M190" s="159" t="str">
        <f t="shared" si="15"/>
        <v>CUMPLE</v>
      </c>
      <c r="N190" s="107"/>
      <c r="O190" s="154" t="str">
        <f t="shared" si="16"/>
        <v>CUMPLE</v>
      </c>
      <c r="P190" s="125" t="str">
        <f t="shared" si="17"/>
        <v>CUMPLE</v>
      </c>
      <c r="Q190" s="782"/>
      <c r="R190" s="784"/>
      <c r="AN190" s="781"/>
      <c r="AO190" s="781"/>
    </row>
    <row r="191" spans="1:41" ht="23.5" customHeight="1">
      <c r="A191" s="801"/>
      <c r="B191" s="803"/>
      <c r="C191" s="125" t="s">
        <v>412</v>
      </c>
      <c r="D191" s="155" t="s">
        <v>1203</v>
      </c>
      <c r="E191" s="68">
        <v>0.33329999999999999</v>
      </c>
      <c r="F191" s="125"/>
      <c r="G191" s="125"/>
      <c r="H191" s="125"/>
      <c r="I191" s="125"/>
      <c r="J191" s="803"/>
      <c r="K191" s="117">
        <f>IFERROR(IF(D191="","",SUMIF('EXPERIENCIA '!$D$3:$D$672,D191,'EXPERIENCIA '!$AF$3:$AF$672)),"")</f>
        <v>82515.565900000001</v>
      </c>
      <c r="L191" s="125" t="str">
        <f>IF(K191="","",IF(K191=0,0,IF(K191&gt;=PARÁMETROS!$O$5,"CUMPLE","NO CUMPLE")))</f>
        <v>CUMPLE</v>
      </c>
      <c r="M191" s="159" t="str">
        <f t="shared" si="15"/>
        <v/>
      </c>
      <c r="N191" s="107"/>
      <c r="O191" s="154" t="str">
        <f t="shared" si="16"/>
        <v>N/A</v>
      </c>
      <c r="P191" s="125" t="str">
        <f t="shared" si="17"/>
        <v>NO CUMPLE</v>
      </c>
      <c r="Q191" s="782"/>
      <c r="R191" s="784"/>
      <c r="AN191" s="781"/>
      <c r="AO191" s="781"/>
    </row>
    <row r="192" spans="1:41" ht="2" customHeight="1">
      <c r="A192" s="801"/>
      <c r="B192" s="803"/>
      <c r="C192" s="125" t="s">
        <v>413</v>
      </c>
      <c r="D192" s="155"/>
      <c r="E192" s="68"/>
      <c r="F192" s="125"/>
      <c r="G192" s="125"/>
      <c r="H192" s="125"/>
      <c r="I192" s="125"/>
      <c r="J192" s="803"/>
      <c r="K192" s="117" t="str">
        <f>IFERROR(IF(D192="","",SUMIF('EXPERIENCIA '!$D$3:$D$672,D192,'EXPERIENCIA '!$AF$3:$AF$672)),"")</f>
        <v/>
      </c>
      <c r="L192" s="125" t="str">
        <f>IF(K192="","",IF(K192=0,0,IF(K192&gt;=PARÁMETROS!$O$5,"CUMPLE","NO CUMPLE")))</f>
        <v/>
      </c>
      <c r="M192" s="159" t="str">
        <f t="shared" si="15"/>
        <v/>
      </c>
      <c r="N192" s="107"/>
      <c r="O192" s="154" t="str">
        <f t="shared" si="16"/>
        <v>N/A</v>
      </c>
      <c r="P192" s="125" t="str">
        <f t="shared" si="17"/>
        <v>NO CUMPLE</v>
      </c>
      <c r="Q192" s="782"/>
      <c r="R192" s="784"/>
      <c r="AN192" s="781"/>
      <c r="AO192" s="781"/>
    </row>
    <row r="193" spans="1:41" ht="2" customHeight="1">
      <c r="A193" s="801"/>
      <c r="B193" s="803"/>
      <c r="C193" s="125" t="s">
        <v>414</v>
      </c>
      <c r="D193" s="155"/>
      <c r="E193" s="68"/>
      <c r="F193" s="125"/>
      <c r="G193" s="125"/>
      <c r="H193" s="125"/>
      <c r="I193" s="125"/>
      <c r="J193" s="803"/>
      <c r="K193" s="117" t="str">
        <f>IFERROR(IF(D193="","",SUMIF('EXPERIENCIA '!$D$3:$D$672,D193,'EXPERIENCIA '!$AF$3:$AF$672)),"")</f>
        <v/>
      </c>
      <c r="L193" s="125" t="str">
        <f>IF(K193="","",IF(K193=0,0,IF(K193&gt;=PARÁMETROS!$O$5,"CUMPLE","NO CUMPLE")))</f>
        <v/>
      </c>
      <c r="M193" s="159" t="str">
        <f t="shared" si="15"/>
        <v/>
      </c>
      <c r="N193" s="107"/>
      <c r="O193" s="154" t="str">
        <f t="shared" si="16"/>
        <v>N/A</v>
      </c>
      <c r="P193" s="125" t="str">
        <f t="shared" si="17"/>
        <v>NO CUMPLE</v>
      </c>
      <c r="Q193" s="782"/>
      <c r="R193" s="784"/>
      <c r="AN193" s="781"/>
      <c r="AO193" s="781"/>
    </row>
    <row r="194" spans="1:41" ht="2" customHeight="1" thickBot="1">
      <c r="A194" s="802"/>
      <c r="B194" s="804"/>
      <c r="C194" s="133" t="s">
        <v>415</v>
      </c>
      <c r="D194" s="157"/>
      <c r="E194" s="104"/>
      <c r="F194" s="133"/>
      <c r="G194" s="133"/>
      <c r="H194" s="133"/>
      <c r="I194" s="133"/>
      <c r="J194" s="804"/>
      <c r="K194" s="136" t="str">
        <f>IFERROR(IF(D194="","",SUMIF('EXPERIENCIA '!$D$3:$D$672,D194,'EXPERIENCIA '!$AF$3:$AF$672)),"")</f>
        <v/>
      </c>
      <c r="L194" s="133" t="str">
        <f>IF(K194="","",IF(K194=0,0,IF(K194&gt;=PARÁMETROS!$O$5,"CUMPLE","NO CUMPLE")))</f>
        <v/>
      </c>
      <c r="M194" s="160" t="str">
        <f t="shared" si="15"/>
        <v/>
      </c>
      <c r="N194" s="107"/>
      <c r="O194" s="156" t="str">
        <f t="shared" si="16"/>
        <v>N/A</v>
      </c>
      <c r="P194" s="133" t="str">
        <f t="shared" si="17"/>
        <v>NO CUMPLE</v>
      </c>
      <c r="Q194" s="783"/>
      <c r="R194" s="785"/>
      <c r="AN194" s="575"/>
      <c r="AO194" s="575"/>
    </row>
    <row r="195" spans="1:41" ht="23.5" customHeight="1">
      <c r="A195" s="800" t="s">
        <v>294</v>
      </c>
      <c r="B195" s="730" t="s">
        <v>1204</v>
      </c>
      <c r="C195" s="111" t="s">
        <v>416</v>
      </c>
      <c r="D195" s="153" t="s">
        <v>1205</v>
      </c>
      <c r="E195" s="113">
        <v>0.7</v>
      </c>
      <c r="F195" s="111"/>
      <c r="G195" s="125" t="s">
        <v>744</v>
      </c>
      <c r="H195" s="125" t="s">
        <v>744</v>
      </c>
      <c r="I195" s="125" t="s">
        <v>744</v>
      </c>
      <c r="J195" s="730">
        <f>SUM(AN195:AO200)</f>
        <v>2</v>
      </c>
      <c r="K195" s="115">
        <f>IFERROR(IF(D195="","",SUMIF('EXPERIENCIA '!$D$3:$D$672,D195,'EXPERIENCIA '!$AF$3:$AF$672)),"")</f>
        <v>39638.592000000004</v>
      </c>
      <c r="L195" s="111" t="str">
        <f>IF(K195="","",IF(K195=0,0,IF(K195&gt;=PARÁMETROS!$O$5,"CUMPLE","NO CUMPLE")))</f>
        <v>CUMPLE</v>
      </c>
      <c r="M195" s="158" t="str">
        <f t="shared" si="15"/>
        <v>CUMPLE</v>
      </c>
      <c r="N195" s="107"/>
      <c r="O195" s="161" t="str">
        <f t="shared" si="16"/>
        <v>CUMPLE</v>
      </c>
      <c r="P195" s="121" t="str">
        <f t="shared" si="17"/>
        <v>CUMPLE</v>
      </c>
      <c r="Q195" s="782">
        <v>1</v>
      </c>
      <c r="R195" s="784"/>
      <c r="AN195" s="574">
        <f>IF(COUNTIF(H195:H200,"ACREDITA")&gt;0,1,0)</f>
        <v>1</v>
      </c>
      <c r="AO195" s="574">
        <f>IF(COUNTIF(I195:I200,"ACREDITA")&gt;0,1,0)</f>
        <v>1</v>
      </c>
    </row>
    <row r="196" spans="1:41" ht="23.5" customHeight="1">
      <c r="A196" s="801"/>
      <c r="B196" s="803"/>
      <c r="C196" s="125" t="s">
        <v>417</v>
      </c>
      <c r="D196" s="72" t="s">
        <v>1206</v>
      </c>
      <c r="E196" s="68">
        <v>0.3</v>
      </c>
      <c r="F196" s="125"/>
      <c r="G196" s="125" t="s">
        <v>744</v>
      </c>
      <c r="H196" s="125"/>
      <c r="I196" s="125"/>
      <c r="J196" s="803"/>
      <c r="K196" s="117">
        <f>IFERROR(IF(D196="","",SUMIF('EXPERIENCIA '!$D$3:$D$672,D196,'EXPERIENCIA '!$AF$3:$AF$672)),"")</f>
        <v>18749.457999999999</v>
      </c>
      <c r="L196" s="125" t="str">
        <f>IF(K196="","",IF(K196=0,0,IF(K196&gt;=PARÁMETROS!$O$5,"CUMPLE","NO CUMPLE")))</f>
        <v>CUMPLE</v>
      </c>
      <c r="M196" s="159" t="str">
        <f t="shared" si="15"/>
        <v>CUMPLE</v>
      </c>
      <c r="N196" s="107"/>
      <c r="O196" s="154" t="str">
        <f t="shared" si="16"/>
        <v>CUMPLE</v>
      </c>
      <c r="P196" s="125" t="str">
        <f t="shared" si="17"/>
        <v>CUMPLE</v>
      </c>
      <c r="Q196" s="782"/>
      <c r="R196" s="784"/>
      <c r="AN196" s="781"/>
      <c r="AO196" s="781"/>
    </row>
    <row r="197" spans="1:41" ht="2" customHeight="1">
      <c r="A197" s="801"/>
      <c r="B197" s="803"/>
      <c r="C197" s="125" t="s">
        <v>418</v>
      </c>
      <c r="D197" s="281"/>
      <c r="E197" s="68"/>
      <c r="F197" s="125"/>
      <c r="G197" s="125"/>
      <c r="H197" s="125"/>
      <c r="I197" s="125"/>
      <c r="J197" s="803"/>
      <c r="K197" s="117" t="str">
        <f>IFERROR(IF(D197="","",SUMIF('EXPERIENCIA '!$D$3:$D$672,D197,'EXPERIENCIA '!$AF$3:$AF$672)),"")</f>
        <v/>
      </c>
      <c r="L197" s="125" t="str">
        <f>IF(K197="","",IF(K197=0,0,IF(K197&gt;=PARÁMETROS!$O$5,"CUMPLE","NO CUMPLE")))</f>
        <v/>
      </c>
      <c r="M197" s="159" t="str">
        <f t="shared" si="15"/>
        <v/>
      </c>
      <c r="N197" s="107"/>
      <c r="O197" s="154" t="str">
        <f t="shared" si="16"/>
        <v>N/A</v>
      </c>
      <c r="P197" s="125" t="str">
        <f t="shared" si="17"/>
        <v>NO CUMPLE</v>
      </c>
      <c r="Q197" s="782"/>
      <c r="R197" s="784"/>
      <c r="AN197" s="781"/>
      <c r="AO197" s="781"/>
    </row>
    <row r="198" spans="1:41" ht="2" customHeight="1">
      <c r="A198" s="801"/>
      <c r="B198" s="803"/>
      <c r="C198" s="125" t="s">
        <v>419</v>
      </c>
      <c r="D198" s="155"/>
      <c r="E198" s="68"/>
      <c r="F198" s="125"/>
      <c r="G198" s="125"/>
      <c r="H198" s="125"/>
      <c r="I198" s="125"/>
      <c r="J198" s="803"/>
      <c r="K198" s="117" t="str">
        <f>IFERROR(IF(D198="","",SUMIF('EXPERIENCIA '!$D$3:$D$672,D198,'EXPERIENCIA '!$AF$3:$AF$672)),"")</f>
        <v/>
      </c>
      <c r="L198" s="125" t="str">
        <f>IF(K198="","",IF(K198=0,0,IF(K198&gt;=PARÁMETROS!$O$5,"CUMPLE","NO CUMPLE")))</f>
        <v/>
      </c>
      <c r="M198" s="159" t="str">
        <f t="shared" si="15"/>
        <v/>
      </c>
      <c r="N198" s="107"/>
      <c r="O198" s="154" t="str">
        <f t="shared" si="16"/>
        <v>N/A</v>
      </c>
      <c r="P198" s="125" t="str">
        <f t="shared" si="17"/>
        <v>NO CUMPLE</v>
      </c>
      <c r="Q198" s="782"/>
      <c r="R198" s="784"/>
      <c r="AN198" s="781"/>
      <c r="AO198" s="781"/>
    </row>
    <row r="199" spans="1:41" ht="2" customHeight="1">
      <c r="A199" s="801"/>
      <c r="B199" s="803"/>
      <c r="C199" s="125" t="s">
        <v>420</v>
      </c>
      <c r="D199" s="155"/>
      <c r="E199" s="68"/>
      <c r="F199" s="125"/>
      <c r="G199" s="125"/>
      <c r="H199" s="125"/>
      <c r="I199" s="125"/>
      <c r="J199" s="803"/>
      <c r="K199" s="117" t="str">
        <f>IFERROR(IF(D199="","",SUMIF('EXPERIENCIA '!$D$3:$D$672,D199,'EXPERIENCIA '!$AF$3:$AF$672)),"")</f>
        <v/>
      </c>
      <c r="L199" s="125" t="str">
        <f>IF(K199="","",IF(K199=0,0,IF(K199&gt;=PARÁMETROS!$O$5,"CUMPLE","NO CUMPLE")))</f>
        <v/>
      </c>
      <c r="M199" s="159" t="str">
        <f t="shared" si="15"/>
        <v/>
      </c>
      <c r="N199" s="107"/>
      <c r="O199" s="154" t="str">
        <f t="shared" si="16"/>
        <v>N/A</v>
      </c>
      <c r="P199" s="125" t="str">
        <f t="shared" si="17"/>
        <v>NO CUMPLE</v>
      </c>
      <c r="Q199" s="782"/>
      <c r="R199" s="784"/>
      <c r="AN199" s="781"/>
      <c r="AO199" s="781"/>
    </row>
    <row r="200" spans="1:41" ht="2" customHeight="1" thickBot="1">
      <c r="A200" s="802"/>
      <c r="B200" s="804"/>
      <c r="C200" s="133" t="s">
        <v>421</v>
      </c>
      <c r="D200" s="157"/>
      <c r="E200" s="104"/>
      <c r="F200" s="133"/>
      <c r="G200" s="133"/>
      <c r="H200" s="133"/>
      <c r="I200" s="133"/>
      <c r="J200" s="804"/>
      <c r="K200" s="136" t="str">
        <f>IFERROR(IF(D200="","",SUMIF('EXPERIENCIA '!$D$3:$D$672,D200,'EXPERIENCIA '!$AF$3:$AF$672)),"")</f>
        <v/>
      </c>
      <c r="L200" s="133" t="str">
        <f>IF(K200="","",IF(K200=0,0,IF(K200&gt;=PARÁMETROS!$O$5,"CUMPLE","NO CUMPLE")))</f>
        <v/>
      </c>
      <c r="M200" s="160" t="str">
        <f t="shared" si="15"/>
        <v/>
      </c>
      <c r="N200" s="107"/>
      <c r="O200" s="156" t="str">
        <f t="shared" si="16"/>
        <v>N/A</v>
      </c>
      <c r="P200" s="133" t="str">
        <f t="shared" si="17"/>
        <v>NO CUMPLE</v>
      </c>
      <c r="Q200" s="783"/>
      <c r="R200" s="785"/>
      <c r="AN200" s="575"/>
      <c r="AO200" s="575"/>
    </row>
    <row r="201" spans="1:41" ht="23.5" customHeight="1">
      <c r="A201" s="800" t="s">
        <v>295</v>
      </c>
      <c r="B201" s="730" t="s">
        <v>1207</v>
      </c>
      <c r="C201" s="111" t="s">
        <v>422</v>
      </c>
      <c r="D201" s="153" t="s">
        <v>1208</v>
      </c>
      <c r="E201" s="113">
        <v>0.34</v>
      </c>
      <c r="F201" s="111"/>
      <c r="G201" s="111"/>
      <c r="H201" s="125" t="s">
        <v>744</v>
      </c>
      <c r="I201" s="125" t="s">
        <v>744</v>
      </c>
      <c r="J201" s="730">
        <f>SUM(AN201:AO206)</f>
        <v>2</v>
      </c>
      <c r="K201" s="115">
        <f>IFERROR(IF(D201="","",SUMIF('EXPERIENCIA '!$D$3:$D$672,D201,'EXPERIENCIA '!$AF$3:$AF$672)),"")</f>
        <v>13989.026300000001</v>
      </c>
      <c r="L201" s="111" t="str">
        <f>IF(K201="","",IF(K201=0,0,IF(K201&gt;=PARÁMETROS!$O$5,"CUMPLE","NO CUMPLE")))</f>
        <v>CUMPLE</v>
      </c>
      <c r="M201" s="158" t="str">
        <f t="shared" si="15"/>
        <v/>
      </c>
      <c r="N201" s="107"/>
      <c r="O201" s="161" t="str">
        <f t="shared" si="16"/>
        <v>N/A</v>
      </c>
      <c r="P201" s="121" t="str">
        <f t="shared" si="17"/>
        <v>NO CUMPLE</v>
      </c>
      <c r="Q201" s="782">
        <v>1</v>
      </c>
      <c r="R201" s="782"/>
      <c r="AN201" s="574">
        <f>IF(COUNTIF(H201:H206,"ACREDITA")&gt;0,1,0)</f>
        <v>1</v>
      </c>
      <c r="AO201" s="574">
        <f>IF(COUNTIF(I201:I206,"ACREDITA")&gt;0,1,0)</f>
        <v>1</v>
      </c>
    </row>
    <row r="202" spans="1:41" ht="23.5" customHeight="1">
      <c r="A202" s="801"/>
      <c r="B202" s="803"/>
      <c r="C202" s="125" t="s">
        <v>423</v>
      </c>
      <c r="D202" s="281" t="s">
        <v>1209</v>
      </c>
      <c r="E202" s="68">
        <v>0.33</v>
      </c>
      <c r="F202" s="125"/>
      <c r="G202" s="125" t="s">
        <v>744</v>
      </c>
      <c r="H202" s="125" t="s">
        <v>744</v>
      </c>
      <c r="I202" s="125" t="s">
        <v>744</v>
      </c>
      <c r="J202" s="803"/>
      <c r="K202" s="117">
        <f>IFERROR(IF(D202="","",SUMIF('EXPERIENCIA '!$D$3:$D$672,D202,'EXPERIENCIA '!$AF$3:$AF$672)),"")</f>
        <v>43441.079899999997</v>
      </c>
      <c r="L202" s="125" t="str">
        <f>IF(K202="","",IF(K202=0,0,IF(K202&gt;=PARÁMETROS!$O$5,"CUMPLE","NO CUMPLE")))</f>
        <v>CUMPLE</v>
      </c>
      <c r="M202" s="159" t="str">
        <f t="shared" si="15"/>
        <v>CUMPLE</v>
      </c>
      <c r="N202" s="107"/>
      <c r="O202" s="154" t="str">
        <f t="shared" si="16"/>
        <v>CUMPLE</v>
      </c>
      <c r="P202" s="125" t="str">
        <f t="shared" si="17"/>
        <v>CUMPLE</v>
      </c>
      <c r="Q202" s="782"/>
      <c r="R202" s="782"/>
      <c r="AN202" s="781"/>
      <c r="AO202" s="781"/>
    </row>
    <row r="203" spans="1:41" ht="23.5" customHeight="1">
      <c r="A203" s="801"/>
      <c r="B203" s="803"/>
      <c r="C203" s="125" t="s">
        <v>424</v>
      </c>
      <c r="D203" s="155" t="s">
        <v>1210</v>
      </c>
      <c r="E203" s="68">
        <v>0.33</v>
      </c>
      <c r="F203" s="125"/>
      <c r="G203" s="125"/>
      <c r="H203" s="125"/>
      <c r="I203" s="125"/>
      <c r="J203" s="803"/>
      <c r="K203" s="117">
        <f>IFERROR(IF(D203="","",SUMIF('EXPERIENCIA '!$D$3:$D$672,D203,'EXPERIENCIA '!$AF$3:$AF$672)),"")</f>
        <v>22692.9365</v>
      </c>
      <c r="L203" s="125" t="str">
        <f>IF(K203="","",IF(K203=0,0,IF(K203&gt;=PARÁMETROS!$O$5,"CUMPLE","NO CUMPLE")))</f>
        <v>CUMPLE</v>
      </c>
      <c r="M203" s="159" t="str">
        <f t="shared" si="15"/>
        <v/>
      </c>
      <c r="N203" s="107"/>
      <c r="O203" s="154" t="str">
        <f t="shared" si="16"/>
        <v>N/A</v>
      </c>
      <c r="P203" s="125" t="str">
        <f t="shared" si="17"/>
        <v>NO CUMPLE</v>
      </c>
      <c r="Q203" s="782"/>
      <c r="R203" s="782"/>
      <c r="AN203" s="781"/>
      <c r="AO203" s="781"/>
    </row>
    <row r="204" spans="1:41" ht="2" customHeight="1">
      <c r="A204" s="801"/>
      <c r="B204" s="803"/>
      <c r="C204" s="125" t="s">
        <v>425</v>
      </c>
      <c r="D204" s="281"/>
      <c r="E204" s="68"/>
      <c r="F204" s="125"/>
      <c r="G204" s="125"/>
      <c r="H204" s="125"/>
      <c r="I204" s="125"/>
      <c r="J204" s="803"/>
      <c r="K204" s="117" t="str">
        <f>IFERROR(IF(D204="","",SUMIF('EXPERIENCIA '!$D$3:$D$672,D204,'EXPERIENCIA '!$AF$3:$AF$672)),"")</f>
        <v/>
      </c>
      <c r="L204" s="125" t="str">
        <f>IF(K204="","",IF(K204=0,0,IF(K204&gt;=PARÁMETROS!$O$5,"CUMPLE","NO CUMPLE")))</f>
        <v/>
      </c>
      <c r="M204" s="159" t="str">
        <f t="shared" si="15"/>
        <v/>
      </c>
      <c r="N204" s="107"/>
      <c r="O204" s="154" t="str">
        <f t="shared" si="16"/>
        <v>N/A</v>
      </c>
      <c r="P204" s="125" t="str">
        <f t="shared" si="17"/>
        <v>NO CUMPLE</v>
      </c>
      <c r="Q204" s="782"/>
      <c r="R204" s="782"/>
      <c r="AN204" s="781"/>
      <c r="AO204" s="781"/>
    </row>
    <row r="205" spans="1:41" ht="2" customHeight="1">
      <c r="A205" s="801"/>
      <c r="B205" s="803"/>
      <c r="C205" s="125" t="s">
        <v>426</v>
      </c>
      <c r="D205" s="155"/>
      <c r="E205" s="68"/>
      <c r="F205" s="125"/>
      <c r="G205" s="125"/>
      <c r="H205" s="125"/>
      <c r="I205" s="125"/>
      <c r="J205" s="803"/>
      <c r="K205" s="117" t="str">
        <f>IFERROR(IF(D205="","",SUMIF('EXPERIENCIA '!$D$3:$D$672,D205,'EXPERIENCIA '!$AF$3:$AF$672)),"")</f>
        <v/>
      </c>
      <c r="L205" s="125" t="str">
        <f>IF(K205="","",IF(K205=0,0,IF(K205&gt;=PARÁMETROS!$O$5,"CUMPLE","NO CUMPLE")))</f>
        <v/>
      </c>
      <c r="M205" s="159" t="str">
        <f t="shared" ref="M205:M268" si="18">+IF(G205="ACREDITA",IF(L205="CUMPLE","CUMPLE","NO CUMPLE"),"")</f>
        <v/>
      </c>
      <c r="N205" s="107"/>
      <c r="O205" s="154" t="str">
        <f t="shared" ref="O205:O268" si="19">IFERROR(IF(OR(G205="",G205="N/A",G205="NO APLICA"),"N/A",IFERROR(IF(K205=0,"",IF(K205&gt;=PDMI,"CUMPLE","NO CUMPLE")),"")),"")</f>
        <v>N/A</v>
      </c>
      <c r="P205" s="125" t="str">
        <f t="shared" ref="P205:P268" si="20">IFERROR(IF(O205="N/A","NO CUMPLE",IFERROR(IF(G205="ACREDITA",IF(O205="CUMPLE","CUMPLE","NO CUMPLE"),""),"")),"")</f>
        <v>NO CUMPLE</v>
      </c>
      <c r="Q205" s="782"/>
      <c r="R205" s="782"/>
      <c r="AN205" s="781"/>
      <c r="AO205" s="781"/>
    </row>
    <row r="206" spans="1:41" ht="2" customHeight="1" thickBot="1">
      <c r="A206" s="802"/>
      <c r="B206" s="804"/>
      <c r="C206" s="133" t="s">
        <v>427</v>
      </c>
      <c r="D206" s="157"/>
      <c r="E206" s="104"/>
      <c r="F206" s="133"/>
      <c r="G206" s="133"/>
      <c r="H206" s="133"/>
      <c r="I206" s="133"/>
      <c r="J206" s="804"/>
      <c r="K206" s="136" t="str">
        <f>IFERROR(IF(D206="","",SUMIF('EXPERIENCIA '!$D$3:$D$672,D206,'EXPERIENCIA '!$AF$3:$AF$672)),"")</f>
        <v/>
      </c>
      <c r="L206" s="133" t="str">
        <f>IF(K206="","",IF(K206=0,0,IF(K206&gt;=PARÁMETROS!$O$5,"CUMPLE","NO CUMPLE")))</f>
        <v/>
      </c>
      <c r="M206" s="160" t="str">
        <f t="shared" si="18"/>
        <v/>
      </c>
      <c r="N206" s="107"/>
      <c r="O206" s="156" t="str">
        <f t="shared" si="19"/>
        <v>N/A</v>
      </c>
      <c r="P206" s="133" t="str">
        <f t="shared" si="20"/>
        <v>NO CUMPLE</v>
      </c>
      <c r="Q206" s="783"/>
      <c r="R206" s="783"/>
      <c r="AN206" s="575"/>
      <c r="AO206" s="575"/>
    </row>
    <row r="207" spans="1:41" ht="23.5" customHeight="1">
      <c r="A207" s="800" t="s">
        <v>296</v>
      </c>
      <c r="B207" s="730" t="s">
        <v>1211</v>
      </c>
      <c r="C207" s="111" t="s">
        <v>428</v>
      </c>
      <c r="D207" s="153" t="s">
        <v>1212</v>
      </c>
      <c r="E207" s="113">
        <v>0.42499999999999999</v>
      </c>
      <c r="F207" s="111"/>
      <c r="G207" s="125" t="s">
        <v>744</v>
      </c>
      <c r="H207" s="111" t="s">
        <v>744</v>
      </c>
      <c r="I207" s="111"/>
      <c r="J207" s="730">
        <f>SUM(AN207:AO212)</f>
        <v>2</v>
      </c>
      <c r="K207" s="115">
        <f>IFERROR(IF(D207="","",SUMIF('EXPERIENCIA '!$D$3:$D$672,D207,'EXPERIENCIA '!$AF$3:$AF$672)),"")</f>
        <v>62036.682321</v>
      </c>
      <c r="L207" s="111" t="str">
        <f>IF(K207="","",IF(K207=0,0,IF(K207&gt;=PARÁMETROS!$O$5,"CUMPLE","NO CUMPLE")))</f>
        <v>CUMPLE</v>
      </c>
      <c r="M207" s="158" t="str">
        <f t="shared" si="18"/>
        <v>CUMPLE</v>
      </c>
      <c r="N207" s="107"/>
      <c r="O207" s="161" t="str">
        <f t="shared" si="19"/>
        <v>CUMPLE</v>
      </c>
      <c r="P207" s="121" t="str">
        <f t="shared" si="20"/>
        <v>CUMPLE</v>
      </c>
      <c r="Q207" s="782">
        <v>1</v>
      </c>
      <c r="R207" s="782"/>
      <c r="AN207" s="574">
        <f>IF(COUNTIF(H207:H212,"ACREDITA")&gt;0,1,0)</f>
        <v>1</v>
      </c>
      <c r="AO207" s="574">
        <f>IF(COUNTIF(I207:I212,"ACREDITA")&gt;0,1,0)</f>
        <v>1</v>
      </c>
    </row>
    <row r="208" spans="1:41" ht="23.5" customHeight="1">
      <c r="A208" s="801"/>
      <c r="B208" s="803"/>
      <c r="C208" s="125" t="s">
        <v>429</v>
      </c>
      <c r="D208" s="155" t="s">
        <v>1213</v>
      </c>
      <c r="E208" s="68">
        <v>0.42499999999999999</v>
      </c>
      <c r="F208" s="125"/>
      <c r="G208" s="125"/>
      <c r="H208" s="125"/>
      <c r="I208" s="125" t="s">
        <v>744</v>
      </c>
      <c r="J208" s="803"/>
      <c r="K208" s="117">
        <f>IFERROR(IF(D208="","",SUMIF('EXPERIENCIA '!$D$3:$D$672,D208,'EXPERIENCIA '!$AF$3:$AF$672)),"")</f>
        <v>52456.937599999997</v>
      </c>
      <c r="L208" s="125" t="str">
        <f>IF(K208="","",IF(K208=0,0,IF(K208&gt;=PARÁMETROS!$O$5,"CUMPLE","NO CUMPLE")))</f>
        <v>CUMPLE</v>
      </c>
      <c r="M208" s="159" t="str">
        <f t="shared" si="18"/>
        <v/>
      </c>
      <c r="N208" s="107"/>
      <c r="O208" s="154" t="str">
        <f t="shared" si="19"/>
        <v>N/A</v>
      </c>
      <c r="P208" s="125" t="str">
        <f t="shared" si="20"/>
        <v>NO CUMPLE</v>
      </c>
      <c r="Q208" s="782"/>
      <c r="R208" s="782"/>
      <c r="AN208" s="781"/>
      <c r="AO208" s="781"/>
    </row>
    <row r="209" spans="1:41" ht="23.5" customHeight="1">
      <c r="A209" s="801"/>
      <c r="B209" s="803"/>
      <c r="C209" s="125" t="s">
        <v>430</v>
      </c>
      <c r="D209" s="155" t="s">
        <v>1214</v>
      </c>
      <c r="E209" s="68">
        <v>0.15</v>
      </c>
      <c r="F209" s="125"/>
      <c r="G209" s="125"/>
      <c r="H209" s="125"/>
      <c r="I209" s="125"/>
      <c r="J209" s="803"/>
      <c r="K209" s="117">
        <f>IFERROR(IF(D209="","",SUMIF('EXPERIENCIA '!$D$3:$D$672,D209,'EXPERIENCIA '!$AF$3:$AF$672)),"")</f>
        <v>7126.384</v>
      </c>
      <c r="L209" s="125" t="str">
        <f>IF(K209="","",IF(K209=0,0,IF(K209&gt;=PARÁMETROS!$O$5,"CUMPLE","NO CUMPLE")))</f>
        <v>NO CUMPLE</v>
      </c>
      <c r="M209" s="159" t="str">
        <f t="shared" si="18"/>
        <v/>
      </c>
      <c r="N209" s="107"/>
      <c r="O209" s="154" t="str">
        <f t="shared" si="19"/>
        <v>N/A</v>
      </c>
      <c r="P209" s="125" t="str">
        <f t="shared" si="20"/>
        <v>NO CUMPLE</v>
      </c>
      <c r="Q209" s="782"/>
      <c r="R209" s="782"/>
      <c r="AN209" s="781"/>
      <c r="AO209" s="781"/>
    </row>
    <row r="210" spans="1:41" ht="2" customHeight="1">
      <c r="A210" s="801"/>
      <c r="B210" s="803"/>
      <c r="C210" s="125" t="s">
        <v>431</v>
      </c>
      <c r="D210" s="155"/>
      <c r="E210" s="68"/>
      <c r="F210" s="125"/>
      <c r="G210" s="125"/>
      <c r="H210" s="125"/>
      <c r="I210" s="125"/>
      <c r="J210" s="803"/>
      <c r="K210" s="117" t="str">
        <f>IFERROR(IF(D210="","",SUMIF('EXPERIENCIA '!$D$3:$D$672,D210,'EXPERIENCIA '!$AF$3:$AF$672)),"")</f>
        <v/>
      </c>
      <c r="L210" s="125" t="str">
        <f>IF(K210="","",IF(K210=0,0,IF(K210&gt;=PARÁMETROS!$O$5,"CUMPLE","NO CUMPLE")))</f>
        <v/>
      </c>
      <c r="M210" s="159" t="str">
        <f t="shared" si="18"/>
        <v/>
      </c>
      <c r="N210" s="107"/>
      <c r="O210" s="154" t="str">
        <f t="shared" si="19"/>
        <v>N/A</v>
      </c>
      <c r="P210" s="125" t="str">
        <f t="shared" si="20"/>
        <v>NO CUMPLE</v>
      </c>
      <c r="Q210" s="782"/>
      <c r="R210" s="782"/>
      <c r="AN210" s="781"/>
      <c r="AO210" s="781"/>
    </row>
    <row r="211" spans="1:41" ht="2" customHeight="1">
      <c r="A211" s="801"/>
      <c r="B211" s="803"/>
      <c r="C211" s="125" t="s">
        <v>432</v>
      </c>
      <c r="D211" s="155"/>
      <c r="E211" s="68"/>
      <c r="F211" s="125"/>
      <c r="G211" s="125"/>
      <c r="H211" s="125"/>
      <c r="I211" s="125"/>
      <c r="J211" s="803"/>
      <c r="K211" s="117" t="str">
        <f>IFERROR(IF(D211="","",SUMIF('EXPERIENCIA '!$D$3:$D$672,D211,'EXPERIENCIA '!$AF$3:$AF$672)),"")</f>
        <v/>
      </c>
      <c r="L211" s="125" t="str">
        <f>IF(K211="","",IF(K211=0,0,IF(K211&gt;=PARÁMETROS!$O$5,"CUMPLE","NO CUMPLE")))</f>
        <v/>
      </c>
      <c r="M211" s="159" t="str">
        <f t="shared" si="18"/>
        <v/>
      </c>
      <c r="N211" s="107"/>
      <c r="O211" s="154" t="str">
        <f t="shared" si="19"/>
        <v>N/A</v>
      </c>
      <c r="P211" s="125" t="str">
        <f t="shared" si="20"/>
        <v>NO CUMPLE</v>
      </c>
      <c r="Q211" s="782"/>
      <c r="R211" s="782"/>
      <c r="AN211" s="781"/>
      <c r="AO211" s="781"/>
    </row>
    <row r="212" spans="1:41" ht="2" customHeight="1" thickBot="1">
      <c r="A212" s="802"/>
      <c r="B212" s="804"/>
      <c r="C212" s="133" t="s">
        <v>433</v>
      </c>
      <c r="D212" s="157"/>
      <c r="E212" s="104"/>
      <c r="F212" s="133"/>
      <c r="G212" s="133"/>
      <c r="H212" s="133"/>
      <c r="I212" s="133"/>
      <c r="J212" s="804"/>
      <c r="K212" s="136" t="str">
        <f>IFERROR(IF(D212="","",SUMIF('EXPERIENCIA '!$D$3:$D$672,D212,'EXPERIENCIA '!$AF$3:$AF$672)),"")</f>
        <v/>
      </c>
      <c r="L212" s="133" t="str">
        <f>IF(K212="","",IF(K212=0,0,IF(K212&gt;=PARÁMETROS!$O$5,"CUMPLE","NO CUMPLE")))</f>
        <v/>
      </c>
      <c r="M212" s="160" t="str">
        <f t="shared" si="18"/>
        <v/>
      </c>
      <c r="N212" s="107"/>
      <c r="O212" s="156" t="str">
        <f t="shared" si="19"/>
        <v>N/A</v>
      </c>
      <c r="P212" s="133" t="str">
        <f t="shared" si="20"/>
        <v>NO CUMPLE</v>
      </c>
      <c r="Q212" s="783"/>
      <c r="R212" s="783"/>
      <c r="AN212" s="575"/>
      <c r="AO212" s="575"/>
    </row>
    <row r="213" spans="1:41" ht="23.5" customHeight="1">
      <c r="A213" s="800" t="s">
        <v>297</v>
      </c>
      <c r="B213" s="730" t="s">
        <v>1215</v>
      </c>
      <c r="C213" s="111" t="s">
        <v>434</v>
      </c>
      <c r="D213" s="153" t="s">
        <v>1216</v>
      </c>
      <c r="E213" s="113"/>
      <c r="F213" s="111"/>
      <c r="G213" s="111"/>
      <c r="H213" s="111"/>
      <c r="I213" s="125"/>
      <c r="J213" s="730">
        <f>SUM(AN213:AO218)</f>
        <v>2</v>
      </c>
      <c r="K213" s="115">
        <f>IFERROR(IF(D213="","",SUMIF('EXPERIENCIA '!$D$3:$D$672,D213,'EXPERIENCIA '!$AF$3:$AF$672)),"")</f>
        <v>41654.994100000004</v>
      </c>
      <c r="L213" s="111" t="str">
        <f>IF(K213="","",IF(K213=0,0,IF(K213&gt;=PARÁMETROS!$O$5,"CUMPLE","NO CUMPLE")))</f>
        <v>CUMPLE</v>
      </c>
      <c r="M213" s="158" t="str">
        <f t="shared" si="18"/>
        <v/>
      </c>
      <c r="N213" s="107"/>
      <c r="O213" s="161" t="str">
        <f t="shared" si="19"/>
        <v>N/A</v>
      </c>
      <c r="P213" s="121" t="str">
        <f t="shared" si="20"/>
        <v>NO CUMPLE</v>
      </c>
      <c r="Q213" s="782">
        <v>1</v>
      </c>
      <c r="R213" s="784"/>
      <c r="AN213" s="574">
        <f>IF(COUNTIF(H213:H218,"ACREDITA")&gt;0,1,0)</f>
        <v>1</v>
      </c>
      <c r="AO213" s="574">
        <f>IF(COUNTIF(I213:I218,"ACREDITA")&gt;0,1,0)</f>
        <v>1</v>
      </c>
    </row>
    <row r="214" spans="1:41" ht="23.5" customHeight="1">
      <c r="A214" s="801"/>
      <c r="B214" s="803"/>
      <c r="C214" s="125" t="s">
        <v>435</v>
      </c>
      <c r="D214" s="155" t="s">
        <v>1217</v>
      </c>
      <c r="E214" s="68"/>
      <c r="F214" s="125"/>
      <c r="G214" s="125" t="s">
        <v>744</v>
      </c>
      <c r="H214" s="125"/>
      <c r="I214" s="125" t="s">
        <v>744</v>
      </c>
      <c r="J214" s="803"/>
      <c r="K214" s="117">
        <f>IFERROR(IF(D214="","",SUMIF('EXPERIENCIA '!$D$3:$D$672,D214,'EXPERIENCIA '!$AF$3:$AF$672)),"")</f>
        <v>5321.3094000000001</v>
      </c>
      <c r="L214" s="125" t="str">
        <f>IF(K214="","",IF(K214=0,0,IF(K214&gt;=PARÁMETROS!$O$5,"CUMPLE","NO CUMPLE")))</f>
        <v>NO CUMPLE</v>
      </c>
      <c r="M214" s="159" t="str">
        <f t="shared" si="18"/>
        <v>NO CUMPLE</v>
      </c>
      <c r="N214" s="107"/>
      <c r="O214" s="154" t="str">
        <f t="shared" si="19"/>
        <v>NO CUMPLE</v>
      </c>
      <c r="P214" s="125" t="str">
        <f t="shared" si="20"/>
        <v>NO CUMPLE</v>
      </c>
      <c r="Q214" s="782"/>
      <c r="R214" s="784"/>
      <c r="AN214" s="781"/>
      <c r="AO214" s="781"/>
    </row>
    <row r="215" spans="1:41" ht="23.5" customHeight="1">
      <c r="A215" s="801"/>
      <c r="B215" s="803"/>
      <c r="C215" s="125" t="s">
        <v>436</v>
      </c>
      <c r="D215" s="155" t="s">
        <v>1218</v>
      </c>
      <c r="E215" s="68"/>
      <c r="F215" s="125"/>
      <c r="G215" s="125"/>
      <c r="H215" s="125" t="s">
        <v>744</v>
      </c>
      <c r="I215" s="125" t="s">
        <v>744</v>
      </c>
      <c r="J215" s="803"/>
      <c r="K215" s="117">
        <f>IFERROR(IF(D215="","",SUMIF('EXPERIENCIA '!$D$3:$D$672,D215,'EXPERIENCIA '!$AF$3:$AF$672)),"")</f>
        <v>15041.39</v>
      </c>
      <c r="L215" s="125" t="str">
        <f>IF(K215="","",IF(K215=0,0,IF(K215&gt;=PARÁMETROS!$O$5,"CUMPLE","NO CUMPLE")))</f>
        <v>CUMPLE</v>
      </c>
      <c r="M215" s="159" t="str">
        <f t="shared" si="18"/>
        <v/>
      </c>
      <c r="N215" s="107"/>
      <c r="O215" s="154" t="str">
        <f t="shared" si="19"/>
        <v>N/A</v>
      </c>
      <c r="P215" s="125" t="str">
        <f t="shared" si="20"/>
        <v>NO CUMPLE</v>
      </c>
      <c r="Q215" s="782"/>
      <c r="R215" s="784"/>
      <c r="AN215" s="781"/>
      <c r="AO215" s="781"/>
    </row>
    <row r="216" spans="1:41" ht="2" customHeight="1">
      <c r="A216" s="801"/>
      <c r="B216" s="803"/>
      <c r="C216" s="125" t="s">
        <v>437</v>
      </c>
      <c r="D216" s="155"/>
      <c r="E216" s="68"/>
      <c r="F216" s="125"/>
      <c r="G216" s="125"/>
      <c r="H216" s="125"/>
      <c r="I216" s="125"/>
      <c r="J216" s="803"/>
      <c r="K216" s="117" t="str">
        <f>IFERROR(IF(D216="","",SUMIF('EXPERIENCIA '!$D$3:$D$672,D216,'EXPERIENCIA '!$AF$3:$AF$672)),"")</f>
        <v/>
      </c>
      <c r="L216" s="125" t="str">
        <f>IF(K216="","",IF(K216=0,0,IF(K216&gt;=PARÁMETROS!$O$5,"CUMPLE","NO CUMPLE")))</f>
        <v/>
      </c>
      <c r="M216" s="159" t="str">
        <f t="shared" si="18"/>
        <v/>
      </c>
      <c r="N216" s="107"/>
      <c r="O216" s="154" t="str">
        <f t="shared" si="19"/>
        <v>N/A</v>
      </c>
      <c r="P216" s="125" t="str">
        <f t="shared" si="20"/>
        <v>NO CUMPLE</v>
      </c>
      <c r="Q216" s="782"/>
      <c r="R216" s="784"/>
      <c r="AN216" s="781"/>
      <c r="AO216" s="781"/>
    </row>
    <row r="217" spans="1:41" ht="2" customHeight="1">
      <c r="A217" s="801"/>
      <c r="B217" s="803"/>
      <c r="C217" s="125" t="s">
        <v>438</v>
      </c>
      <c r="D217" s="155"/>
      <c r="E217" s="68"/>
      <c r="F217" s="125"/>
      <c r="G217" s="125"/>
      <c r="H217" s="125"/>
      <c r="I217" s="125"/>
      <c r="J217" s="803"/>
      <c r="K217" s="117" t="str">
        <f>IFERROR(IF(D217="","",SUMIF('EXPERIENCIA '!$D$3:$D$672,D217,'EXPERIENCIA '!$AF$3:$AF$672)),"")</f>
        <v/>
      </c>
      <c r="L217" s="125" t="str">
        <f>IF(K217="","",IF(K217=0,0,IF(K217&gt;=PARÁMETROS!$O$5,"CUMPLE","NO CUMPLE")))</f>
        <v/>
      </c>
      <c r="M217" s="159" t="str">
        <f t="shared" si="18"/>
        <v/>
      </c>
      <c r="N217" s="107"/>
      <c r="O217" s="154" t="str">
        <f t="shared" si="19"/>
        <v>N/A</v>
      </c>
      <c r="P217" s="125" t="str">
        <f t="shared" si="20"/>
        <v>NO CUMPLE</v>
      </c>
      <c r="Q217" s="782"/>
      <c r="R217" s="784"/>
      <c r="AN217" s="781"/>
      <c r="AO217" s="781"/>
    </row>
    <row r="218" spans="1:41" ht="2" customHeight="1" thickBot="1">
      <c r="A218" s="802"/>
      <c r="B218" s="804"/>
      <c r="C218" s="133" t="s">
        <v>439</v>
      </c>
      <c r="D218" s="157"/>
      <c r="E218" s="104"/>
      <c r="F218" s="133"/>
      <c r="G218" s="133"/>
      <c r="H218" s="133"/>
      <c r="I218" s="133"/>
      <c r="J218" s="804"/>
      <c r="K218" s="136" t="str">
        <f>IFERROR(IF(D218="","",SUMIF('EXPERIENCIA '!$D$3:$D$672,D218,'EXPERIENCIA '!$AF$3:$AF$672)),"")</f>
        <v/>
      </c>
      <c r="L218" s="133" t="str">
        <f>IF(K218="","",IF(K218=0,0,IF(K218&gt;=PARÁMETROS!$O$5,"CUMPLE","NO CUMPLE")))</f>
        <v/>
      </c>
      <c r="M218" s="160" t="str">
        <f t="shared" si="18"/>
        <v/>
      </c>
      <c r="N218" s="107"/>
      <c r="O218" s="156" t="str">
        <f t="shared" si="19"/>
        <v>N/A</v>
      </c>
      <c r="P218" s="133" t="str">
        <f t="shared" si="20"/>
        <v>NO CUMPLE</v>
      </c>
      <c r="Q218" s="783"/>
      <c r="R218" s="785"/>
      <c r="AN218" s="575"/>
      <c r="AO218" s="575"/>
    </row>
    <row r="219" spans="1:41" ht="23.5" customHeight="1">
      <c r="A219" s="814" t="s">
        <v>298</v>
      </c>
      <c r="B219" s="606" t="s">
        <v>654</v>
      </c>
      <c r="C219" s="180" t="s">
        <v>440</v>
      </c>
      <c r="D219" s="220" t="s">
        <v>655</v>
      </c>
      <c r="E219" s="221">
        <v>0.1</v>
      </c>
      <c r="F219" s="180"/>
      <c r="G219" s="180"/>
      <c r="H219" s="180" t="s">
        <v>744</v>
      </c>
      <c r="I219" s="180" t="s">
        <v>744</v>
      </c>
      <c r="J219" s="606">
        <f>SUM(AN219:AO224)</f>
        <v>2</v>
      </c>
      <c r="K219" s="222">
        <f>IFERROR(IF(D219="","",SUMIF('EXPERIENCIA '!$D$3:$D$672,D219,'EXPERIENCIA '!$AF$3:$AF$672)),"")</f>
        <v>10265.165000000001</v>
      </c>
      <c r="L219" s="180" t="str">
        <f>IF(K219="","",IF(K219=0,0,IF(K219&gt;=PARÁMETROS!$O$5,"CUMPLE","NO CUMPLE")))</f>
        <v>CUMPLE</v>
      </c>
      <c r="M219" s="223" t="str">
        <f t="shared" si="18"/>
        <v/>
      </c>
      <c r="N219" s="4"/>
      <c r="O219" s="224" t="str">
        <f t="shared" si="19"/>
        <v>N/A</v>
      </c>
      <c r="P219" s="179" t="str">
        <f t="shared" si="20"/>
        <v>NO CUMPLE</v>
      </c>
      <c r="Q219" s="810">
        <v>1</v>
      </c>
      <c r="R219" s="812"/>
      <c r="AN219" s="574">
        <f>IF(COUNTIF(H219:H224,"ACREDITA")&gt;0,1,0)</f>
        <v>1</v>
      </c>
      <c r="AO219" s="574">
        <f>IF(COUNTIF(I219:I224,"ACREDITA")&gt;0,1,0)</f>
        <v>1</v>
      </c>
    </row>
    <row r="220" spans="1:41" ht="23.5" customHeight="1">
      <c r="A220" s="815"/>
      <c r="B220" s="781"/>
      <c r="C220" s="3" t="s">
        <v>441</v>
      </c>
      <c r="D220" s="225" t="s">
        <v>656</v>
      </c>
      <c r="E220" s="7">
        <v>0.4</v>
      </c>
      <c r="F220" s="3"/>
      <c r="G220" s="3"/>
      <c r="H220" s="3"/>
      <c r="I220" s="3"/>
      <c r="J220" s="781"/>
      <c r="K220" s="21">
        <f>IFERROR(IF(D220="","",SUMIF('EXPERIENCIA '!$D$3:$D$672,D220,'EXPERIENCIA '!$AF$3:$AF$672)),"")</f>
        <v>13161.303400000001</v>
      </c>
      <c r="L220" s="3" t="str">
        <f>IF(K220="","",IF(K220=0,0,IF(K220&gt;=PARÁMETROS!$O$5,"CUMPLE","NO CUMPLE")))</f>
        <v>CUMPLE</v>
      </c>
      <c r="M220" s="226" t="str">
        <f t="shared" si="18"/>
        <v/>
      </c>
      <c r="N220" s="4"/>
      <c r="O220" s="213" t="str">
        <f t="shared" si="19"/>
        <v>N/A</v>
      </c>
      <c r="P220" s="3" t="str">
        <f t="shared" si="20"/>
        <v>NO CUMPLE</v>
      </c>
      <c r="Q220" s="810"/>
      <c r="R220" s="812"/>
      <c r="AN220" s="781"/>
      <c r="AO220" s="781"/>
    </row>
    <row r="221" spans="1:41" ht="23.5" customHeight="1">
      <c r="A221" s="815"/>
      <c r="B221" s="781"/>
      <c r="C221" s="3" t="s">
        <v>442</v>
      </c>
      <c r="D221" s="225" t="s">
        <v>657</v>
      </c>
      <c r="E221" s="7">
        <v>0.1</v>
      </c>
      <c r="F221" s="3"/>
      <c r="G221" s="3"/>
      <c r="H221" s="3" t="s">
        <v>744</v>
      </c>
      <c r="I221" s="3" t="s">
        <v>744</v>
      </c>
      <c r="J221" s="781"/>
      <c r="K221" s="21">
        <f>IFERROR(IF(D221="","",SUMIF('EXPERIENCIA '!$D$3:$D$672,D221,'EXPERIENCIA '!$AF$3:$AF$672)),"")</f>
        <v>25234.078799999999</v>
      </c>
      <c r="L221" s="3" t="str">
        <f>IF(K221="","",IF(K221=0,0,IF(K221&gt;=PARÁMETROS!$O$5,"CUMPLE","NO CUMPLE")))</f>
        <v>CUMPLE</v>
      </c>
      <c r="M221" s="226" t="str">
        <f t="shared" si="18"/>
        <v/>
      </c>
      <c r="N221" s="4"/>
      <c r="O221" s="213" t="str">
        <f t="shared" si="19"/>
        <v>N/A</v>
      </c>
      <c r="P221" s="3" t="str">
        <f t="shared" si="20"/>
        <v>NO CUMPLE</v>
      </c>
      <c r="Q221" s="810"/>
      <c r="R221" s="812"/>
      <c r="AN221" s="781"/>
      <c r="AO221" s="781"/>
    </row>
    <row r="222" spans="1:41" ht="23.5" customHeight="1">
      <c r="A222" s="815"/>
      <c r="B222" s="781"/>
      <c r="C222" s="3" t="s">
        <v>443</v>
      </c>
      <c r="D222" s="225" t="s">
        <v>658</v>
      </c>
      <c r="E222" s="7">
        <v>0.4</v>
      </c>
      <c r="F222" s="3"/>
      <c r="G222" s="3" t="s">
        <v>744</v>
      </c>
      <c r="H222" s="3" t="s">
        <v>744</v>
      </c>
      <c r="I222" s="3" t="s">
        <v>744</v>
      </c>
      <c r="J222" s="781"/>
      <c r="K222" s="21">
        <f>IFERROR(IF(D222="","",SUMIF('EXPERIENCIA '!$D$3:$D$672,D222,'EXPERIENCIA '!$AF$3:$AF$672)),"")</f>
        <v>35333.047122399999</v>
      </c>
      <c r="L222" s="3" t="str">
        <f>IF(K222="","",IF(K222=0,0,IF(K222&gt;=PARÁMETROS!$O$5,"CUMPLE","NO CUMPLE")))</f>
        <v>CUMPLE</v>
      </c>
      <c r="M222" s="226" t="str">
        <f t="shared" si="18"/>
        <v>CUMPLE</v>
      </c>
      <c r="N222" s="4"/>
      <c r="O222" s="213" t="str">
        <f t="shared" si="19"/>
        <v>CUMPLE</v>
      </c>
      <c r="P222" s="3" t="str">
        <f t="shared" si="20"/>
        <v>CUMPLE</v>
      </c>
      <c r="Q222" s="810"/>
      <c r="R222" s="812"/>
      <c r="AN222" s="781"/>
      <c r="AO222" s="781"/>
    </row>
    <row r="223" spans="1:41" ht="2" customHeight="1">
      <c r="A223" s="815"/>
      <c r="B223" s="781"/>
      <c r="C223" s="3" t="s">
        <v>444</v>
      </c>
      <c r="D223" s="225"/>
      <c r="E223" s="7"/>
      <c r="F223" s="3"/>
      <c r="G223" s="3"/>
      <c r="H223" s="3"/>
      <c r="I223" s="3"/>
      <c r="J223" s="781"/>
      <c r="K223" s="21" t="str">
        <f>IFERROR(IF(D223="","",SUMIF('EXPERIENCIA '!$D$3:$D$672,D223,'EXPERIENCIA '!$AF$3:$AF$672)),"")</f>
        <v/>
      </c>
      <c r="L223" s="3" t="str">
        <f>IF(K223="","",IF(K223=0,0,IF(K223&gt;=PARÁMETROS!$O$5,"CUMPLE","NO CUMPLE")))</f>
        <v/>
      </c>
      <c r="M223" s="226" t="str">
        <f t="shared" si="18"/>
        <v/>
      </c>
      <c r="N223" s="4"/>
      <c r="O223" s="213" t="str">
        <f t="shared" si="19"/>
        <v>N/A</v>
      </c>
      <c r="P223" s="3" t="str">
        <f t="shared" si="20"/>
        <v>NO CUMPLE</v>
      </c>
      <c r="Q223" s="810"/>
      <c r="R223" s="812"/>
      <c r="AN223" s="781"/>
      <c r="AO223" s="781"/>
    </row>
    <row r="224" spans="1:41" ht="2" customHeight="1" thickBot="1">
      <c r="A224" s="816"/>
      <c r="B224" s="817"/>
      <c r="C224" s="5" t="s">
        <v>445</v>
      </c>
      <c r="D224" s="227"/>
      <c r="E224" s="8"/>
      <c r="F224" s="5"/>
      <c r="G224" s="5"/>
      <c r="H224" s="5"/>
      <c r="I224" s="5"/>
      <c r="J224" s="817"/>
      <c r="K224" s="22" t="str">
        <f>IFERROR(IF(D224="","",SUMIF('EXPERIENCIA '!$D$3:$D$672,D224,'EXPERIENCIA '!$AF$3:$AF$672)),"")</f>
        <v/>
      </c>
      <c r="L224" s="5" t="str">
        <f>IF(K224="","",IF(K224=0,0,IF(K224&gt;=PARÁMETROS!$O$5,"CUMPLE","NO CUMPLE")))</f>
        <v/>
      </c>
      <c r="M224" s="44" t="str">
        <f t="shared" si="18"/>
        <v/>
      </c>
      <c r="N224" s="4"/>
      <c r="O224" s="40" t="str">
        <f t="shared" si="19"/>
        <v>N/A</v>
      </c>
      <c r="P224" s="5" t="str">
        <f t="shared" si="20"/>
        <v>NO CUMPLE</v>
      </c>
      <c r="Q224" s="811"/>
      <c r="R224" s="813"/>
      <c r="AN224" s="575"/>
      <c r="AO224" s="575"/>
    </row>
    <row r="225" spans="1:41" ht="23.5" customHeight="1">
      <c r="A225" s="814" t="s">
        <v>299</v>
      </c>
      <c r="B225" s="606" t="s">
        <v>672</v>
      </c>
      <c r="C225" s="180" t="s">
        <v>446</v>
      </c>
      <c r="D225" s="220" t="s">
        <v>673</v>
      </c>
      <c r="E225" s="221">
        <v>0.1</v>
      </c>
      <c r="F225" s="180"/>
      <c r="G225" s="235"/>
      <c r="H225" s="180" t="s">
        <v>744</v>
      </c>
      <c r="I225" s="180"/>
      <c r="J225" s="606">
        <f>SUM(AN225:AO230)</f>
        <v>2</v>
      </c>
      <c r="K225" s="222">
        <f>IFERROR(IF(D225="","",SUMIF('EXPERIENCIA '!$D$3:$D$672,D225,'EXPERIENCIA '!$AF$3:$AF$672)),"")</f>
        <v>16613.68</v>
      </c>
      <c r="L225" s="180" t="str">
        <f>IF(K225="","",IF(K225=0,0,IF(K225&gt;=PARÁMETROS!$O$5,"CUMPLE","NO CUMPLE")))</f>
        <v>CUMPLE</v>
      </c>
      <c r="M225" s="223" t="str">
        <f t="shared" si="18"/>
        <v/>
      </c>
      <c r="N225" s="4"/>
      <c r="O225" s="224" t="str">
        <f t="shared" si="19"/>
        <v>N/A</v>
      </c>
      <c r="P225" s="179" t="str">
        <f t="shared" si="20"/>
        <v>NO CUMPLE</v>
      </c>
      <c r="Q225" s="818">
        <v>0</v>
      </c>
      <c r="R225" s="820" t="s">
        <v>746</v>
      </c>
      <c r="AN225" s="574">
        <f>IF(COUNTIF(H225:H230,"ACREDITA")&gt;0,1,0)</f>
        <v>1</v>
      </c>
      <c r="AO225" s="574">
        <f>IF(COUNTIF(I225:I230,"ACREDITA")&gt;0,1,0)</f>
        <v>1</v>
      </c>
    </row>
    <row r="226" spans="1:41" ht="23.5" customHeight="1">
      <c r="A226" s="815"/>
      <c r="B226" s="781"/>
      <c r="C226" s="3" t="s">
        <v>447</v>
      </c>
      <c r="D226" s="225" t="s">
        <v>674</v>
      </c>
      <c r="E226" s="7">
        <v>0.9</v>
      </c>
      <c r="F226" s="3"/>
      <c r="G226" s="236"/>
      <c r="H226" s="3" t="s">
        <v>744</v>
      </c>
      <c r="I226" s="3" t="s">
        <v>744</v>
      </c>
      <c r="J226" s="781"/>
      <c r="K226" s="21">
        <f>IFERROR(IF(D226="","",SUMIF('EXPERIENCIA '!$D$3:$D$672,D226,'EXPERIENCIA '!$AF$3:$AF$672)),"")</f>
        <v>40308.789000000004</v>
      </c>
      <c r="L226" s="3" t="str">
        <f>IF(K226="","",IF(K226=0,0,IF(K226&gt;=PARÁMETROS!$O$5,"CUMPLE","NO CUMPLE")))</f>
        <v>CUMPLE</v>
      </c>
      <c r="M226" s="226" t="str">
        <f t="shared" si="18"/>
        <v/>
      </c>
      <c r="N226" s="4"/>
      <c r="O226" s="213" t="str">
        <f t="shared" si="19"/>
        <v>N/A</v>
      </c>
      <c r="P226" s="3" t="str">
        <f t="shared" si="20"/>
        <v>NO CUMPLE</v>
      </c>
      <c r="Q226" s="818"/>
      <c r="R226" s="820"/>
      <c r="AN226" s="781"/>
      <c r="AO226" s="781"/>
    </row>
    <row r="227" spans="1:41" ht="2" customHeight="1">
      <c r="A227" s="815"/>
      <c r="B227" s="781"/>
      <c r="C227" s="3" t="s">
        <v>448</v>
      </c>
      <c r="D227" s="225"/>
      <c r="E227" s="7"/>
      <c r="F227" s="3"/>
      <c r="G227" s="3"/>
      <c r="H227" s="3"/>
      <c r="I227" s="3"/>
      <c r="J227" s="781"/>
      <c r="K227" s="21" t="str">
        <f>IFERROR(IF(D227="","",SUMIF('EXPERIENCIA '!$D$3:$D$672,D227,'EXPERIENCIA '!$AF$3:$AF$672)),"")</f>
        <v/>
      </c>
      <c r="L227" s="3" t="str">
        <f>IF(K227="","",IF(K227=0,0,IF(K227&gt;=PARÁMETROS!$O$5,"CUMPLE","NO CUMPLE")))</f>
        <v/>
      </c>
      <c r="M227" s="226" t="str">
        <f t="shared" si="18"/>
        <v/>
      </c>
      <c r="N227" s="4"/>
      <c r="O227" s="213" t="str">
        <f t="shared" si="19"/>
        <v>N/A</v>
      </c>
      <c r="P227" s="3" t="str">
        <f t="shared" si="20"/>
        <v>NO CUMPLE</v>
      </c>
      <c r="Q227" s="818"/>
      <c r="R227" s="820"/>
      <c r="AN227" s="781"/>
      <c r="AO227" s="781"/>
    </row>
    <row r="228" spans="1:41" ht="2" customHeight="1">
      <c r="A228" s="815"/>
      <c r="B228" s="781"/>
      <c r="C228" s="3" t="s">
        <v>449</v>
      </c>
      <c r="D228" s="225"/>
      <c r="E228" s="7"/>
      <c r="F228" s="3"/>
      <c r="G228" s="3"/>
      <c r="H228" s="3"/>
      <c r="I228" s="3"/>
      <c r="J228" s="781"/>
      <c r="K228" s="21" t="str">
        <f>IFERROR(IF(D228="","",SUMIF('EXPERIENCIA '!$D$3:$D$672,D228,'EXPERIENCIA '!$AF$3:$AF$672)),"")</f>
        <v/>
      </c>
      <c r="L228" s="3" t="str">
        <f>IF(K228="","",IF(K228=0,0,IF(K228&gt;=PARÁMETROS!$O$5,"CUMPLE","NO CUMPLE")))</f>
        <v/>
      </c>
      <c r="M228" s="226" t="str">
        <f t="shared" si="18"/>
        <v/>
      </c>
      <c r="N228" s="4"/>
      <c r="O228" s="213" t="str">
        <f t="shared" si="19"/>
        <v>N/A</v>
      </c>
      <c r="P228" s="3" t="str">
        <f t="shared" si="20"/>
        <v>NO CUMPLE</v>
      </c>
      <c r="Q228" s="818"/>
      <c r="R228" s="820"/>
      <c r="AN228" s="781"/>
      <c r="AO228" s="781"/>
    </row>
    <row r="229" spans="1:41" ht="2" customHeight="1">
      <c r="A229" s="815"/>
      <c r="B229" s="781"/>
      <c r="C229" s="3" t="s">
        <v>450</v>
      </c>
      <c r="D229" s="225"/>
      <c r="E229" s="7"/>
      <c r="F229" s="3"/>
      <c r="G229" s="3"/>
      <c r="H229" s="3"/>
      <c r="I229" s="3"/>
      <c r="J229" s="781"/>
      <c r="K229" s="21" t="str">
        <f>IFERROR(IF(D229="","",SUMIF('EXPERIENCIA '!$D$3:$D$672,D229,'EXPERIENCIA '!$AF$3:$AF$672)),"")</f>
        <v/>
      </c>
      <c r="L229" s="3" t="str">
        <f>IF(K229="","",IF(K229=0,0,IF(K229&gt;=PARÁMETROS!$O$5,"CUMPLE","NO CUMPLE")))</f>
        <v/>
      </c>
      <c r="M229" s="226" t="str">
        <f t="shared" si="18"/>
        <v/>
      </c>
      <c r="N229" s="4"/>
      <c r="O229" s="213" t="str">
        <f t="shared" si="19"/>
        <v>N/A</v>
      </c>
      <c r="P229" s="3" t="str">
        <f t="shared" si="20"/>
        <v>NO CUMPLE</v>
      </c>
      <c r="Q229" s="818"/>
      <c r="R229" s="820"/>
      <c r="AN229" s="781"/>
      <c r="AO229" s="781"/>
    </row>
    <row r="230" spans="1:41" ht="2" customHeight="1" thickBot="1">
      <c r="A230" s="816"/>
      <c r="B230" s="817"/>
      <c r="C230" s="5" t="s">
        <v>451</v>
      </c>
      <c r="D230" s="227"/>
      <c r="E230" s="8"/>
      <c r="F230" s="5"/>
      <c r="G230" s="5"/>
      <c r="H230" s="5"/>
      <c r="I230" s="5"/>
      <c r="J230" s="817"/>
      <c r="K230" s="22" t="str">
        <f>IFERROR(IF(D230="","",SUMIF('EXPERIENCIA '!$D$3:$D$672,D230,'EXPERIENCIA '!$AF$3:$AF$672)),"")</f>
        <v/>
      </c>
      <c r="L230" s="5" t="str">
        <f>IF(K230="","",IF(K230=0,0,IF(K230&gt;=PARÁMETROS!$O$5,"CUMPLE","NO CUMPLE")))</f>
        <v/>
      </c>
      <c r="M230" s="44" t="str">
        <f t="shared" si="18"/>
        <v/>
      </c>
      <c r="N230" s="4"/>
      <c r="O230" s="40" t="str">
        <f t="shared" si="19"/>
        <v>N/A</v>
      </c>
      <c r="P230" s="5" t="str">
        <f t="shared" si="20"/>
        <v>NO CUMPLE</v>
      </c>
      <c r="Q230" s="819"/>
      <c r="R230" s="821"/>
      <c r="AN230" s="575"/>
      <c r="AO230" s="575"/>
    </row>
    <row r="231" spans="1:41" ht="23.5" customHeight="1">
      <c r="A231" s="814" t="s">
        <v>300</v>
      </c>
      <c r="B231" s="606" t="s">
        <v>695</v>
      </c>
      <c r="C231" s="180" t="s">
        <v>452</v>
      </c>
      <c r="D231" s="220" t="s">
        <v>696</v>
      </c>
      <c r="E231" s="221">
        <v>0.85</v>
      </c>
      <c r="F231" s="180"/>
      <c r="G231" s="180" t="s">
        <v>744</v>
      </c>
      <c r="H231" s="180"/>
      <c r="I231" s="180"/>
      <c r="J231" s="606">
        <f>SUM(AN231:AO236)</f>
        <v>2</v>
      </c>
      <c r="K231" s="222">
        <f>IFERROR(IF(D231="","",SUMIF('EXPERIENCIA '!$D$3:$D$672,D231,'EXPERIENCIA '!$AF$3:$AF$672)),"")</f>
        <v>45769.927000000003</v>
      </c>
      <c r="L231" s="180" t="str">
        <f>IF(K231="","",IF(K231=0,0,IF(K231&gt;=PARÁMETROS!$O$5,"CUMPLE","NO CUMPLE")))</f>
        <v>CUMPLE</v>
      </c>
      <c r="M231" s="223" t="str">
        <f t="shared" si="18"/>
        <v>CUMPLE</v>
      </c>
      <c r="N231" s="4"/>
      <c r="O231" s="224" t="str">
        <f t="shared" si="19"/>
        <v>CUMPLE</v>
      </c>
      <c r="P231" s="179" t="str">
        <f t="shared" si="20"/>
        <v>CUMPLE</v>
      </c>
      <c r="Q231" s="810">
        <v>1</v>
      </c>
      <c r="R231" s="812"/>
      <c r="AN231" s="574">
        <f>IF(COUNTIF(H231:H236,"ACREDITA")&gt;0,1,0)</f>
        <v>1</v>
      </c>
      <c r="AO231" s="574">
        <f>IF(COUNTIF(I231:I236,"ACREDITA")&gt;0,1,0)</f>
        <v>1</v>
      </c>
    </row>
    <row r="232" spans="1:41" ht="23.5" customHeight="1">
      <c r="A232" s="815"/>
      <c r="B232" s="781"/>
      <c r="C232" s="3" t="s">
        <v>453</v>
      </c>
      <c r="D232" s="225" t="s">
        <v>697</v>
      </c>
      <c r="E232" s="7">
        <v>0.15</v>
      </c>
      <c r="F232" s="3"/>
      <c r="G232" s="3"/>
      <c r="H232" s="3" t="s">
        <v>744</v>
      </c>
      <c r="I232" s="3" t="s">
        <v>744</v>
      </c>
      <c r="J232" s="781"/>
      <c r="K232" s="21">
        <f>IFERROR(IF(D232="","",SUMIF('EXPERIENCIA '!$D$3:$D$672,D232,'EXPERIENCIA '!$AF$3:$AF$672)),"")</f>
        <v>16257.594000000001</v>
      </c>
      <c r="L232" s="3" t="str">
        <f>IF(K232="","",IF(K232=0,0,IF(K232&gt;=PARÁMETROS!$O$5,"CUMPLE","NO CUMPLE")))</f>
        <v>CUMPLE</v>
      </c>
      <c r="M232" s="226" t="str">
        <f t="shared" si="18"/>
        <v/>
      </c>
      <c r="N232" s="4"/>
      <c r="O232" s="213" t="str">
        <f t="shared" si="19"/>
        <v>N/A</v>
      </c>
      <c r="P232" s="3" t="str">
        <f t="shared" si="20"/>
        <v>NO CUMPLE</v>
      </c>
      <c r="Q232" s="810"/>
      <c r="R232" s="812"/>
      <c r="AN232" s="781"/>
      <c r="AO232" s="781"/>
    </row>
    <row r="233" spans="1:41" ht="2" customHeight="1">
      <c r="A233" s="815"/>
      <c r="B233" s="781"/>
      <c r="C233" s="3" t="s">
        <v>454</v>
      </c>
      <c r="D233" s="225"/>
      <c r="E233" s="7"/>
      <c r="F233" s="3"/>
      <c r="G233" s="3"/>
      <c r="H233" s="3"/>
      <c r="I233" s="3"/>
      <c r="J233" s="781"/>
      <c r="K233" s="21" t="str">
        <f>IFERROR(IF(D233="","",SUMIF('EXPERIENCIA '!$D$3:$D$672,D233,'EXPERIENCIA '!$AF$3:$AF$672)),"")</f>
        <v/>
      </c>
      <c r="L233" s="3" t="str">
        <f>IF(K233="","",IF(K233=0,0,IF(K233&gt;=PARÁMETROS!$O$5,"CUMPLE","NO CUMPLE")))</f>
        <v/>
      </c>
      <c r="M233" s="226" t="str">
        <f t="shared" si="18"/>
        <v/>
      </c>
      <c r="N233" s="4"/>
      <c r="O233" s="213" t="str">
        <f t="shared" si="19"/>
        <v>N/A</v>
      </c>
      <c r="P233" s="3" t="str">
        <f t="shared" si="20"/>
        <v>NO CUMPLE</v>
      </c>
      <c r="Q233" s="810"/>
      <c r="R233" s="812"/>
      <c r="AN233" s="781"/>
      <c r="AO233" s="781"/>
    </row>
    <row r="234" spans="1:41" ht="2" customHeight="1">
      <c r="A234" s="815"/>
      <c r="B234" s="781"/>
      <c r="C234" s="3" t="s">
        <v>455</v>
      </c>
      <c r="D234" s="225"/>
      <c r="E234" s="7"/>
      <c r="F234" s="3"/>
      <c r="G234" s="3"/>
      <c r="H234" s="3"/>
      <c r="I234" s="3"/>
      <c r="J234" s="781"/>
      <c r="K234" s="21" t="str">
        <f>IFERROR(IF(D234="","",SUMIF('EXPERIENCIA '!$D$3:$D$672,D234,'EXPERIENCIA '!$AF$3:$AF$672)),"")</f>
        <v/>
      </c>
      <c r="L234" s="3" t="str">
        <f>IF(K234="","",IF(K234=0,0,IF(K234&gt;=PARÁMETROS!$O$5,"CUMPLE","NO CUMPLE")))</f>
        <v/>
      </c>
      <c r="M234" s="226" t="str">
        <f t="shared" si="18"/>
        <v/>
      </c>
      <c r="N234" s="4"/>
      <c r="O234" s="213" t="str">
        <f t="shared" si="19"/>
        <v>N/A</v>
      </c>
      <c r="P234" s="3" t="str">
        <f t="shared" si="20"/>
        <v>NO CUMPLE</v>
      </c>
      <c r="Q234" s="810"/>
      <c r="R234" s="812"/>
      <c r="AN234" s="781"/>
      <c r="AO234" s="781"/>
    </row>
    <row r="235" spans="1:41" ht="2" customHeight="1">
      <c r="A235" s="815"/>
      <c r="B235" s="781"/>
      <c r="C235" s="3" t="s">
        <v>456</v>
      </c>
      <c r="D235" s="225"/>
      <c r="E235" s="7"/>
      <c r="F235" s="3"/>
      <c r="G235" s="3"/>
      <c r="H235" s="3"/>
      <c r="I235" s="3"/>
      <c r="J235" s="781"/>
      <c r="K235" s="21" t="str">
        <f>IFERROR(IF(D235="","",SUMIF('EXPERIENCIA '!$D$3:$D$672,D235,'EXPERIENCIA '!$AF$3:$AF$672)),"")</f>
        <v/>
      </c>
      <c r="L235" s="3" t="str">
        <f>IF(K235="","",IF(K235=0,0,IF(K235&gt;=PARÁMETROS!$O$5,"CUMPLE","NO CUMPLE")))</f>
        <v/>
      </c>
      <c r="M235" s="226" t="str">
        <f t="shared" si="18"/>
        <v/>
      </c>
      <c r="N235" s="4"/>
      <c r="O235" s="213" t="str">
        <f t="shared" si="19"/>
        <v>N/A</v>
      </c>
      <c r="P235" s="3" t="str">
        <f t="shared" si="20"/>
        <v>NO CUMPLE</v>
      </c>
      <c r="Q235" s="810"/>
      <c r="R235" s="812"/>
      <c r="AN235" s="781"/>
      <c r="AO235" s="781"/>
    </row>
    <row r="236" spans="1:41" ht="2" customHeight="1" thickBot="1">
      <c r="A236" s="816"/>
      <c r="B236" s="817"/>
      <c r="C236" s="5" t="s">
        <v>457</v>
      </c>
      <c r="D236" s="227"/>
      <c r="E236" s="8"/>
      <c r="F236" s="5"/>
      <c r="G236" s="5"/>
      <c r="H236" s="5"/>
      <c r="I236" s="5"/>
      <c r="J236" s="817"/>
      <c r="K236" s="22" t="str">
        <f>IFERROR(IF(D236="","",SUMIF('EXPERIENCIA '!$D$3:$D$672,D236,'EXPERIENCIA '!$AF$3:$AF$672)),"")</f>
        <v/>
      </c>
      <c r="L236" s="5" t="str">
        <f>IF(K236="","",IF(K236=0,0,IF(K236&gt;=PARÁMETROS!$O$5,"CUMPLE","NO CUMPLE")))</f>
        <v/>
      </c>
      <c r="M236" s="44" t="str">
        <f t="shared" si="18"/>
        <v/>
      </c>
      <c r="N236" s="4"/>
      <c r="O236" s="40" t="str">
        <f t="shared" si="19"/>
        <v>N/A</v>
      </c>
      <c r="P236" s="5" t="str">
        <f t="shared" si="20"/>
        <v>NO CUMPLE</v>
      </c>
      <c r="Q236" s="811"/>
      <c r="R236" s="813"/>
      <c r="AN236" s="575"/>
      <c r="AO236" s="575"/>
    </row>
    <row r="237" spans="1:41" ht="23.5" customHeight="1">
      <c r="A237" s="814" t="s">
        <v>301</v>
      </c>
      <c r="B237" s="606" t="s">
        <v>712</v>
      </c>
      <c r="C237" s="180" t="s">
        <v>458</v>
      </c>
      <c r="D237" s="220" t="s">
        <v>713</v>
      </c>
      <c r="E237" s="221">
        <v>0.5</v>
      </c>
      <c r="F237" s="180"/>
      <c r="G237" s="180" t="s">
        <v>744</v>
      </c>
      <c r="H237" s="180" t="s">
        <v>744</v>
      </c>
      <c r="I237" s="180" t="s">
        <v>744</v>
      </c>
      <c r="J237" s="606">
        <f>SUM(AN237:AO242)</f>
        <v>2</v>
      </c>
      <c r="K237" s="222">
        <f>IFERROR(IF(D237="","",SUMIF('EXPERIENCIA '!$D$3:$D$672,D237,'EXPERIENCIA '!$AF$3:$AF$672)),"")</f>
        <v>0</v>
      </c>
      <c r="L237" s="180">
        <f>IF(K237="","",IF(K237=0,0,IF(K237&gt;=PARÁMETROS!$O$5,"CUMPLE","NO CUMPLE")))</f>
        <v>0</v>
      </c>
      <c r="M237" s="223" t="str">
        <f t="shared" si="18"/>
        <v>NO CUMPLE</v>
      </c>
      <c r="N237" s="4"/>
      <c r="O237" s="224" t="str">
        <f t="shared" si="19"/>
        <v/>
      </c>
      <c r="P237" s="179" t="str">
        <f t="shared" si="20"/>
        <v>NO CUMPLE</v>
      </c>
      <c r="Q237" s="818">
        <v>0</v>
      </c>
      <c r="R237" s="820" t="s">
        <v>745</v>
      </c>
      <c r="AN237" s="574">
        <f>IF(COUNTIF(H237:H242,"ACREDITA")&gt;0,1,0)</f>
        <v>1</v>
      </c>
      <c r="AO237" s="574">
        <f>IF(COUNTIF(I237:I242,"ACREDITA")&gt;0,1,0)</f>
        <v>1</v>
      </c>
    </row>
    <row r="238" spans="1:41" ht="23.5" customHeight="1">
      <c r="A238" s="815"/>
      <c r="B238" s="781"/>
      <c r="C238" s="3" t="s">
        <v>459</v>
      </c>
      <c r="D238" s="225" t="s">
        <v>714</v>
      </c>
      <c r="E238" s="7">
        <v>0.5</v>
      </c>
      <c r="F238" s="3"/>
      <c r="G238" s="3"/>
      <c r="H238" s="3" t="s">
        <v>744</v>
      </c>
      <c r="I238" s="3"/>
      <c r="J238" s="781"/>
      <c r="K238" s="21">
        <f>IFERROR(IF(D238="","",SUMIF('EXPERIENCIA '!$D$3:$D$672,D238,'EXPERIENCIA '!$AF$3:$AF$672)),"")</f>
        <v>9087.9699999999993</v>
      </c>
      <c r="L238" s="3" t="str">
        <f>IF(K238="","",IF(K238=0,0,IF(K238&gt;=PARÁMETROS!$O$5,"CUMPLE","NO CUMPLE")))</f>
        <v>NO CUMPLE</v>
      </c>
      <c r="M238" s="226" t="str">
        <f t="shared" si="18"/>
        <v/>
      </c>
      <c r="N238" s="4"/>
      <c r="O238" s="213" t="str">
        <f t="shared" si="19"/>
        <v>N/A</v>
      </c>
      <c r="P238" s="3" t="str">
        <f t="shared" si="20"/>
        <v>NO CUMPLE</v>
      </c>
      <c r="Q238" s="818"/>
      <c r="R238" s="820"/>
      <c r="AN238" s="781"/>
      <c r="AO238" s="781"/>
    </row>
    <row r="239" spans="1:41" ht="2" customHeight="1">
      <c r="A239" s="815"/>
      <c r="B239" s="781"/>
      <c r="C239" s="3" t="s">
        <v>460</v>
      </c>
      <c r="D239" s="225"/>
      <c r="E239" s="7"/>
      <c r="F239" s="3"/>
      <c r="G239" s="3"/>
      <c r="H239" s="3"/>
      <c r="I239" s="3"/>
      <c r="J239" s="781"/>
      <c r="K239" s="21" t="str">
        <f>IFERROR(IF(D239="","",SUMIF('EXPERIENCIA '!$D$3:$D$672,D239,'EXPERIENCIA '!$AF$3:$AF$672)),"")</f>
        <v/>
      </c>
      <c r="L239" s="3" t="str">
        <f>IF(K239="","",IF(K239=0,0,IF(K239&gt;=PARÁMETROS!$O$5,"CUMPLE","NO CUMPLE")))</f>
        <v/>
      </c>
      <c r="M239" s="226" t="str">
        <f t="shared" si="18"/>
        <v/>
      </c>
      <c r="N239" s="4"/>
      <c r="O239" s="213" t="str">
        <f t="shared" si="19"/>
        <v>N/A</v>
      </c>
      <c r="P239" s="3" t="str">
        <f t="shared" si="20"/>
        <v>NO CUMPLE</v>
      </c>
      <c r="Q239" s="818"/>
      <c r="R239" s="820"/>
      <c r="AN239" s="781"/>
      <c r="AO239" s="781"/>
    </row>
    <row r="240" spans="1:41" ht="2" customHeight="1">
      <c r="A240" s="815"/>
      <c r="B240" s="781"/>
      <c r="C240" s="3" t="s">
        <v>461</v>
      </c>
      <c r="D240" s="225"/>
      <c r="E240" s="7"/>
      <c r="F240" s="3"/>
      <c r="G240" s="3"/>
      <c r="H240" s="3"/>
      <c r="I240" s="3"/>
      <c r="J240" s="781"/>
      <c r="K240" s="21" t="str">
        <f>IFERROR(IF(D240="","",SUMIF('EXPERIENCIA '!$D$3:$D$672,D240,'EXPERIENCIA '!$AF$3:$AF$672)),"")</f>
        <v/>
      </c>
      <c r="L240" s="3" t="str">
        <f>IF(K240="","",IF(K240=0,0,IF(K240&gt;=PARÁMETROS!$O$5,"CUMPLE","NO CUMPLE")))</f>
        <v/>
      </c>
      <c r="M240" s="226" t="str">
        <f t="shared" si="18"/>
        <v/>
      </c>
      <c r="N240" s="4"/>
      <c r="O240" s="213" t="str">
        <f t="shared" si="19"/>
        <v>N/A</v>
      </c>
      <c r="P240" s="3" t="str">
        <f t="shared" si="20"/>
        <v>NO CUMPLE</v>
      </c>
      <c r="Q240" s="818"/>
      <c r="R240" s="820"/>
      <c r="AN240" s="781"/>
      <c r="AO240" s="781"/>
    </row>
    <row r="241" spans="1:41" ht="2" customHeight="1">
      <c r="A241" s="815"/>
      <c r="B241" s="781"/>
      <c r="C241" s="3" t="s">
        <v>462</v>
      </c>
      <c r="D241" s="225"/>
      <c r="E241" s="7"/>
      <c r="F241" s="3"/>
      <c r="G241" s="3"/>
      <c r="H241" s="3"/>
      <c r="I241" s="3"/>
      <c r="J241" s="781"/>
      <c r="K241" s="21" t="str">
        <f>IFERROR(IF(D241="","",SUMIF('EXPERIENCIA '!$D$3:$D$672,D241,'EXPERIENCIA '!$AF$3:$AF$672)),"")</f>
        <v/>
      </c>
      <c r="L241" s="3" t="str">
        <f>IF(K241="","",IF(K241=0,0,IF(K241&gt;=PARÁMETROS!$O$5,"CUMPLE","NO CUMPLE")))</f>
        <v/>
      </c>
      <c r="M241" s="226" t="str">
        <f t="shared" si="18"/>
        <v/>
      </c>
      <c r="N241" s="4"/>
      <c r="O241" s="213" t="str">
        <f t="shared" si="19"/>
        <v>N/A</v>
      </c>
      <c r="P241" s="3" t="str">
        <f t="shared" si="20"/>
        <v>NO CUMPLE</v>
      </c>
      <c r="Q241" s="818"/>
      <c r="R241" s="820"/>
      <c r="AN241" s="781"/>
      <c r="AO241" s="781"/>
    </row>
    <row r="242" spans="1:41" ht="2" customHeight="1" thickBot="1">
      <c r="A242" s="816"/>
      <c r="B242" s="817"/>
      <c r="C242" s="5" t="s">
        <v>463</v>
      </c>
      <c r="D242" s="227"/>
      <c r="E242" s="8"/>
      <c r="F242" s="5"/>
      <c r="G242" s="5"/>
      <c r="H242" s="5"/>
      <c r="I242" s="5"/>
      <c r="J242" s="817"/>
      <c r="K242" s="22" t="str">
        <f>IFERROR(IF(D242="","",SUMIF('EXPERIENCIA '!$D$3:$D$672,D242,'EXPERIENCIA '!$AF$3:$AF$672)),"")</f>
        <v/>
      </c>
      <c r="L242" s="5" t="str">
        <f>IF(K242="","",IF(K242=0,0,IF(K242&gt;=PARÁMETROS!$O$5,"CUMPLE","NO CUMPLE")))</f>
        <v/>
      </c>
      <c r="M242" s="44" t="str">
        <f t="shared" si="18"/>
        <v/>
      </c>
      <c r="N242" s="4"/>
      <c r="O242" s="40" t="str">
        <f t="shared" si="19"/>
        <v>N/A</v>
      </c>
      <c r="P242" s="5" t="str">
        <f t="shared" si="20"/>
        <v>NO CUMPLE</v>
      </c>
      <c r="Q242" s="819"/>
      <c r="R242" s="821"/>
      <c r="AN242" s="575"/>
      <c r="AO242" s="575"/>
    </row>
    <row r="243" spans="1:41" ht="23.5" customHeight="1">
      <c r="A243" s="814" t="s">
        <v>302</v>
      </c>
      <c r="B243" s="606" t="s">
        <v>721</v>
      </c>
      <c r="C243" s="180" t="s">
        <v>464</v>
      </c>
      <c r="D243" s="220" t="s">
        <v>722</v>
      </c>
      <c r="E243" s="221">
        <v>0.34</v>
      </c>
      <c r="F243" s="180"/>
      <c r="G243" s="180" t="s">
        <v>744</v>
      </c>
      <c r="H243" s="180" t="s">
        <v>744</v>
      </c>
      <c r="I243" s="180" t="s">
        <v>744</v>
      </c>
      <c r="J243" s="606">
        <f>SUM(AN243:AO248)</f>
        <v>2</v>
      </c>
      <c r="K243" s="222">
        <f>IFERROR(IF(D243="","",SUMIF('EXPERIENCIA '!$D$3:$D$672,D243,'EXPERIENCIA '!$AF$3:$AF$672)),"")</f>
        <v>20939.142</v>
      </c>
      <c r="L243" s="180" t="str">
        <f>IF(K243="","",IF(K243=0,0,IF(K243&gt;=PARÁMETROS!$O$5,"CUMPLE","NO CUMPLE")))</f>
        <v>CUMPLE</v>
      </c>
      <c r="M243" s="223" t="str">
        <f t="shared" si="18"/>
        <v>CUMPLE</v>
      </c>
      <c r="N243" s="4"/>
      <c r="O243" s="224" t="str">
        <f t="shared" si="19"/>
        <v>CUMPLE</v>
      </c>
      <c r="P243" s="179" t="str">
        <f t="shared" si="20"/>
        <v>CUMPLE</v>
      </c>
      <c r="Q243" s="810">
        <v>1</v>
      </c>
      <c r="R243" s="812"/>
      <c r="AN243" s="574">
        <f>IF(COUNTIF(H243:H248,"ACREDITA")&gt;0,1,0)</f>
        <v>1</v>
      </c>
      <c r="AO243" s="574">
        <f>IF(COUNTIF(I243:I248,"ACREDITA")&gt;0,1,0)</f>
        <v>1</v>
      </c>
    </row>
    <row r="244" spans="1:41" ht="23.5" customHeight="1">
      <c r="A244" s="815"/>
      <c r="B244" s="781"/>
      <c r="C244" s="3" t="s">
        <v>465</v>
      </c>
      <c r="D244" s="225" t="s">
        <v>723</v>
      </c>
      <c r="E244" s="7">
        <v>0.33</v>
      </c>
      <c r="F244" s="3"/>
      <c r="G244" s="3"/>
      <c r="H244" s="3"/>
      <c r="I244" s="3"/>
      <c r="J244" s="781"/>
      <c r="K244" s="21">
        <f>IFERROR(IF(D244="","",SUMIF('EXPERIENCIA '!$D$3:$D$672,D244,'EXPERIENCIA '!$AF$3:$AF$672)),"")</f>
        <v>59391.567999999999</v>
      </c>
      <c r="L244" s="3" t="str">
        <f>IF(K244="","",IF(K244=0,0,IF(K244&gt;=PARÁMETROS!$O$5,"CUMPLE","NO CUMPLE")))</f>
        <v>CUMPLE</v>
      </c>
      <c r="M244" s="226" t="str">
        <f t="shared" si="18"/>
        <v/>
      </c>
      <c r="N244" s="4"/>
      <c r="O244" s="213" t="str">
        <f t="shared" si="19"/>
        <v>N/A</v>
      </c>
      <c r="P244" s="3" t="str">
        <f t="shared" si="20"/>
        <v>NO CUMPLE</v>
      </c>
      <c r="Q244" s="810"/>
      <c r="R244" s="812"/>
      <c r="AN244" s="781"/>
      <c r="AO244" s="781"/>
    </row>
    <row r="245" spans="1:41" ht="23.5" customHeight="1">
      <c r="A245" s="815"/>
      <c r="B245" s="781"/>
      <c r="C245" s="3" t="s">
        <v>466</v>
      </c>
      <c r="D245" s="225" t="s">
        <v>724</v>
      </c>
      <c r="E245" s="7">
        <v>0.33</v>
      </c>
      <c r="F245" s="3"/>
      <c r="G245" s="3" t="s">
        <v>744</v>
      </c>
      <c r="H245" s="3" t="s">
        <v>744</v>
      </c>
      <c r="I245" s="3" t="s">
        <v>744</v>
      </c>
      <c r="J245" s="781"/>
      <c r="K245" s="21">
        <f>IFERROR(IF(D245="","",SUMIF('EXPERIENCIA '!$D$3:$D$672,D245,'EXPERIENCIA '!$AF$3:$AF$672)),"")</f>
        <v>10944.294</v>
      </c>
      <c r="L245" s="3" t="str">
        <f>IF(K245="","",IF(K245=0,0,IF(K245&gt;=PARÁMETROS!$O$5,"CUMPLE","NO CUMPLE")))</f>
        <v>CUMPLE</v>
      </c>
      <c r="M245" s="226" t="str">
        <f t="shared" si="18"/>
        <v>CUMPLE</v>
      </c>
      <c r="N245" s="4"/>
      <c r="O245" s="213" t="str">
        <f t="shared" si="19"/>
        <v>NO CUMPLE</v>
      </c>
      <c r="P245" s="3" t="str">
        <f t="shared" si="20"/>
        <v>NO CUMPLE</v>
      </c>
      <c r="Q245" s="810"/>
      <c r="R245" s="812"/>
      <c r="AN245" s="781"/>
      <c r="AO245" s="781"/>
    </row>
    <row r="246" spans="1:41" ht="2" customHeight="1">
      <c r="A246" s="815"/>
      <c r="B246" s="781"/>
      <c r="C246" s="3" t="s">
        <v>467</v>
      </c>
      <c r="D246" s="225"/>
      <c r="E246" s="7"/>
      <c r="F246" s="3"/>
      <c r="G246" s="3"/>
      <c r="H246" s="3"/>
      <c r="I246" s="3"/>
      <c r="J246" s="781"/>
      <c r="K246" s="21" t="str">
        <f>IFERROR(IF(D246="","",SUMIF('EXPERIENCIA '!$D$3:$D$672,D246,'EXPERIENCIA '!$AF$3:$AF$672)),"")</f>
        <v/>
      </c>
      <c r="L246" s="3" t="str">
        <f>IF(K246="","",IF(K246=0,0,IF(K246&gt;=PARÁMETROS!$O$5,"CUMPLE","NO CUMPLE")))</f>
        <v/>
      </c>
      <c r="M246" s="226" t="str">
        <f t="shared" si="18"/>
        <v/>
      </c>
      <c r="N246" s="4"/>
      <c r="O246" s="213" t="str">
        <f t="shared" si="19"/>
        <v>N/A</v>
      </c>
      <c r="P246" s="3" t="str">
        <f t="shared" si="20"/>
        <v>NO CUMPLE</v>
      </c>
      <c r="Q246" s="810"/>
      <c r="R246" s="812"/>
      <c r="AN246" s="781"/>
      <c r="AO246" s="781"/>
    </row>
    <row r="247" spans="1:41" ht="2" customHeight="1">
      <c r="A247" s="815"/>
      <c r="B247" s="781"/>
      <c r="C247" s="3" t="s">
        <v>468</v>
      </c>
      <c r="D247" s="225"/>
      <c r="E247" s="7"/>
      <c r="F247" s="3"/>
      <c r="G247" s="3"/>
      <c r="H247" s="3"/>
      <c r="I247" s="3"/>
      <c r="J247" s="781"/>
      <c r="K247" s="21" t="str">
        <f>IFERROR(IF(D247="","",SUMIF('EXPERIENCIA '!$D$3:$D$672,D247,'EXPERIENCIA '!$AF$3:$AF$672)),"")</f>
        <v/>
      </c>
      <c r="L247" s="3" t="str">
        <f>IF(K247="","",IF(K247=0,0,IF(K247&gt;=PARÁMETROS!$O$5,"CUMPLE","NO CUMPLE")))</f>
        <v/>
      </c>
      <c r="M247" s="226" t="str">
        <f t="shared" si="18"/>
        <v/>
      </c>
      <c r="N247" s="4"/>
      <c r="O247" s="213" t="str">
        <f t="shared" si="19"/>
        <v>N/A</v>
      </c>
      <c r="P247" s="3" t="str">
        <f t="shared" si="20"/>
        <v>NO CUMPLE</v>
      </c>
      <c r="Q247" s="810"/>
      <c r="R247" s="812"/>
      <c r="AN247" s="781"/>
      <c r="AO247" s="781"/>
    </row>
    <row r="248" spans="1:41" ht="2" customHeight="1" thickBot="1">
      <c r="A248" s="816"/>
      <c r="B248" s="817"/>
      <c r="C248" s="5" t="s">
        <v>469</v>
      </c>
      <c r="D248" s="227"/>
      <c r="E248" s="8"/>
      <c r="F248" s="5"/>
      <c r="G248" s="5"/>
      <c r="H248" s="5"/>
      <c r="I248" s="5"/>
      <c r="J248" s="817"/>
      <c r="K248" s="22" t="str">
        <f>IFERROR(IF(D248="","",SUMIF('EXPERIENCIA '!$D$3:$D$672,D248,'EXPERIENCIA '!$AF$3:$AF$672)),"")</f>
        <v/>
      </c>
      <c r="L248" s="5" t="str">
        <f>IF(K248="","",IF(K248=0,0,IF(K248&gt;=PARÁMETROS!$O$5,"CUMPLE","NO CUMPLE")))</f>
        <v/>
      </c>
      <c r="M248" s="44" t="str">
        <f t="shared" si="18"/>
        <v/>
      </c>
      <c r="N248" s="4"/>
      <c r="O248" s="40" t="str">
        <f t="shared" si="19"/>
        <v>N/A</v>
      </c>
      <c r="P248" s="5" t="str">
        <f t="shared" si="20"/>
        <v>NO CUMPLE</v>
      </c>
      <c r="Q248" s="811"/>
      <c r="R248" s="813"/>
      <c r="AN248" s="575"/>
      <c r="AO248" s="575"/>
    </row>
    <row r="249" spans="1:41" ht="23.5" hidden="1" customHeight="1">
      <c r="A249" s="814" t="s">
        <v>303</v>
      </c>
      <c r="B249" s="606"/>
      <c r="C249" s="180" t="s">
        <v>470</v>
      </c>
      <c r="D249" s="220"/>
      <c r="E249" s="221"/>
      <c r="F249" s="180"/>
      <c r="G249" s="180"/>
      <c r="H249" s="180"/>
      <c r="I249" s="180"/>
      <c r="J249" s="606">
        <f>SUM(AN249:AO254)</f>
        <v>0</v>
      </c>
      <c r="K249" s="222" t="str">
        <f>IFERROR(IF(D249="","",SUMIF('EXPERIENCIA '!$D$3:$D$672,D249,'EXPERIENCIA '!$AF$3:$AF$672)),"")</f>
        <v/>
      </c>
      <c r="L249" s="180" t="str">
        <f>IF(K249="","",IF(K249=0,0,IF(K249&gt;=PARÁMETROS!$O$5,"CUMPLE","NO CUMPLE")))</f>
        <v/>
      </c>
      <c r="M249" s="223" t="str">
        <f t="shared" si="18"/>
        <v/>
      </c>
      <c r="N249" s="4"/>
      <c r="O249" s="224" t="str">
        <f t="shared" si="19"/>
        <v>N/A</v>
      </c>
      <c r="P249" s="179" t="str">
        <f t="shared" si="20"/>
        <v>NO CUMPLE</v>
      </c>
      <c r="Q249" s="810"/>
      <c r="R249" s="810"/>
      <c r="AN249" s="574">
        <f>IF(COUNTIF(H249:H254,"ACREDITA")&gt;0,1,0)</f>
        <v>0</v>
      </c>
      <c r="AO249" s="574">
        <f>IF(COUNTIF(I249:I254,"ACREDITA")&gt;0,1,0)</f>
        <v>0</v>
      </c>
    </row>
    <row r="250" spans="1:41" ht="23.5" hidden="1" customHeight="1">
      <c r="A250" s="815"/>
      <c r="B250" s="781"/>
      <c r="C250" s="3" t="s">
        <v>471</v>
      </c>
      <c r="D250" s="225"/>
      <c r="E250" s="7"/>
      <c r="F250" s="3"/>
      <c r="G250" s="3"/>
      <c r="H250" s="3"/>
      <c r="I250" s="3"/>
      <c r="J250" s="781"/>
      <c r="K250" s="21" t="str">
        <f>IFERROR(IF(D250="","",SUMIF('EXPERIENCIA '!$D$3:$D$672,D250,'EXPERIENCIA '!$AF$3:$AF$672)),"")</f>
        <v/>
      </c>
      <c r="L250" s="3" t="str">
        <f>IF(K250="","",IF(K250=0,0,IF(K250&gt;=PARÁMETROS!$O$5,"CUMPLE","NO CUMPLE")))</f>
        <v/>
      </c>
      <c r="M250" s="226" t="str">
        <f t="shared" si="18"/>
        <v/>
      </c>
      <c r="N250" s="4"/>
      <c r="O250" s="213" t="str">
        <f t="shared" si="19"/>
        <v>N/A</v>
      </c>
      <c r="P250" s="3" t="str">
        <f t="shared" si="20"/>
        <v>NO CUMPLE</v>
      </c>
      <c r="Q250" s="810"/>
      <c r="R250" s="810"/>
      <c r="AN250" s="781"/>
      <c r="AO250" s="781"/>
    </row>
    <row r="251" spans="1:41" ht="23.5" hidden="1" customHeight="1">
      <c r="A251" s="815"/>
      <c r="B251" s="781"/>
      <c r="C251" s="3" t="s">
        <v>472</v>
      </c>
      <c r="D251" s="225"/>
      <c r="E251" s="7"/>
      <c r="F251" s="3"/>
      <c r="G251" s="3"/>
      <c r="H251" s="3"/>
      <c r="I251" s="3"/>
      <c r="J251" s="781"/>
      <c r="K251" s="21" t="str">
        <f>IFERROR(IF(D251="","",SUMIF('EXPERIENCIA '!$D$3:$D$672,D251,'EXPERIENCIA '!$AF$3:$AF$672)),"")</f>
        <v/>
      </c>
      <c r="L251" s="3" t="str">
        <f>IF(K251="","",IF(K251=0,0,IF(K251&gt;=PARÁMETROS!$O$5,"CUMPLE","NO CUMPLE")))</f>
        <v/>
      </c>
      <c r="M251" s="226" t="str">
        <f t="shared" si="18"/>
        <v/>
      </c>
      <c r="N251" s="4"/>
      <c r="O251" s="213" t="str">
        <f t="shared" si="19"/>
        <v>N/A</v>
      </c>
      <c r="P251" s="3" t="str">
        <f t="shared" si="20"/>
        <v>NO CUMPLE</v>
      </c>
      <c r="Q251" s="810"/>
      <c r="R251" s="810"/>
      <c r="AN251" s="781"/>
      <c r="AO251" s="781"/>
    </row>
    <row r="252" spans="1:41" ht="23.5" hidden="1" customHeight="1">
      <c r="A252" s="815"/>
      <c r="B252" s="781"/>
      <c r="C252" s="3" t="s">
        <v>473</v>
      </c>
      <c r="D252" s="225"/>
      <c r="E252" s="7"/>
      <c r="F252" s="3"/>
      <c r="G252" s="3"/>
      <c r="H252" s="3"/>
      <c r="I252" s="3"/>
      <c r="J252" s="781"/>
      <c r="K252" s="21" t="str">
        <f>IFERROR(IF(D252="","",SUMIF('EXPERIENCIA '!$D$3:$D$672,D252,'EXPERIENCIA '!$AF$3:$AF$672)),"")</f>
        <v/>
      </c>
      <c r="L252" s="3" t="str">
        <f>IF(K252="","",IF(K252=0,0,IF(K252&gt;=PARÁMETROS!$O$5,"CUMPLE","NO CUMPLE")))</f>
        <v/>
      </c>
      <c r="M252" s="226" t="str">
        <f t="shared" si="18"/>
        <v/>
      </c>
      <c r="N252" s="4"/>
      <c r="O252" s="213" t="str">
        <f t="shared" si="19"/>
        <v>N/A</v>
      </c>
      <c r="P252" s="3" t="str">
        <f t="shared" si="20"/>
        <v>NO CUMPLE</v>
      </c>
      <c r="Q252" s="810"/>
      <c r="R252" s="810"/>
      <c r="AN252" s="781"/>
      <c r="AO252" s="781"/>
    </row>
    <row r="253" spans="1:41" ht="23.5" hidden="1" customHeight="1">
      <c r="A253" s="815"/>
      <c r="B253" s="781"/>
      <c r="C253" s="3" t="s">
        <v>474</v>
      </c>
      <c r="D253" s="225"/>
      <c r="E253" s="7"/>
      <c r="F253" s="3"/>
      <c r="G253" s="3"/>
      <c r="H253" s="3"/>
      <c r="I253" s="3"/>
      <c r="J253" s="781"/>
      <c r="K253" s="21" t="str">
        <f>IFERROR(IF(D253="","",SUMIF('EXPERIENCIA '!$D$3:$D$672,D253,'EXPERIENCIA '!$AF$3:$AF$672)),"")</f>
        <v/>
      </c>
      <c r="L253" s="3" t="str">
        <f>IF(K253="","",IF(K253=0,0,IF(K253&gt;=PARÁMETROS!$O$5,"CUMPLE","NO CUMPLE")))</f>
        <v/>
      </c>
      <c r="M253" s="226" t="str">
        <f t="shared" si="18"/>
        <v/>
      </c>
      <c r="N253" s="4"/>
      <c r="O253" s="213" t="str">
        <f t="shared" si="19"/>
        <v>N/A</v>
      </c>
      <c r="P253" s="3" t="str">
        <f t="shared" si="20"/>
        <v>NO CUMPLE</v>
      </c>
      <c r="Q253" s="810"/>
      <c r="R253" s="810"/>
      <c r="AN253" s="781"/>
      <c r="AO253" s="781"/>
    </row>
    <row r="254" spans="1:41" ht="23.5" hidden="1" customHeight="1" thickBot="1">
      <c r="A254" s="816"/>
      <c r="B254" s="817"/>
      <c r="C254" s="5" t="s">
        <v>475</v>
      </c>
      <c r="D254" s="227"/>
      <c r="E254" s="8"/>
      <c r="F254" s="5"/>
      <c r="G254" s="5"/>
      <c r="H254" s="5"/>
      <c r="I254" s="5"/>
      <c r="J254" s="817"/>
      <c r="K254" s="22" t="str">
        <f>IFERROR(IF(D254="","",SUMIF('EXPERIENCIA '!$D$3:$D$672,D254,'EXPERIENCIA '!$AF$3:$AF$672)),"")</f>
        <v/>
      </c>
      <c r="L254" s="5" t="str">
        <f>IF(K254="","",IF(K254=0,0,IF(K254&gt;=PARÁMETROS!$O$5,"CUMPLE","NO CUMPLE")))</f>
        <v/>
      </c>
      <c r="M254" s="44" t="str">
        <f t="shared" si="18"/>
        <v/>
      </c>
      <c r="N254" s="4"/>
      <c r="O254" s="40" t="str">
        <f t="shared" si="19"/>
        <v>N/A</v>
      </c>
      <c r="P254" s="5" t="str">
        <f t="shared" si="20"/>
        <v>NO CUMPLE</v>
      </c>
      <c r="Q254" s="811"/>
      <c r="R254" s="811"/>
      <c r="AN254" s="575"/>
      <c r="AO254" s="575"/>
    </row>
    <row r="255" spans="1:41" ht="23.5" hidden="1" customHeight="1">
      <c r="A255" s="814" t="s">
        <v>304</v>
      </c>
      <c r="B255" s="606"/>
      <c r="C255" s="180" t="s">
        <v>476</v>
      </c>
      <c r="D255" s="220"/>
      <c r="E255" s="221"/>
      <c r="F255" s="180"/>
      <c r="G255" s="180"/>
      <c r="H255" s="180"/>
      <c r="I255" s="180"/>
      <c r="J255" s="606">
        <f>SUM(AN255:AO260)</f>
        <v>0</v>
      </c>
      <c r="K255" s="222" t="str">
        <f>IFERROR(IF(D255="","",SUMIF('EXPERIENCIA '!$D$3:$D$672,D255,'EXPERIENCIA '!$AF$3:$AF$672)),"")</f>
        <v/>
      </c>
      <c r="L255" s="180" t="str">
        <f>IF(K255="","",IF(K255=0,0,IF(K255&gt;=PARÁMETROS!$O$5,"CUMPLE","NO CUMPLE")))</f>
        <v/>
      </c>
      <c r="M255" s="223" t="str">
        <f t="shared" si="18"/>
        <v/>
      </c>
      <c r="N255" s="4"/>
      <c r="O255" s="224" t="str">
        <f t="shared" si="19"/>
        <v>N/A</v>
      </c>
      <c r="P255" s="179" t="str">
        <f t="shared" si="20"/>
        <v>NO CUMPLE</v>
      </c>
      <c r="Q255" s="810"/>
      <c r="R255" s="810"/>
      <c r="AN255" s="574">
        <f>IF(COUNTIF(H255:H260,"ACREDITA")&gt;0,1,0)</f>
        <v>0</v>
      </c>
      <c r="AO255" s="574">
        <f>IF(COUNTIF(I255:I260,"ACREDITA")&gt;0,1,0)</f>
        <v>0</v>
      </c>
    </row>
    <row r="256" spans="1:41" ht="23.5" hidden="1" customHeight="1">
      <c r="A256" s="815"/>
      <c r="B256" s="781"/>
      <c r="C256" s="3" t="s">
        <v>477</v>
      </c>
      <c r="D256" s="225"/>
      <c r="E256" s="7"/>
      <c r="F256" s="3"/>
      <c r="G256" s="3"/>
      <c r="H256" s="3"/>
      <c r="I256" s="3"/>
      <c r="J256" s="781"/>
      <c r="K256" s="21" t="str">
        <f>IFERROR(IF(D256="","",SUMIF('EXPERIENCIA '!$D$3:$D$672,D256,'EXPERIENCIA '!$AF$3:$AF$672)),"")</f>
        <v/>
      </c>
      <c r="L256" s="3" t="str">
        <f>IF(K256="","",IF(K256=0,0,IF(K256&gt;=PARÁMETROS!$O$5,"CUMPLE","NO CUMPLE")))</f>
        <v/>
      </c>
      <c r="M256" s="226" t="str">
        <f t="shared" si="18"/>
        <v/>
      </c>
      <c r="N256" s="4"/>
      <c r="O256" s="213" t="str">
        <f t="shared" si="19"/>
        <v>N/A</v>
      </c>
      <c r="P256" s="3" t="str">
        <f t="shared" si="20"/>
        <v>NO CUMPLE</v>
      </c>
      <c r="Q256" s="810"/>
      <c r="R256" s="810"/>
      <c r="AN256" s="781"/>
      <c r="AO256" s="781"/>
    </row>
    <row r="257" spans="1:41" ht="23.5" hidden="1" customHeight="1">
      <c r="A257" s="815"/>
      <c r="B257" s="781"/>
      <c r="C257" s="3" t="s">
        <v>478</v>
      </c>
      <c r="D257" s="225"/>
      <c r="E257" s="7"/>
      <c r="F257" s="3"/>
      <c r="G257" s="3"/>
      <c r="H257" s="3"/>
      <c r="I257" s="3"/>
      <c r="J257" s="781"/>
      <c r="K257" s="21" t="str">
        <f>IFERROR(IF(D257="","",SUMIF('EXPERIENCIA '!$D$3:$D$672,D257,'EXPERIENCIA '!$AF$3:$AF$672)),"")</f>
        <v/>
      </c>
      <c r="L257" s="3" t="str">
        <f>IF(K257="","",IF(K257=0,0,IF(K257&gt;=PARÁMETROS!$O$5,"CUMPLE","NO CUMPLE")))</f>
        <v/>
      </c>
      <c r="M257" s="226" t="str">
        <f t="shared" si="18"/>
        <v/>
      </c>
      <c r="N257" s="4"/>
      <c r="O257" s="213" t="str">
        <f t="shared" si="19"/>
        <v>N/A</v>
      </c>
      <c r="P257" s="3" t="str">
        <f t="shared" si="20"/>
        <v>NO CUMPLE</v>
      </c>
      <c r="Q257" s="810"/>
      <c r="R257" s="810"/>
      <c r="AN257" s="781"/>
      <c r="AO257" s="781"/>
    </row>
    <row r="258" spans="1:41" ht="23.5" hidden="1" customHeight="1">
      <c r="A258" s="815"/>
      <c r="B258" s="781"/>
      <c r="C258" s="3" t="s">
        <v>479</v>
      </c>
      <c r="D258" s="225"/>
      <c r="E258" s="7"/>
      <c r="F258" s="3"/>
      <c r="G258" s="3"/>
      <c r="H258" s="3"/>
      <c r="I258" s="3"/>
      <c r="J258" s="781"/>
      <c r="K258" s="21" t="str">
        <f>IFERROR(IF(D258="","",SUMIF('EXPERIENCIA '!$D$3:$D$672,D258,'EXPERIENCIA '!$AF$3:$AF$672)),"")</f>
        <v/>
      </c>
      <c r="L258" s="3" t="str">
        <f>IF(K258="","",IF(K258=0,0,IF(K258&gt;=PARÁMETROS!$O$5,"CUMPLE","NO CUMPLE")))</f>
        <v/>
      </c>
      <c r="M258" s="226" t="str">
        <f t="shared" si="18"/>
        <v/>
      </c>
      <c r="N258" s="4"/>
      <c r="O258" s="213" t="str">
        <f t="shared" si="19"/>
        <v>N/A</v>
      </c>
      <c r="P258" s="3" t="str">
        <f t="shared" si="20"/>
        <v>NO CUMPLE</v>
      </c>
      <c r="Q258" s="810"/>
      <c r="R258" s="810"/>
      <c r="AN258" s="781"/>
      <c r="AO258" s="781"/>
    </row>
    <row r="259" spans="1:41" ht="23.5" hidden="1" customHeight="1">
      <c r="A259" s="815"/>
      <c r="B259" s="781"/>
      <c r="C259" s="3" t="s">
        <v>480</v>
      </c>
      <c r="D259" s="225"/>
      <c r="E259" s="7"/>
      <c r="F259" s="3"/>
      <c r="G259" s="3"/>
      <c r="H259" s="3"/>
      <c r="I259" s="3"/>
      <c r="J259" s="781"/>
      <c r="K259" s="21" t="str">
        <f>IFERROR(IF(D259="","",SUMIF('EXPERIENCIA '!$D$3:$D$672,D259,'EXPERIENCIA '!$AF$3:$AF$672)),"")</f>
        <v/>
      </c>
      <c r="L259" s="3" t="str">
        <f>IF(K259="","",IF(K259=0,0,IF(K259&gt;=PARÁMETROS!$O$5,"CUMPLE","NO CUMPLE")))</f>
        <v/>
      </c>
      <c r="M259" s="226" t="str">
        <f t="shared" si="18"/>
        <v/>
      </c>
      <c r="N259" s="4"/>
      <c r="O259" s="213" t="str">
        <f t="shared" si="19"/>
        <v>N/A</v>
      </c>
      <c r="P259" s="3" t="str">
        <f t="shared" si="20"/>
        <v>NO CUMPLE</v>
      </c>
      <c r="Q259" s="810"/>
      <c r="R259" s="810"/>
      <c r="AN259" s="781"/>
      <c r="AO259" s="781"/>
    </row>
    <row r="260" spans="1:41" ht="23.5" hidden="1" customHeight="1" thickBot="1">
      <c r="A260" s="816"/>
      <c r="B260" s="817"/>
      <c r="C260" s="5" t="s">
        <v>481</v>
      </c>
      <c r="D260" s="227"/>
      <c r="E260" s="8"/>
      <c r="F260" s="5"/>
      <c r="G260" s="5"/>
      <c r="H260" s="5"/>
      <c r="I260" s="5"/>
      <c r="J260" s="817"/>
      <c r="K260" s="22" t="str">
        <f>IFERROR(IF(D260="","",SUMIF('EXPERIENCIA '!$D$3:$D$672,D260,'EXPERIENCIA '!$AF$3:$AF$672)),"")</f>
        <v/>
      </c>
      <c r="L260" s="5" t="str">
        <f>IF(K260="","",IF(K260=0,0,IF(K260&gt;=PARÁMETROS!$O$5,"CUMPLE","NO CUMPLE")))</f>
        <v/>
      </c>
      <c r="M260" s="44" t="str">
        <f t="shared" si="18"/>
        <v/>
      </c>
      <c r="N260" s="4"/>
      <c r="O260" s="40" t="str">
        <f t="shared" si="19"/>
        <v>N/A</v>
      </c>
      <c r="P260" s="5" t="str">
        <f t="shared" si="20"/>
        <v>NO CUMPLE</v>
      </c>
      <c r="Q260" s="811"/>
      <c r="R260" s="811"/>
      <c r="AN260" s="575"/>
      <c r="AO260" s="575"/>
    </row>
    <row r="261" spans="1:41" ht="23.5" hidden="1" customHeight="1">
      <c r="A261" s="814" t="s">
        <v>305</v>
      </c>
      <c r="B261" s="606"/>
      <c r="C261" s="180" t="s">
        <v>482</v>
      </c>
      <c r="D261" s="220"/>
      <c r="E261" s="221"/>
      <c r="F261" s="180"/>
      <c r="G261" s="180"/>
      <c r="H261" s="180"/>
      <c r="I261" s="180"/>
      <c r="J261" s="606">
        <f>SUM(AN261:AO266)</f>
        <v>0</v>
      </c>
      <c r="K261" s="222" t="str">
        <f>IFERROR(IF(D261="","",SUMIF('EXPERIENCIA '!$D$3:$D$672,D261,'EXPERIENCIA '!$AF$3:$AF$672)),"")</f>
        <v/>
      </c>
      <c r="L261" s="180" t="str">
        <f>IF(K261="","",IF(K261=0,0,IF(K261&gt;=PARÁMETROS!$O$5,"CUMPLE","NO CUMPLE")))</f>
        <v/>
      </c>
      <c r="M261" s="223" t="str">
        <f t="shared" si="18"/>
        <v/>
      </c>
      <c r="N261" s="4"/>
      <c r="O261" s="224" t="str">
        <f t="shared" si="19"/>
        <v>N/A</v>
      </c>
      <c r="P261" s="179" t="str">
        <f t="shared" si="20"/>
        <v>NO CUMPLE</v>
      </c>
      <c r="Q261" s="810"/>
      <c r="R261" s="812"/>
      <c r="AN261" s="574">
        <f>IF(COUNTIF(H261:H266,"ACREDITA")&gt;0,1,0)</f>
        <v>0</v>
      </c>
      <c r="AO261" s="574">
        <f>IF(COUNTIF(I261:I266,"ACREDITA")&gt;0,1,0)</f>
        <v>0</v>
      </c>
    </row>
    <row r="262" spans="1:41" ht="23.5" hidden="1" customHeight="1">
      <c r="A262" s="815"/>
      <c r="B262" s="781"/>
      <c r="C262" s="3" t="s">
        <v>483</v>
      </c>
      <c r="D262" s="225"/>
      <c r="E262" s="7"/>
      <c r="F262" s="3"/>
      <c r="G262" s="3"/>
      <c r="H262" s="3"/>
      <c r="I262" s="3"/>
      <c r="J262" s="781"/>
      <c r="K262" s="21" t="str">
        <f>IFERROR(IF(D262="","",SUMIF('EXPERIENCIA '!$D$3:$D$672,D262,'EXPERIENCIA '!$AF$3:$AF$672)),"")</f>
        <v/>
      </c>
      <c r="L262" s="3" t="str">
        <f>IF(K262="","",IF(K262=0,0,IF(K262&gt;=PARÁMETROS!$O$5,"CUMPLE","NO CUMPLE")))</f>
        <v/>
      </c>
      <c r="M262" s="226" t="str">
        <f t="shared" si="18"/>
        <v/>
      </c>
      <c r="N262" s="4"/>
      <c r="O262" s="213" t="str">
        <f t="shared" si="19"/>
        <v>N/A</v>
      </c>
      <c r="P262" s="3" t="str">
        <f t="shared" si="20"/>
        <v>NO CUMPLE</v>
      </c>
      <c r="Q262" s="810"/>
      <c r="R262" s="812"/>
      <c r="AN262" s="781"/>
      <c r="AO262" s="781"/>
    </row>
    <row r="263" spans="1:41" ht="2" hidden="1" customHeight="1">
      <c r="A263" s="815"/>
      <c r="B263" s="781"/>
      <c r="C263" s="3" t="s">
        <v>484</v>
      </c>
      <c r="D263" s="225"/>
      <c r="E263" s="7"/>
      <c r="F263" s="3"/>
      <c r="G263" s="3"/>
      <c r="H263" s="3"/>
      <c r="I263" s="3"/>
      <c r="J263" s="781"/>
      <c r="K263" s="21" t="str">
        <f>IFERROR(IF(D263="","",SUMIF('EXPERIENCIA '!$D$3:$D$672,D263,'EXPERIENCIA '!$AF$3:$AF$672)),"")</f>
        <v/>
      </c>
      <c r="L263" s="3" t="str">
        <f>IF(K263="","",IF(K263=0,0,IF(K263&gt;=PARÁMETROS!$O$5,"CUMPLE","NO CUMPLE")))</f>
        <v/>
      </c>
      <c r="M263" s="226" t="str">
        <f t="shared" si="18"/>
        <v/>
      </c>
      <c r="N263" s="4"/>
      <c r="O263" s="213" t="str">
        <f t="shared" si="19"/>
        <v>N/A</v>
      </c>
      <c r="P263" s="3" t="str">
        <f t="shared" si="20"/>
        <v>NO CUMPLE</v>
      </c>
      <c r="Q263" s="810"/>
      <c r="R263" s="812"/>
      <c r="AN263" s="781"/>
      <c r="AO263" s="781"/>
    </row>
    <row r="264" spans="1:41" ht="2" hidden="1" customHeight="1">
      <c r="A264" s="815"/>
      <c r="B264" s="781"/>
      <c r="C264" s="3" t="s">
        <v>485</v>
      </c>
      <c r="D264" s="225"/>
      <c r="E264" s="7"/>
      <c r="F264" s="3"/>
      <c r="G264" s="3"/>
      <c r="H264" s="3"/>
      <c r="I264" s="3"/>
      <c r="J264" s="781"/>
      <c r="K264" s="21" t="str">
        <f>IFERROR(IF(D264="","",SUMIF('EXPERIENCIA '!$D$3:$D$672,D264,'EXPERIENCIA '!$AF$3:$AF$672)),"")</f>
        <v/>
      </c>
      <c r="L264" s="3" t="str">
        <f>IF(K264="","",IF(K264=0,0,IF(K264&gt;=PARÁMETROS!$O$5,"CUMPLE","NO CUMPLE")))</f>
        <v/>
      </c>
      <c r="M264" s="226" t="str">
        <f t="shared" si="18"/>
        <v/>
      </c>
      <c r="N264" s="4"/>
      <c r="O264" s="213" t="str">
        <f t="shared" si="19"/>
        <v>N/A</v>
      </c>
      <c r="P264" s="3" t="str">
        <f t="shared" si="20"/>
        <v>NO CUMPLE</v>
      </c>
      <c r="Q264" s="810"/>
      <c r="R264" s="812"/>
      <c r="AN264" s="781"/>
      <c r="AO264" s="781"/>
    </row>
    <row r="265" spans="1:41" ht="2" hidden="1" customHeight="1">
      <c r="A265" s="815"/>
      <c r="B265" s="781"/>
      <c r="C265" s="3" t="s">
        <v>486</v>
      </c>
      <c r="D265" s="225"/>
      <c r="E265" s="7"/>
      <c r="F265" s="3"/>
      <c r="G265" s="3"/>
      <c r="H265" s="3"/>
      <c r="I265" s="3"/>
      <c r="J265" s="781"/>
      <c r="K265" s="21" t="str">
        <f>IFERROR(IF(D265="","",SUMIF('EXPERIENCIA '!$D$3:$D$672,D265,'EXPERIENCIA '!$AF$3:$AF$672)),"")</f>
        <v/>
      </c>
      <c r="L265" s="3" t="str">
        <f>IF(K265="","",IF(K265=0,0,IF(K265&gt;=PARÁMETROS!$O$5,"CUMPLE","NO CUMPLE")))</f>
        <v/>
      </c>
      <c r="M265" s="226" t="str">
        <f t="shared" si="18"/>
        <v/>
      </c>
      <c r="N265" s="4"/>
      <c r="O265" s="213" t="str">
        <f t="shared" si="19"/>
        <v>N/A</v>
      </c>
      <c r="P265" s="3" t="str">
        <f t="shared" si="20"/>
        <v>NO CUMPLE</v>
      </c>
      <c r="Q265" s="810"/>
      <c r="R265" s="812"/>
      <c r="AN265" s="781"/>
      <c r="AO265" s="781"/>
    </row>
    <row r="266" spans="1:41" ht="2" hidden="1" customHeight="1" thickBot="1">
      <c r="A266" s="816"/>
      <c r="B266" s="817"/>
      <c r="C266" s="5" t="s">
        <v>487</v>
      </c>
      <c r="D266" s="227"/>
      <c r="E266" s="8"/>
      <c r="F266" s="5"/>
      <c r="G266" s="5"/>
      <c r="H266" s="5"/>
      <c r="I266" s="5"/>
      <c r="J266" s="817"/>
      <c r="K266" s="22" t="str">
        <f>IFERROR(IF(D266="","",SUMIF('EXPERIENCIA '!$D$3:$D$672,D266,'EXPERIENCIA '!$AF$3:$AF$672)),"")</f>
        <v/>
      </c>
      <c r="L266" s="5" t="str">
        <f>IF(K266="","",IF(K266=0,0,IF(K266&gt;=PARÁMETROS!$O$5,"CUMPLE","NO CUMPLE")))</f>
        <v/>
      </c>
      <c r="M266" s="44" t="str">
        <f t="shared" si="18"/>
        <v/>
      </c>
      <c r="N266" s="4"/>
      <c r="O266" s="40" t="str">
        <f t="shared" si="19"/>
        <v>N/A</v>
      </c>
      <c r="P266" s="5" t="str">
        <f t="shared" si="20"/>
        <v>NO CUMPLE</v>
      </c>
      <c r="Q266" s="811"/>
      <c r="R266" s="813"/>
      <c r="AN266" s="575"/>
      <c r="AO266" s="575"/>
    </row>
    <row r="267" spans="1:41" ht="23.5" hidden="1" customHeight="1">
      <c r="A267" s="814" t="s">
        <v>306</v>
      </c>
      <c r="B267" s="606"/>
      <c r="C267" s="180" t="s">
        <v>488</v>
      </c>
      <c r="D267" s="220"/>
      <c r="E267" s="221"/>
      <c r="F267" s="180"/>
      <c r="G267" s="180"/>
      <c r="H267" s="180"/>
      <c r="I267" s="180"/>
      <c r="J267" s="606">
        <f>SUM(AN267:AO272)</f>
        <v>0</v>
      </c>
      <c r="K267" s="222" t="str">
        <f>IFERROR(IF(D267="","",SUMIF('EXPERIENCIA '!$D$3:$D$672,D267,'EXPERIENCIA '!$AF$3:$AF$672)),"")</f>
        <v/>
      </c>
      <c r="L267" s="180" t="str">
        <f>IF(K267="","",IF(K267=0,0,IF(K267&gt;=PARÁMETROS!$O$5,"CUMPLE","NO CUMPLE")))</f>
        <v/>
      </c>
      <c r="M267" s="223" t="str">
        <f t="shared" si="18"/>
        <v/>
      </c>
      <c r="N267" s="4"/>
      <c r="O267" s="224" t="str">
        <f t="shared" si="19"/>
        <v>N/A</v>
      </c>
      <c r="P267" s="179" t="str">
        <f t="shared" si="20"/>
        <v>NO CUMPLE</v>
      </c>
      <c r="Q267" s="810"/>
      <c r="R267" s="812"/>
      <c r="AN267" s="574">
        <f>IF(COUNTIF(H267:H272,"ACREDITA")&gt;0,1,0)</f>
        <v>0</v>
      </c>
      <c r="AO267" s="574">
        <f>IF(COUNTIF(I267:I272,"ACREDITA")&gt;0,1,0)</f>
        <v>0</v>
      </c>
    </row>
    <row r="268" spans="1:41" ht="23.5" hidden="1" customHeight="1">
      <c r="A268" s="815"/>
      <c r="B268" s="781"/>
      <c r="C268" s="3" t="s">
        <v>489</v>
      </c>
      <c r="D268" s="225"/>
      <c r="E268" s="7"/>
      <c r="F268" s="3"/>
      <c r="G268" s="3"/>
      <c r="H268" s="3"/>
      <c r="I268" s="3"/>
      <c r="J268" s="781"/>
      <c r="K268" s="21" t="str">
        <f>IFERROR(IF(D268="","",SUMIF('EXPERIENCIA '!$D$3:$D$672,D268,'EXPERIENCIA '!$AF$3:$AF$672)),"")</f>
        <v/>
      </c>
      <c r="L268" s="3" t="str">
        <f>IF(K268="","",IF(K268=0,0,IF(K268&gt;=PARÁMETROS!$O$5,"CUMPLE","NO CUMPLE")))</f>
        <v/>
      </c>
      <c r="M268" s="226" t="str">
        <f t="shared" si="18"/>
        <v/>
      </c>
      <c r="N268" s="4"/>
      <c r="O268" s="213" t="str">
        <f t="shared" si="19"/>
        <v>N/A</v>
      </c>
      <c r="P268" s="3" t="str">
        <f t="shared" si="20"/>
        <v>NO CUMPLE</v>
      </c>
      <c r="Q268" s="810"/>
      <c r="R268" s="812"/>
      <c r="AN268" s="781"/>
      <c r="AO268" s="781"/>
    </row>
    <row r="269" spans="1:41" ht="23.5" hidden="1" customHeight="1">
      <c r="A269" s="815"/>
      <c r="B269" s="781"/>
      <c r="C269" s="3" t="s">
        <v>490</v>
      </c>
      <c r="D269" s="225"/>
      <c r="E269" s="7"/>
      <c r="F269" s="3"/>
      <c r="G269" s="3"/>
      <c r="H269" s="3"/>
      <c r="I269" s="3"/>
      <c r="J269" s="781"/>
      <c r="K269" s="21" t="str">
        <f>IFERROR(IF(D269="","",SUMIF('EXPERIENCIA '!$D$3:$D$672,D269,'EXPERIENCIA '!$AF$3:$AF$672)),"")</f>
        <v/>
      </c>
      <c r="L269" s="3" t="str">
        <f>IF(K269="","",IF(K269=0,0,IF(K269&gt;=PARÁMETROS!$O$5,"CUMPLE","NO CUMPLE")))</f>
        <v/>
      </c>
      <c r="M269" s="226" t="str">
        <f t="shared" ref="M269:M332" si="21">+IF(G269="ACREDITA",IF(L269="CUMPLE","CUMPLE","NO CUMPLE"),"")</f>
        <v/>
      </c>
      <c r="N269" s="4"/>
      <c r="O269" s="213" t="str">
        <f t="shared" ref="O269:O332" si="22">IFERROR(IF(OR(G269="",G269="N/A",G269="NO APLICA"),"N/A",IFERROR(IF(K269=0,"",IF(K269&gt;=PDMI,"CUMPLE","NO CUMPLE")),"")),"")</f>
        <v>N/A</v>
      </c>
      <c r="P269" s="3" t="str">
        <f t="shared" ref="P269:P332" si="23">IFERROR(IF(O269="N/A","NO CUMPLE",IFERROR(IF(G269="ACREDITA",IF(O269="CUMPLE","CUMPLE","NO CUMPLE"),""),"")),"")</f>
        <v>NO CUMPLE</v>
      </c>
      <c r="Q269" s="810"/>
      <c r="R269" s="812"/>
      <c r="AN269" s="781"/>
      <c r="AO269" s="781"/>
    </row>
    <row r="270" spans="1:41" ht="23.5" hidden="1" customHeight="1">
      <c r="A270" s="815"/>
      <c r="B270" s="781"/>
      <c r="C270" s="3" t="s">
        <v>491</v>
      </c>
      <c r="D270" s="225"/>
      <c r="E270" s="7"/>
      <c r="F270" s="3"/>
      <c r="G270" s="3"/>
      <c r="H270" s="3"/>
      <c r="I270" s="3"/>
      <c r="J270" s="781"/>
      <c r="K270" s="21" t="str">
        <f>IFERROR(IF(D270="","",SUMIF('EXPERIENCIA '!$D$3:$D$672,D270,'EXPERIENCIA '!$AF$3:$AF$672)),"")</f>
        <v/>
      </c>
      <c r="L270" s="3" t="str">
        <f>IF(K270="","",IF(K270=0,0,IF(K270&gt;=PARÁMETROS!$O$5,"CUMPLE","NO CUMPLE")))</f>
        <v/>
      </c>
      <c r="M270" s="226" t="str">
        <f t="shared" si="21"/>
        <v/>
      </c>
      <c r="N270" s="4"/>
      <c r="O270" s="213" t="str">
        <f t="shared" si="22"/>
        <v>N/A</v>
      </c>
      <c r="P270" s="3" t="str">
        <f t="shared" si="23"/>
        <v>NO CUMPLE</v>
      </c>
      <c r="Q270" s="810"/>
      <c r="R270" s="812"/>
      <c r="AN270" s="781"/>
      <c r="AO270" s="781"/>
    </row>
    <row r="271" spans="1:41" ht="23.5" hidden="1" customHeight="1">
      <c r="A271" s="815"/>
      <c r="B271" s="781"/>
      <c r="C271" s="3" t="s">
        <v>492</v>
      </c>
      <c r="D271" s="225"/>
      <c r="E271" s="7"/>
      <c r="F271" s="3"/>
      <c r="G271" s="3"/>
      <c r="H271" s="3"/>
      <c r="I271" s="3"/>
      <c r="J271" s="781"/>
      <c r="K271" s="21" t="str">
        <f>IFERROR(IF(D271="","",SUMIF('EXPERIENCIA '!$D$3:$D$672,D271,'EXPERIENCIA '!$AF$3:$AF$672)),"")</f>
        <v/>
      </c>
      <c r="L271" s="3" t="str">
        <f>IF(K271="","",IF(K271=0,0,IF(K271&gt;=PARÁMETROS!$O$5,"CUMPLE","NO CUMPLE")))</f>
        <v/>
      </c>
      <c r="M271" s="226" t="str">
        <f t="shared" si="21"/>
        <v/>
      </c>
      <c r="N271" s="4"/>
      <c r="O271" s="213" t="str">
        <f t="shared" si="22"/>
        <v>N/A</v>
      </c>
      <c r="P271" s="3" t="str">
        <f t="shared" si="23"/>
        <v>NO CUMPLE</v>
      </c>
      <c r="Q271" s="810"/>
      <c r="R271" s="812"/>
      <c r="AN271" s="781"/>
      <c r="AO271" s="781"/>
    </row>
    <row r="272" spans="1:41" ht="23" hidden="1" customHeight="1" thickBot="1">
      <c r="A272" s="816"/>
      <c r="B272" s="817"/>
      <c r="C272" s="5" t="s">
        <v>493</v>
      </c>
      <c r="D272" s="227"/>
      <c r="E272" s="8"/>
      <c r="F272" s="5"/>
      <c r="G272" s="5"/>
      <c r="H272" s="5"/>
      <c r="I272" s="5"/>
      <c r="J272" s="817"/>
      <c r="K272" s="22" t="str">
        <f>IFERROR(IF(D272="","",SUMIF('EXPERIENCIA '!$D$3:$D$672,D272,'EXPERIENCIA '!$AF$3:$AF$672)),"")</f>
        <v/>
      </c>
      <c r="L272" s="5" t="str">
        <f>IF(K272="","",IF(K272=0,0,IF(K272&gt;=PARÁMETROS!$O$5,"CUMPLE","NO CUMPLE")))</f>
        <v/>
      </c>
      <c r="M272" s="44" t="str">
        <f t="shared" si="21"/>
        <v/>
      </c>
      <c r="N272" s="4"/>
      <c r="O272" s="40" t="str">
        <f t="shared" si="22"/>
        <v>N/A</v>
      </c>
      <c r="P272" s="5" t="str">
        <f t="shared" si="23"/>
        <v>NO CUMPLE</v>
      </c>
      <c r="Q272" s="811"/>
      <c r="R272" s="813"/>
      <c r="AN272" s="575"/>
      <c r="AO272" s="575"/>
    </row>
    <row r="273" spans="1:41" ht="24" hidden="1" customHeight="1">
      <c r="A273" s="800" t="s">
        <v>307</v>
      </c>
      <c r="B273" s="730"/>
      <c r="C273" s="111" t="s">
        <v>494</v>
      </c>
      <c r="D273" s="153"/>
      <c r="E273" s="113"/>
      <c r="F273" s="111"/>
      <c r="G273" s="111"/>
      <c r="H273" s="111"/>
      <c r="I273" s="111"/>
      <c r="J273" s="730">
        <f>SUM(AN273:AO278)</f>
        <v>0</v>
      </c>
      <c r="K273" s="115" t="str">
        <f>IFERROR(IF(D273="","",SUMIF('EXPERIENCIA '!$D$3:$D$672,D273,'EXPERIENCIA '!$AF$3:$AF$672)),"")</f>
        <v/>
      </c>
      <c r="L273" s="111" t="str">
        <f>IF(K273="","",IF(K273=0,0,IF(K273&gt;=PARÁMETROS!$O$5,"CUMPLE","NO CUMPLE")))</f>
        <v/>
      </c>
      <c r="M273" s="158" t="str">
        <f t="shared" si="21"/>
        <v/>
      </c>
      <c r="N273" s="107"/>
      <c r="O273" s="161" t="str">
        <f t="shared" si="22"/>
        <v>N/A</v>
      </c>
      <c r="P273" s="121" t="str">
        <f t="shared" si="23"/>
        <v>NO CUMPLE</v>
      </c>
      <c r="Q273" s="810"/>
      <c r="R273" s="812"/>
      <c r="AN273" s="574">
        <f>IF(COUNTIF(H273:H278,"ACREDITA")&gt;0,1,0)</f>
        <v>0</v>
      </c>
      <c r="AO273" s="574">
        <f>IF(COUNTIF(I273:I278,"ACREDITA")&gt;0,1,0)</f>
        <v>0</v>
      </c>
    </row>
    <row r="274" spans="1:41" ht="24" hidden="1" customHeight="1">
      <c r="A274" s="801"/>
      <c r="B274" s="803"/>
      <c r="C274" s="125" t="s">
        <v>495</v>
      </c>
      <c r="D274" s="155"/>
      <c r="E274" s="68"/>
      <c r="F274" s="125"/>
      <c r="G274" s="125"/>
      <c r="H274" s="125"/>
      <c r="I274" s="125"/>
      <c r="J274" s="803"/>
      <c r="K274" s="117" t="str">
        <f>IFERROR(IF(D274="","",SUMIF('EXPERIENCIA '!$D$3:$D$672,D274,'EXPERIENCIA '!$AF$3:$AF$672)),"")</f>
        <v/>
      </c>
      <c r="L274" s="125" t="str">
        <f>IF(K274="","",IF(K274=0,0,IF(K274&gt;=PARÁMETROS!$O$5,"CUMPLE","NO CUMPLE")))</f>
        <v/>
      </c>
      <c r="M274" s="159" t="str">
        <f t="shared" si="21"/>
        <v/>
      </c>
      <c r="N274" s="107"/>
      <c r="O274" s="154" t="str">
        <f t="shared" si="22"/>
        <v>N/A</v>
      </c>
      <c r="P274" s="125" t="str">
        <f t="shared" si="23"/>
        <v>NO CUMPLE</v>
      </c>
      <c r="Q274" s="810"/>
      <c r="R274" s="812"/>
      <c r="AN274" s="781"/>
      <c r="AO274" s="781"/>
    </row>
    <row r="275" spans="1:41" ht="24" hidden="1" customHeight="1">
      <c r="A275" s="801"/>
      <c r="B275" s="803"/>
      <c r="C275" s="125" t="s">
        <v>496</v>
      </c>
      <c r="D275" s="155"/>
      <c r="E275" s="68"/>
      <c r="F275" s="125"/>
      <c r="G275" s="125"/>
      <c r="H275" s="125"/>
      <c r="I275" s="125"/>
      <c r="J275" s="803"/>
      <c r="K275" s="117" t="str">
        <f>IFERROR(IF(D275="","",SUMIF('EXPERIENCIA '!$D$3:$D$672,D275,'EXPERIENCIA '!$AF$3:$AF$672)),"")</f>
        <v/>
      </c>
      <c r="L275" s="125" t="str">
        <f>IF(K275="","",IF(K275=0,0,IF(K275&gt;=PARÁMETROS!$O$5,"CUMPLE","NO CUMPLE")))</f>
        <v/>
      </c>
      <c r="M275" s="159" t="str">
        <f t="shared" si="21"/>
        <v/>
      </c>
      <c r="N275" s="107"/>
      <c r="O275" s="154" t="str">
        <f t="shared" si="22"/>
        <v>N/A</v>
      </c>
      <c r="P275" s="125" t="str">
        <f t="shared" si="23"/>
        <v>NO CUMPLE</v>
      </c>
      <c r="Q275" s="810"/>
      <c r="R275" s="812"/>
      <c r="AN275" s="781"/>
      <c r="AO275" s="781"/>
    </row>
    <row r="276" spans="1:41" ht="24" hidden="1" customHeight="1">
      <c r="A276" s="801"/>
      <c r="B276" s="803"/>
      <c r="C276" s="125" t="s">
        <v>497</v>
      </c>
      <c r="D276" s="155"/>
      <c r="E276" s="68"/>
      <c r="F276" s="125"/>
      <c r="G276" s="125"/>
      <c r="H276" s="125"/>
      <c r="I276" s="125"/>
      <c r="J276" s="803"/>
      <c r="K276" s="117" t="str">
        <f>IFERROR(IF(D276="","",SUMIF('EXPERIENCIA '!$D$3:$D$672,D276,'EXPERIENCIA '!$AF$3:$AF$672)),"")</f>
        <v/>
      </c>
      <c r="L276" s="125" t="str">
        <f>IF(K276="","",IF(K276=0,0,IF(K276&gt;=PARÁMETROS!$O$5,"CUMPLE","NO CUMPLE")))</f>
        <v/>
      </c>
      <c r="M276" s="159" t="str">
        <f t="shared" si="21"/>
        <v/>
      </c>
      <c r="N276" s="107"/>
      <c r="O276" s="154" t="str">
        <f t="shared" si="22"/>
        <v>N/A</v>
      </c>
      <c r="P276" s="125" t="str">
        <f t="shared" si="23"/>
        <v>NO CUMPLE</v>
      </c>
      <c r="Q276" s="810"/>
      <c r="R276" s="812"/>
      <c r="AN276" s="781"/>
      <c r="AO276" s="781"/>
    </row>
    <row r="277" spans="1:41" ht="24" hidden="1" customHeight="1">
      <c r="A277" s="801"/>
      <c r="B277" s="803"/>
      <c r="C277" s="125" t="s">
        <v>498</v>
      </c>
      <c r="D277" s="155"/>
      <c r="E277" s="68"/>
      <c r="F277" s="125"/>
      <c r="G277" s="125"/>
      <c r="H277" s="125"/>
      <c r="I277" s="125"/>
      <c r="J277" s="803"/>
      <c r="K277" s="117" t="str">
        <f>IFERROR(IF(D277="","",SUMIF('EXPERIENCIA '!$D$3:$D$672,D277,'EXPERIENCIA '!$AF$3:$AF$672)),"")</f>
        <v/>
      </c>
      <c r="L277" s="125" t="str">
        <f>IF(K277="","",IF(K277=0,0,IF(K277&gt;=PARÁMETROS!$O$5,"CUMPLE","NO CUMPLE")))</f>
        <v/>
      </c>
      <c r="M277" s="159" t="str">
        <f t="shared" si="21"/>
        <v/>
      </c>
      <c r="N277" s="107"/>
      <c r="O277" s="154" t="str">
        <f t="shared" si="22"/>
        <v>N/A</v>
      </c>
      <c r="P277" s="125" t="str">
        <f t="shared" si="23"/>
        <v>NO CUMPLE</v>
      </c>
      <c r="Q277" s="810"/>
      <c r="R277" s="812"/>
      <c r="AN277" s="781"/>
      <c r="AO277" s="781"/>
    </row>
    <row r="278" spans="1:41" ht="24" hidden="1" customHeight="1" thickBot="1">
      <c r="A278" s="802"/>
      <c r="B278" s="804"/>
      <c r="C278" s="133" t="s">
        <v>499</v>
      </c>
      <c r="D278" s="157"/>
      <c r="E278" s="104"/>
      <c r="F278" s="133"/>
      <c r="G278" s="133"/>
      <c r="H278" s="133"/>
      <c r="I278" s="133"/>
      <c r="J278" s="804"/>
      <c r="K278" s="136" t="str">
        <f>IFERROR(IF(D278="","",SUMIF('EXPERIENCIA '!$D$3:$D$672,D278,'EXPERIENCIA '!$AF$3:$AF$672)),"")</f>
        <v/>
      </c>
      <c r="L278" s="133" t="str">
        <f>IF(K278="","",IF(K278=0,0,IF(K278&gt;=PARÁMETROS!$O$5,"CUMPLE","NO CUMPLE")))</f>
        <v/>
      </c>
      <c r="M278" s="160" t="str">
        <f t="shared" si="21"/>
        <v/>
      </c>
      <c r="N278" s="107"/>
      <c r="O278" s="156" t="str">
        <f t="shared" si="22"/>
        <v>N/A</v>
      </c>
      <c r="P278" s="133" t="str">
        <f t="shared" si="23"/>
        <v>NO CUMPLE</v>
      </c>
      <c r="Q278" s="811"/>
      <c r="R278" s="813"/>
      <c r="AN278" s="575"/>
      <c r="AO278" s="575"/>
    </row>
    <row r="279" spans="1:41" ht="23.5" hidden="1" customHeight="1">
      <c r="A279" s="800" t="s">
        <v>308</v>
      </c>
      <c r="B279" s="730"/>
      <c r="C279" s="111" t="s">
        <v>500</v>
      </c>
      <c r="D279" s="153"/>
      <c r="E279" s="113"/>
      <c r="F279" s="111"/>
      <c r="G279" s="111"/>
      <c r="H279" s="111"/>
      <c r="I279" s="111"/>
      <c r="J279" s="730">
        <f>SUM(AN279:AO284)</f>
        <v>0</v>
      </c>
      <c r="K279" s="115" t="str">
        <f>IFERROR(IF(D279="","",SUMIF('EXPERIENCIA '!$D$3:$D$672,D279,'EXPERIENCIA '!$AF$3:$AF$672)),"")</f>
        <v/>
      </c>
      <c r="L279" s="111" t="str">
        <f>IF(K279="","",IF(K279=0,0,IF(K279&gt;=PARÁMETROS!$O$5,"CUMPLE","NO CUMPLE")))</f>
        <v/>
      </c>
      <c r="M279" s="158" t="str">
        <f t="shared" si="21"/>
        <v/>
      </c>
      <c r="N279" s="107"/>
      <c r="O279" s="161" t="str">
        <f t="shared" si="22"/>
        <v>N/A</v>
      </c>
      <c r="P279" s="121" t="str">
        <f t="shared" si="23"/>
        <v>NO CUMPLE</v>
      </c>
      <c r="Q279" s="782"/>
      <c r="R279" s="784"/>
      <c r="AN279" s="574">
        <f>IF(COUNTIF(H279:H284,"ACREDITA")&gt;0,1,0)</f>
        <v>0</v>
      </c>
      <c r="AO279" s="574">
        <f>IF(COUNTIF(I279:I284,"ACREDITA")&gt;0,1,0)</f>
        <v>0</v>
      </c>
    </row>
    <row r="280" spans="1:41" ht="23.5" hidden="1" customHeight="1">
      <c r="A280" s="801"/>
      <c r="B280" s="803"/>
      <c r="C280" s="125" t="s">
        <v>501</v>
      </c>
      <c r="D280" s="155"/>
      <c r="E280" s="68"/>
      <c r="F280" s="125"/>
      <c r="G280" s="125"/>
      <c r="H280" s="125"/>
      <c r="I280" s="125"/>
      <c r="J280" s="803"/>
      <c r="K280" s="117" t="str">
        <f>IFERROR(IF(D280="","",SUMIF('EXPERIENCIA '!$D$3:$D$672,D280,'EXPERIENCIA '!$AF$3:$AF$672)),"")</f>
        <v/>
      </c>
      <c r="L280" s="125" t="str">
        <f>IF(K280="","",IF(K280=0,0,IF(K280&gt;=PARÁMETROS!$O$5,"CUMPLE","NO CUMPLE")))</f>
        <v/>
      </c>
      <c r="M280" s="159" t="str">
        <f t="shared" si="21"/>
        <v/>
      </c>
      <c r="N280" s="107"/>
      <c r="O280" s="154" t="str">
        <f t="shared" si="22"/>
        <v>N/A</v>
      </c>
      <c r="P280" s="125" t="str">
        <f t="shared" si="23"/>
        <v>NO CUMPLE</v>
      </c>
      <c r="Q280" s="782"/>
      <c r="R280" s="784"/>
      <c r="AN280" s="781"/>
      <c r="AO280" s="781"/>
    </row>
    <row r="281" spans="1:41" ht="23.5" hidden="1" customHeight="1">
      <c r="A281" s="801"/>
      <c r="B281" s="803"/>
      <c r="C281" s="125" t="s">
        <v>502</v>
      </c>
      <c r="D281" s="155"/>
      <c r="E281" s="68"/>
      <c r="F281" s="125"/>
      <c r="G281" s="125"/>
      <c r="H281" s="125"/>
      <c r="I281" s="125"/>
      <c r="J281" s="803"/>
      <c r="K281" s="117" t="str">
        <f>IFERROR(IF(D281="","",SUMIF('EXPERIENCIA '!$D$3:$D$672,D281,'EXPERIENCIA '!$AF$3:$AF$672)),"")</f>
        <v/>
      </c>
      <c r="L281" s="125" t="str">
        <f>IF(K281="","",IF(K281=0,0,IF(K281&gt;=PARÁMETROS!$O$5,"CUMPLE","NO CUMPLE")))</f>
        <v/>
      </c>
      <c r="M281" s="159" t="str">
        <f t="shared" si="21"/>
        <v/>
      </c>
      <c r="N281" s="107"/>
      <c r="O281" s="154" t="str">
        <f t="shared" si="22"/>
        <v>N/A</v>
      </c>
      <c r="P281" s="125" t="str">
        <f t="shared" si="23"/>
        <v>NO CUMPLE</v>
      </c>
      <c r="Q281" s="782"/>
      <c r="R281" s="784"/>
      <c r="AN281" s="781"/>
      <c r="AO281" s="781"/>
    </row>
    <row r="282" spans="1:41" ht="23.5" hidden="1" customHeight="1">
      <c r="A282" s="801"/>
      <c r="B282" s="803"/>
      <c r="C282" s="125" t="s">
        <v>503</v>
      </c>
      <c r="D282" s="155"/>
      <c r="E282" s="68"/>
      <c r="F282" s="125"/>
      <c r="G282" s="125"/>
      <c r="H282" s="125"/>
      <c r="I282" s="125"/>
      <c r="J282" s="803"/>
      <c r="K282" s="117" t="str">
        <f>IFERROR(IF(D282="","",SUMIF('EXPERIENCIA '!$D$3:$D$672,D282,'EXPERIENCIA '!$AF$3:$AF$672)),"")</f>
        <v/>
      </c>
      <c r="L282" s="125" t="str">
        <f>IF(K282="","",IF(K282=0,0,IF(K282&gt;=PARÁMETROS!$O$5,"CUMPLE","NO CUMPLE")))</f>
        <v/>
      </c>
      <c r="M282" s="159" t="str">
        <f t="shared" si="21"/>
        <v/>
      </c>
      <c r="N282" s="107"/>
      <c r="O282" s="154" t="str">
        <f t="shared" si="22"/>
        <v>N/A</v>
      </c>
      <c r="P282" s="125" t="str">
        <f t="shared" si="23"/>
        <v>NO CUMPLE</v>
      </c>
      <c r="Q282" s="782"/>
      <c r="R282" s="784"/>
      <c r="AN282" s="781"/>
      <c r="AO282" s="781"/>
    </row>
    <row r="283" spans="1:41" ht="23.5" hidden="1" customHeight="1">
      <c r="A283" s="801"/>
      <c r="B283" s="803"/>
      <c r="C283" s="125" t="s">
        <v>504</v>
      </c>
      <c r="D283" s="155"/>
      <c r="E283" s="68"/>
      <c r="F283" s="125"/>
      <c r="G283" s="125"/>
      <c r="H283" s="125"/>
      <c r="I283" s="125"/>
      <c r="J283" s="803"/>
      <c r="K283" s="117" t="str">
        <f>IFERROR(IF(D283="","",SUMIF('EXPERIENCIA '!$D$3:$D$672,D283,'EXPERIENCIA '!$AF$3:$AF$672)),"")</f>
        <v/>
      </c>
      <c r="L283" s="125" t="str">
        <f>IF(K283="","",IF(K283=0,0,IF(K283&gt;=PARÁMETROS!$O$5,"CUMPLE","NO CUMPLE")))</f>
        <v/>
      </c>
      <c r="M283" s="159" t="str">
        <f t="shared" si="21"/>
        <v/>
      </c>
      <c r="N283" s="107"/>
      <c r="O283" s="154" t="str">
        <f t="shared" si="22"/>
        <v>N/A</v>
      </c>
      <c r="P283" s="125" t="str">
        <f t="shared" si="23"/>
        <v>NO CUMPLE</v>
      </c>
      <c r="Q283" s="782"/>
      <c r="R283" s="784"/>
      <c r="AN283" s="781"/>
      <c r="AO283" s="781"/>
    </row>
    <row r="284" spans="1:41" ht="23.5" hidden="1" customHeight="1" thickBot="1">
      <c r="A284" s="802"/>
      <c r="B284" s="804"/>
      <c r="C284" s="133" t="s">
        <v>505</v>
      </c>
      <c r="D284" s="157"/>
      <c r="E284" s="104"/>
      <c r="F284" s="133"/>
      <c r="G284" s="133"/>
      <c r="H284" s="133"/>
      <c r="I284" s="133"/>
      <c r="J284" s="804"/>
      <c r="K284" s="136" t="str">
        <f>IFERROR(IF(D284="","",SUMIF('EXPERIENCIA '!$D$3:$D$672,D284,'EXPERIENCIA '!$AF$3:$AF$672)),"")</f>
        <v/>
      </c>
      <c r="L284" s="133" t="str">
        <f>IF(K284="","",IF(K284=0,0,IF(K284&gt;=PARÁMETROS!$O$5,"CUMPLE","NO CUMPLE")))</f>
        <v/>
      </c>
      <c r="M284" s="160" t="str">
        <f t="shared" si="21"/>
        <v/>
      </c>
      <c r="N284" s="107"/>
      <c r="O284" s="156" t="str">
        <f t="shared" si="22"/>
        <v>N/A</v>
      </c>
      <c r="P284" s="133" t="str">
        <f t="shared" si="23"/>
        <v>NO CUMPLE</v>
      </c>
      <c r="Q284" s="783"/>
      <c r="R284" s="785"/>
      <c r="AN284" s="575"/>
      <c r="AO284" s="575"/>
    </row>
    <row r="285" spans="1:41" ht="23.5" hidden="1" customHeight="1">
      <c r="A285" s="800" t="s">
        <v>309</v>
      </c>
      <c r="B285" s="730"/>
      <c r="C285" s="111" t="s">
        <v>506</v>
      </c>
      <c r="D285" s="153"/>
      <c r="E285" s="113"/>
      <c r="F285" s="111"/>
      <c r="G285" s="111"/>
      <c r="H285" s="111"/>
      <c r="I285" s="111"/>
      <c r="J285" s="730">
        <f>SUM(AN285:AO290)</f>
        <v>0</v>
      </c>
      <c r="K285" s="115" t="str">
        <f>IFERROR(IF(D285="","",SUMIF('EXPERIENCIA '!$D$3:$D$672,D285,'EXPERIENCIA '!$AF$3:$AF$672)),"")</f>
        <v/>
      </c>
      <c r="L285" s="111" t="str">
        <f>IF(K285="","",IF(K285=0,0,IF(K285&gt;=PARÁMETROS!$O$5,"CUMPLE","NO CUMPLE")))</f>
        <v/>
      </c>
      <c r="M285" s="158" t="str">
        <f t="shared" si="21"/>
        <v/>
      </c>
      <c r="N285" s="107"/>
      <c r="O285" s="161" t="str">
        <f t="shared" si="22"/>
        <v>N/A</v>
      </c>
      <c r="P285" s="121" t="str">
        <f t="shared" si="23"/>
        <v>NO CUMPLE</v>
      </c>
      <c r="Q285" s="782"/>
      <c r="R285" s="784"/>
      <c r="AN285" s="574">
        <f>IF(COUNTIF(H285:H290,"ACREDITA")&gt;0,1,0)</f>
        <v>0</v>
      </c>
      <c r="AO285" s="574">
        <f>IF(COUNTIF(I285:I290,"ACREDITA")&gt;0,1,0)</f>
        <v>0</v>
      </c>
    </row>
    <row r="286" spans="1:41" ht="23.5" hidden="1" customHeight="1">
      <c r="A286" s="801"/>
      <c r="B286" s="803"/>
      <c r="C286" s="125" t="s">
        <v>507</v>
      </c>
      <c r="D286" s="155"/>
      <c r="E286" s="68"/>
      <c r="F286" s="125"/>
      <c r="G286" s="125"/>
      <c r="H286" s="125"/>
      <c r="I286" s="125"/>
      <c r="J286" s="803"/>
      <c r="K286" s="117" t="str">
        <f>IFERROR(IF(D286="","",SUMIF('EXPERIENCIA '!$D$3:$D$672,D286,'EXPERIENCIA '!$AF$3:$AF$672)),"")</f>
        <v/>
      </c>
      <c r="L286" s="125" t="str">
        <f>IF(K286="","",IF(K286=0,0,IF(K286&gt;=PARÁMETROS!$O$5,"CUMPLE","NO CUMPLE")))</f>
        <v/>
      </c>
      <c r="M286" s="159" t="str">
        <f t="shared" si="21"/>
        <v/>
      </c>
      <c r="N286" s="107"/>
      <c r="O286" s="154" t="str">
        <f t="shared" si="22"/>
        <v>N/A</v>
      </c>
      <c r="P286" s="125" t="str">
        <f t="shared" si="23"/>
        <v>NO CUMPLE</v>
      </c>
      <c r="Q286" s="782"/>
      <c r="R286" s="784"/>
      <c r="AN286" s="781"/>
      <c r="AO286" s="781"/>
    </row>
    <row r="287" spans="1:41" ht="23.5" hidden="1" customHeight="1">
      <c r="A287" s="801"/>
      <c r="B287" s="803"/>
      <c r="C287" s="125" t="s">
        <v>508</v>
      </c>
      <c r="D287" s="155"/>
      <c r="E287" s="68"/>
      <c r="F287" s="125"/>
      <c r="G287" s="125"/>
      <c r="H287" s="125"/>
      <c r="I287" s="125"/>
      <c r="J287" s="803"/>
      <c r="K287" s="117" t="str">
        <f>IFERROR(IF(D287="","",SUMIF('EXPERIENCIA '!$D$3:$D$672,D287,'EXPERIENCIA '!$AF$3:$AF$672)),"")</f>
        <v/>
      </c>
      <c r="L287" s="125" t="str">
        <f>IF(K287="","",IF(K287=0,0,IF(K287&gt;=PARÁMETROS!$O$5,"CUMPLE","NO CUMPLE")))</f>
        <v/>
      </c>
      <c r="M287" s="159" t="str">
        <f t="shared" si="21"/>
        <v/>
      </c>
      <c r="N287" s="107"/>
      <c r="O287" s="154" t="str">
        <f t="shared" si="22"/>
        <v>N/A</v>
      </c>
      <c r="P287" s="125" t="str">
        <f t="shared" si="23"/>
        <v>NO CUMPLE</v>
      </c>
      <c r="Q287" s="782"/>
      <c r="R287" s="784"/>
      <c r="AN287" s="781"/>
      <c r="AO287" s="781"/>
    </row>
    <row r="288" spans="1:41" ht="23.5" hidden="1" customHeight="1">
      <c r="A288" s="801"/>
      <c r="B288" s="803"/>
      <c r="C288" s="125" t="s">
        <v>509</v>
      </c>
      <c r="D288" s="155"/>
      <c r="E288" s="68"/>
      <c r="F288" s="125"/>
      <c r="G288" s="125"/>
      <c r="H288" s="125"/>
      <c r="I288" s="125"/>
      <c r="J288" s="803"/>
      <c r="K288" s="117" t="str">
        <f>IFERROR(IF(D288="","",SUMIF('EXPERIENCIA '!$D$3:$D$672,D288,'EXPERIENCIA '!$AF$3:$AF$672)),"")</f>
        <v/>
      </c>
      <c r="L288" s="125" t="str">
        <f>IF(K288="","",IF(K288=0,0,IF(K288&gt;=PARÁMETROS!$O$5,"CUMPLE","NO CUMPLE")))</f>
        <v/>
      </c>
      <c r="M288" s="159" t="str">
        <f t="shared" si="21"/>
        <v/>
      </c>
      <c r="N288" s="107"/>
      <c r="O288" s="154" t="str">
        <f t="shared" si="22"/>
        <v>N/A</v>
      </c>
      <c r="P288" s="125" t="str">
        <f t="shared" si="23"/>
        <v>NO CUMPLE</v>
      </c>
      <c r="Q288" s="782"/>
      <c r="R288" s="784"/>
      <c r="AN288" s="781"/>
      <c r="AO288" s="781"/>
    </row>
    <row r="289" spans="1:41" ht="23.5" hidden="1" customHeight="1">
      <c r="A289" s="801"/>
      <c r="B289" s="803"/>
      <c r="C289" s="125" t="s">
        <v>510</v>
      </c>
      <c r="D289" s="155"/>
      <c r="E289" s="68"/>
      <c r="F289" s="125"/>
      <c r="G289" s="125"/>
      <c r="H289" s="125"/>
      <c r="I289" s="125"/>
      <c r="J289" s="803"/>
      <c r="K289" s="117" t="str">
        <f>IFERROR(IF(D289="","",SUMIF('EXPERIENCIA '!$D$3:$D$672,D289,'EXPERIENCIA '!$AF$3:$AF$672)),"")</f>
        <v/>
      </c>
      <c r="L289" s="125" t="str">
        <f>IF(K289="","",IF(K289=0,0,IF(K289&gt;=PARÁMETROS!$O$5,"CUMPLE","NO CUMPLE")))</f>
        <v/>
      </c>
      <c r="M289" s="159" t="str">
        <f t="shared" si="21"/>
        <v/>
      </c>
      <c r="N289" s="107"/>
      <c r="O289" s="154" t="str">
        <f t="shared" si="22"/>
        <v>N/A</v>
      </c>
      <c r="P289" s="125" t="str">
        <f t="shared" si="23"/>
        <v>NO CUMPLE</v>
      </c>
      <c r="Q289" s="782"/>
      <c r="R289" s="784"/>
      <c r="AN289" s="781"/>
      <c r="AO289" s="781"/>
    </row>
    <row r="290" spans="1:41" ht="23.5" hidden="1" customHeight="1" thickBot="1">
      <c r="A290" s="802"/>
      <c r="B290" s="804"/>
      <c r="C290" s="133" t="s">
        <v>511</v>
      </c>
      <c r="D290" s="157"/>
      <c r="E290" s="104"/>
      <c r="F290" s="133"/>
      <c r="G290" s="133"/>
      <c r="H290" s="133"/>
      <c r="I290" s="133"/>
      <c r="J290" s="804"/>
      <c r="K290" s="136" t="str">
        <f>IFERROR(IF(D290="","",SUMIF('EXPERIENCIA '!$D$3:$D$672,D290,'EXPERIENCIA '!$AF$3:$AF$672)),"")</f>
        <v/>
      </c>
      <c r="L290" s="133" t="str">
        <f>IF(K290="","",IF(K290=0,0,IF(K290&gt;=PARÁMETROS!$O$5,"CUMPLE","NO CUMPLE")))</f>
        <v/>
      </c>
      <c r="M290" s="160" t="str">
        <f t="shared" si="21"/>
        <v/>
      </c>
      <c r="N290" s="107"/>
      <c r="O290" s="156" t="str">
        <f t="shared" si="22"/>
        <v>N/A</v>
      </c>
      <c r="P290" s="133" t="str">
        <f t="shared" si="23"/>
        <v>NO CUMPLE</v>
      </c>
      <c r="Q290" s="783"/>
      <c r="R290" s="785"/>
      <c r="AN290" s="575"/>
      <c r="AO290" s="575"/>
    </row>
    <row r="291" spans="1:41" ht="23.5" hidden="1" customHeight="1">
      <c r="A291" s="800" t="s">
        <v>310</v>
      </c>
      <c r="B291" s="730"/>
      <c r="C291" s="111" t="s">
        <v>512</v>
      </c>
      <c r="D291" s="153"/>
      <c r="E291" s="113"/>
      <c r="F291" s="111"/>
      <c r="G291" s="111"/>
      <c r="H291" s="111"/>
      <c r="I291" s="111"/>
      <c r="J291" s="730">
        <f>SUM(AN291:AO296)</f>
        <v>0</v>
      </c>
      <c r="K291" s="115" t="str">
        <f>IFERROR(IF(D291="","",SUMIF('EXPERIENCIA '!$D$3:$D$672,D291,'EXPERIENCIA '!$AF$3:$AF$672)),"")</f>
        <v/>
      </c>
      <c r="L291" s="111" t="str">
        <f>IF(K291="","",IF(K291=0,0,IF(K291&gt;=PARÁMETROS!$O$5,"CUMPLE","NO CUMPLE")))</f>
        <v/>
      </c>
      <c r="M291" s="158" t="str">
        <f t="shared" si="21"/>
        <v/>
      </c>
      <c r="N291" s="107"/>
      <c r="O291" s="161" t="str">
        <f t="shared" si="22"/>
        <v>N/A</v>
      </c>
      <c r="P291" s="121" t="str">
        <f t="shared" si="23"/>
        <v>NO CUMPLE</v>
      </c>
      <c r="Q291" s="782"/>
      <c r="R291" s="784"/>
      <c r="AN291" s="574">
        <f>IF(COUNTIF(H291:H296,"ACREDITA")&gt;0,1,0)</f>
        <v>0</v>
      </c>
      <c r="AO291" s="574">
        <f>IF(COUNTIF(I291:I296,"ACREDITA")&gt;0,1,0)</f>
        <v>0</v>
      </c>
    </row>
    <row r="292" spans="1:41" ht="23.5" hidden="1" customHeight="1">
      <c r="A292" s="801"/>
      <c r="B292" s="803"/>
      <c r="C292" s="125" t="s">
        <v>513</v>
      </c>
      <c r="D292" s="155"/>
      <c r="E292" s="68"/>
      <c r="F292" s="125"/>
      <c r="G292" s="125"/>
      <c r="H292" s="125"/>
      <c r="I292" s="125"/>
      <c r="J292" s="803"/>
      <c r="K292" s="117" t="str">
        <f>IFERROR(IF(D292="","",SUMIF('EXPERIENCIA '!$D$3:$D$672,D292,'EXPERIENCIA '!$AF$3:$AF$672)),"")</f>
        <v/>
      </c>
      <c r="L292" s="125" t="str">
        <f>IF(K292="","",IF(K292=0,0,IF(K292&gt;=PARÁMETROS!$O$5,"CUMPLE","NO CUMPLE")))</f>
        <v/>
      </c>
      <c r="M292" s="159" t="str">
        <f t="shared" si="21"/>
        <v/>
      </c>
      <c r="N292" s="107"/>
      <c r="O292" s="154" t="str">
        <f t="shared" si="22"/>
        <v>N/A</v>
      </c>
      <c r="P292" s="125" t="str">
        <f t="shared" si="23"/>
        <v>NO CUMPLE</v>
      </c>
      <c r="Q292" s="782"/>
      <c r="R292" s="784"/>
      <c r="AN292" s="781"/>
      <c r="AO292" s="781"/>
    </row>
    <row r="293" spans="1:41" ht="23.5" hidden="1" customHeight="1">
      <c r="A293" s="801"/>
      <c r="B293" s="803"/>
      <c r="C293" s="125" t="s">
        <v>514</v>
      </c>
      <c r="D293" s="155"/>
      <c r="E293" s="68"/>
      <c r="F293" s="125"/>
      <c r="G293" s="125"/>
      <c r="H293" s="125"/>
      <c r="I293" s="125"/>
      <c r="J293" s="803"/>
      <c r="K293" s="117" t="str">
        <f>IFERROR(IF(D293="","",SUMIF('EXPERIENCIA '!$D$3:$D$672,D293,'EXPERIENCIA '!$AF$3:$AF$672)),"")</f>
        <v/>
      </c>
      <c r="L293" s="125" t="str">
        <f>IF(K293="","",IF(K293=0,0,IF(K293&gt;=PARÁMETROS!$O$5,"CUMPLE","NO CUMPLE")))</f>
        <v/>
      </c>
      <c r="M293" s="159" t="str">
        <f t="shared" si="21"/>
        <v/>
      </c>
      <c r="N293" s="107"/>
      <c r="O293" s="154" t="str">
        <f t="shared" si="22"/>
        <v>N/A</v>
      </c>
      <c r="P293" s="125" t="str">
        <f t="shared" si="23"/>
        <v>NO CUMPLE</v>
      </c>
      <c r="Q293" s="782"/>
      <c r="R293" s="784"/>
      <c r="AN293" s="781"/>
      <c r="AO293" s="781"/>
    </row>
    <row r="294" spans="1:41" ht="23.5" hidden="1" customHeight="1">
      <c r="A294" s="801"/>
      <c r="B294" s="803"/>
      <c r="C294" s="125" t="s">
        <v>515</v>
      </c>
      <c r="D294" s="155"/>
      <c r="E294" s="68"/>
      <c r="F294" s="125"/>
      <c r="G294" s="125"/>
      <c r="H294" s="125"/>
      <c r="I294" s="125"/>
      <c r="J294" s="803"/>
      <c r="K294" s="117" t="str">
        <f>IFERROR(IF(D294="","",SUMIF('EXPERIENCIA '!$D$3:$D$672,D294,'EXPERIENCIA '!$AF$3:$AF$672)),"")</f>
        <v/>
      </c>
      <c r="L294" s="125" t="str">
        <f>IF(K294="","",IF(K294=0,0,IF(K294&gt;=PARÁMETROS!$O$5,"CUMPLE","NO CUMPLE")))</f>
        <v/>
      </c>
      <c r="M294" s="159" t="str">
        <f t="shared" si="21"/>
        <v/>
      </c>
      <c r="N294" s="107"/>
      <c r="O294" s="154" t="str">
        <f t="shared" si="22"/>
        <v>N/A</v>
      </c>
      <c r="P294" s="125" t="str">
        <f t="shared" si="23"/>
        <v>NO CUMPLE</v>
      </c>
      <c r="Q294" s="782"/>
      <c r="R294" s="784"/>
      <c r="AN294" s="781"/>
      <c r="AO294" s="781"/>
    </row>
    <row r="295" spans="1:41" ht="23.5" hidden="1" customHeight="1">
      <c r="A295" s="801"/>
      <c r="B295" s="803"/>
      <c r="C295" s="125" t="s">
        <v>516</v>
      </c>
      <c r="D295" s="155"/>
      <c r="E295" s="68"/>
      <c r="F295" s="125"/>
      <c r="G295" s="125"/>
      <c r="H295" s="125"/>
      <c r="I295" s="125"/>
      <c r="J295" s="803"/>
      <c r="K295" s="117" t="str">
        <f>IFERROR(IF(D295="","",SUMIF('EXPERIENCIA '!$D$3:$D$672,D295,'EXPERIENCIA '!$AF$3:$AF$672)),"")</f>
        <v/>
      </c>
      <c r="L295" s="125" t="str">
        <f>IF(K295="","",IF(K295=0,0,IF(K295&gt;=PARÁMETROS!$O$5,"CUMPLE","NO CUMPLE")))</f>
        <v/>
      </c>
      <c r="M295" s="159" t="str">
        <f t="shared" si="21"/>
        <v/>
      </c>
      <c r="N295" s="107"/>
      <c r="O295" s="154" t="str">
        <f t="shared" si="22"/>
        <v>N/A</v>
      </c>
      <c r="P295" s="125" t="str">
        <f t="shared" si="23"/>
        <v>NO CUMPLE</v>
      </c>
      <c r="Q295" s="782"/>
      <c r="R295" s="784"/>
      <c r="AN295" s="781"/>
      <c r="AO295" s="781"/>
    </row>
    <row r="296" spans="1:41" ht="23.5" hidden="1" customHeight="1" thickBot="1">
      <c r="A296" s="802"/>
      <c r="B296" s="804"/>
      <c r="C296" s="133" t="s">
        <v>517</v>
      </c>
      <c r="D296" s="157"/>
      <c r="E296" s="104"/>
      <c r="F296" s="133"/>
      <c r="G296" s="133"/>
      <c r="H296" s="133"/>
      <c r="I296" s="133"/>
      <c r="J296" s="804"/>
      <c r="K296" s="136" t="str">
        <f>IFERROR(IF(D296="","",SUMIF('EXPERIENCIA '!$D$3:$D$672,D296,'EXPERIENCIA '!$AF$3:$AF$672)),"")</f>
        <v/>
      </c>
      <c r="L296" s="133" t="str">
        <f>IF(K296="","",IF(K296=0,0,IF(K296&gt;=PARÁMETROS!$O$5,"CUMPLE","NO CUMPLE")))</f>
        <v/>
      </c>
      <c r="M296" s="160" t="str">
        <f t="shared" si="21"/>
        <v/>
      </c>
      <c r="N296" s="107"/>
      <c r="O296" s="156" t="str">
        <f t="shared" si="22"/>
        <v>N/A</v>
      </c>
      <c r="P296" s="133" t="str">
        <f t="shared" si="23"/>
        <v>NO CUMPLE</v>
      </c>
      <c r="Q296" s="783"/>
      <c r="R296" s="785"/>
      <c r="AN296" s="575"/>
      <c r="AO296" s="575"/>
    </row>
    <row r="297" spans="1:41" ht="23.5" hidden="1" customHeight="1">
      <c r="A297" s="800" t="s">
        <v>311</v>
      </c>
      <c r="B297" s="730"/>
      <c r="C297" s="111" t="s">
        <v>518</v>
      </c>
      <c r="D297" s="153"/>
      <c r="E297" s="113"/>
      <c r="F297" s="111"/>
      <c r="G297" s="111"/>
      <c r="H297" s="111"/>
      <c r="I297" s="111"/>
      <c r="J297" s="730">
        <f>SUM(AN297:AO302)</f>
        <v>0</v>
      </c>
      <c r="K297" s="115" t="str">
        <f>IFERROR(IF(D297="","",SUMIF('EXPERIENCIA '!$D$3:$D$672,D297,'EXPERIENCIA '!$AF$3:$AF$672)),"")</f>
        <v/>
      </c>
      <c r="L297" s="111" t="str">
        <f>IF(K297="","",IF(K297=0,0,IF(K297&gt;=PARÁMETROS!$O$5,"CUMPLE","NO CUMPLE")))</f>
        <v/>
      </c>
      <c r="M297" s="158" t="str">
        <f t="shared" si="21"/>
        <v/>
      </c>
      <c r="N297" s="107"/>
      <c r="O297" s="161" t="str">
        <f t="shared" si="22"/>
        <v>N/A</v>
      </c>
      <c r="P297" s="121" t="str">
        <f t="shared" si="23"/>
        <v>NO CUMPLE</v>
      </c>
      <c r="Q297" s="782"/>
      <c r="R297" s="782"/>
      <c r="AN297" s="574">
        <f>IF(COUNTIF(H297:H302,"ACREDITA")&gt;0,1,0)</f>
        <v>0</v>
      </c>
      <c r="AO297" s="574">
        <f>IF(COUNTIF(I297:I302,"ACREDITA")&gt;0,1,0)</f>
        <v>0</v>
      </c>
    </row>
    <row r="298" spans="1:41" ht="23.5" hidden="1" customHeight="1">
      <c r="A298" s="801"/>
      <c r="B298" s="803"/>
      <c r="C298" s="125" t="s">
        <v>519</v>
      </c>
      <c r="D298" s="155"/>
      <c r="E298" s="68"/>
      <c r="F298" s="125"/>
      <c r="G298" s="125"/>
      <c r="H298" s="125"/>
      <c r="I298" s="125"/>
      <c r="J298" s="803"/>
      <c r="K298" s="117" t="str">
        <f>IFERROR(IF(D298="","",SUMIF('EXPERIENCIA '!$D$3:$D$672,D298,'EXPERIENCIA '!$AF$3:$AF$672)),"")</f>
        <v/>
      </c>
      <c r="L298" s="125" t="str">
        <f>IF(K298="","",IF(K298=0,0,IF(K298&gt;=PARÁMETROS!$O$5,"CUMPLE","NO CUMPLE")))</f>
        <v/>
      </c>
      <c r="M298" s="159" t="str">
        <f t="shared" si="21"/>
        <v/>
      </c>
      <c r="N298" s="107"/>
      <c r="O298" s="154" t="str">
        <f t="shared" si="22"/>
        <v>N/A</v>
      </c>
      <c r="P298" s="125" t="str">
        <f t="shared" si="23"/>
        <v>NO CUMPLE</v>
      </c>
      <c r="Q298" s="782"/>
      <c r="R298" s="782"/>
      <c r="AN298" s="781"/>
      <c r="AO298" s="781"/>
    </row>
    <row r="299" spans="1:41" ht="23.5" hidden="1" customHeight="1">
      <c r="A299" s="801"/>
      <c r="B299" s="803"/>
      <c r="C299" s="125" t="s">
        <v>520</v>
      </c>
      <c r="D299" s="155"/>
      <c r="E299" s="68"/>
      <c r="F299" s="125"/>
      <c r="G299" s="125"/>
      <c r="H299" s="125"/>
      <c r="I299" s="125"/>
      <c r="J299" s="803"/>
      <c r="K299" s="117" t="str">
        <f>IFERROR(IF(D299="","",SUMIF('EXPERIENCIA '!$D$3:$D$672,D299,'EXPERIENCIA '!$AF$3:$AF$672)),"")</f>
        <v/>
      </c>
      <c r="L299" s="125" t="str">
        <f>IF(K299="","",IF(K299=0,0,IF(K299&gt;=PARÁMETROS!$O$5,"CUMPLE","NO CUMPLE")))</f>
        <v/>
      </c>
      <c r="M299" s="159" t="str">
        <f t="shared" si="21"/>
        <v/>
      </c>
      <c r="N299" s="107"/>
      <c r="O299" s="154" t="str">
        <f t="shared" si="22"/>
        <v>N/A</v>
      </c>
      <c r="P299" s="125" t="str">
        <f t="shared" si="23"/>
        <v>NO CUMPLE</v>
      </c>
      <c r="Q299" s="782"/>
      <c r="R299" s="782"/>
      <c r="AN299" s="781"/>
      <c r="AO299" s="781"/>
    </row>
    <row r="300" spans="1:41" ht="23.5" hidden="1" customHeight="1">
      <c r="A300" s="801"/>
      <c r="B300" s="803"/>
      <c r="C300" s="125" t="s">
        <v>521</v>
      </c>
      <c r="D300" s="155"/>
      <c r="E300" s="68"/>
      <c r="F300" s="125"/>
      <c r="G300" s="125"/>
      <c r="H300" s="125"/>
      <c r="I300" s="125"/>
      <c r="J300" s="803"/>
      <c r="K300" s="117" t="str">
        <f>IFERROR(IF(D300="","",SUMIF('EXPERIENCIA '!$D$3:$D$672,D300,'EXPERIENCIA '!$AF$3:$AF$672)),"")</f>
        <v/>
      </c>
      <c r="L300" s="125" t="str">
        <f>IF(K300="","",IF(K300=0,0,IF(K300&gt;=PARÁMETROS!$O$5,"CUMPLE","NO CUMPLE")))</f>
        <v/>
      </c>
      <c r="M300" s="159" t="str">
        <f t="shared" si="21"/>
        <v/>
      </c>
      <c r="N300" s="107"/>
      <c r="O300" s="154" t="str">
        <f t="shared" si="22"/>
        <v>N/A</v>
      </c>
      <c r="P300" s="125" t="str">
        <f t="shared" si="23"/>
        <v>NO CUMPLE</v>
      </c>
      <c r="Q300" s="782"/>
      <c r="R300" s="782"/>
      <c r="AN300" s="781"/>
      <c r="AO300" s="781"/>
    </row>
    <row r="301" spans="1:41" ht="23.5" hidden="1" customHeight="1">
      <c r="A301" s="801"/>
      <c r="B301" s="803"/>
      <c r="C301" s="125" t="s">
        <v>522</v>
      </c>
      <c r="D301" s="155"/>
      <c r="E301" s="68"/>
      <c r="F301" s="125"/>
      <c r="G301" s="125"/>
      <c r="H301" s="125"/>
      <c r="I301" s="125"/>
      <c r="J301" s="803"/>
      <c r="K301" s="117" t="str">
        <f>IFERROR(IF(D301="","",SUMIF('EXPERIENCIA '!$D$3:$D$672,D301,'EXPERIENCIA '!$AF$3:$AF$672)),"")</f>
        <v/>
      </c>
      <c r="L301" s="125" t="str">
        <f>IF(K301="","",IF(K301=0,0,IF(K301&gt;=PARÁMETROS!$O$5,"CUMPLE","NO CUMPLE")))</f>
        <v/>
      </c>
      <c r="M301" s="159" t="str">
        <f t="shared" si="21"/>
        <v/>
      </c>
      <c r="N301" s="107"/>
      <c r="O301" s="154" t="str">
        <f t="shared" si="22"/>
        <v>N/A</v>
      </c>
      <c r="P301" s="125" t="str">
        <f t="shared" si="23"/>
        <v>NO CUMPLE</v>
      </c>
      <c r="Q301" s="782"/>
      <c r="R301" s="782"/>
      <c r="AN301" s="781"/>
      <c r="AO301" s="781"/>
    </row>
    <row r="302" spans="1:41" ht="23.5" hidden="1" customHeight="1" thickBot="1">
      <c r="A302" s="802"/>
      <c r="B302" s="804"/>
      <c r="C302" s="133" t="s">
        <v>523</v>
      </c>
      <c r="D302" s="157"/>
      <c r="E302" s="104"/>
      <c r="F302" s="133"/>
      <c r="G302" s="133"/>
      <c r="H302" s="133"/>
      <c r="I302" s="133"/>
      <c r="J302" s="804"/>
      <c r="K302" s="136" t="str">
        <f>IFERROR(IF(D302="","",SUMIF('EXPERIENCIA '!$D$3:$D$672,D302,'EXPERIENCIA '!$AF$3:$AF$672)),"")</f>
        <v/>
      </c>
      <c r="L302" s="133" t="str">
        <f>IF(K302="","",IF(K302=0,0,IF(K302&gt;=PARÁMETROS!$O$5,"CUMPLE","NO CUMPLE")))</f>
        <v/>
      </c>
      <c r="M302" s="160" t="str">
        <f t="shared" si="21"/>
        <v/>
      </c>
      <c r="N302" s="107"/>
      <c r="O302" s="156" t="str">
        <f t="shared" si="22"/>
        <v>N/A</v>
      </c>
      <c r="P302" s="133" t="str">
        <f t="shared" si="23"/>
        <v>NO CUMPLE</v>
      </c>
      <c r="Q302" s="783"/>
      <c r="R302" s="783"/>
      <c r="AN302" s="575"/>
      <c r="AO302" s="575"/>
    </row>
    <row r="303" spans="1:41" ht="23.5" hidden="1" customHeight="1">
      <c r="A303" s="800" t="s">
        <v>312</v>
      </c>
      <c r="B303" s="730"/>
      <c r="C303" s="111" t="s">
        <v>524</v>
      </c>
      <c r="D303" s="153"/>
      <c r="E303" s="113"/>
      <c r="F303" s="111"/>
      <c r="G303" s="111"/>
      <c r="H303" s="111"/>
      <c r="I303" s="111"/>
      <c r="J303" s="730">
        <f>SUM(AN303:AO308)</f>
        <v>0</v>
      </c>
      <c r="K303" s="115" t="str">
        <f>IFERROR(IF(D303="","",SUMIF('EXPERIENCIA '!$D$3:$D$672,D303,'EXPERIENCIA '!$AF$3:$AF$672)),"")</f>
        <v/>
      </c>
      <c r="L303" s="111" t="str">
        <f>IF(K303="","",IF(K303=0,0,IF(K303&gt;=PARÁMETROS!$O$5,"CUMPLE","NO CUMPLE")))</f>
        <v/>
      </c>
      <c r="M303" s="158" t="str">
        <f t="shared" si="21"/>
        <v/>
      </c>
      <c r="N303" s="107"/>
      <c r="O303" s="161" t="str">
        <f t="shared" si="22"/>
        <v>N/A</v>
      </c>
      <c r="P303" s="121" t="str">
        <f t="shared" si="23"/>
        <v>NO CUMPLE</v>
      </c>
      <c r="Q303" s="782"/>
      <c r="R303" s="782"/>
      <c r="AN303" s="574">
        <f>IF(COUNTIF(H303:H308,"ACREDITA")&gt;0,1,0)</f>
        <v>0</v>
      </c>
      <c r="AO303" s="574">
        <f>IF(COUNTIF(I303:I308,"ACREDITA")&gt;0,1,0)</f>
        <v>0</v>
      </c>
    </row>
    <row r="304" spans="1:41" ht="23.5" hidden="1" customHeight="1">
      <c r="A304" s="801"/>
      <c r="B304" s="803"/>
      <c r="C304" s="125" t="s">
        <v>525</v>
      </c>
      <c r="D304" s="155"/>
      <c r="E304" s="68"/>
      <c r="F304" s="125"/>
      <c r="G304" s="125"/>
      <c r="H304" s="125"/>
      <c r="I304" s="125"/>
      <c r="J304" s="803"/>
      <c r="K304" s="117" t="str">
        <f>IFERROR(IF(D304="","",SUMIF('EXPERIENCIA '!$D$3:$D$672,D304,'EXPERIENCIA '!$AF$3:$AF$672)),"")</f>
        <v/>
      </c>
      <c r="L304" s="125" t="str">
        <f>IF(K304="","",IF(K304=0,0,IF(K304&gt;=PARÁMETROS!$O$5,"CUMPLE","NO CUMPLE")))</f>
        <v/>
      </c>
      <c r="M304" s="159" t="str">
        <f t="shared" si="21"/>
        <v/>
      </c>
      <c r="N304" s="107"/>
      <c r="O304" s="154" t="str">
        <f t="shared" si="22"/>
        <v>N/A</v>
      </c>
      <c r="P304" s="125" t="str">
        <f t="shared" si="23"/>
        <v>NO CUMPLE</v>
      </c>
      <c r="Q304" s="782"/>
      <c r="R304" s="782"/>
      <c r="AN304" s="781"/>
      <c r="AO304" s="781"/>
    </row>
    <row r="305" spans="1:41" ht="23.5" hidden="1" customHeight="1">
      <c r="A305" s="801"/>
      <c r="B305" s="803"/>
      <c r="C305" s="125" t="s">
        <v>526</v>
      </c>
      <c r="D305" s="155"/>
      <c r="E305" s="68"/>
      <c r="F305" s="125"/>
      <c r="G305" s="125"/>
      <c r="H305" s="125"/>
      <c r="I305" s="125"/>
      <c r="J305" s="803"/>
      <c r="K305" s="117" t="str">
        <f>IFERROR(IF(D305="","",SUMIF('EXPERIENCIA '!$D$3:$D$672,D305,'EXPERIENCIA '!$AF$3:$AF$672)),"")</f>
        <v/>
      </c>
      <c r="L305" s="125" t="str">
        <f>IF(K305="","",IF(K305=0,0,IF(K305&gt;=PARÁMETROS!$O$5,"CUMPLE","NO CUMPLE")))</f>
        <v/>
      </c>
      <c r="M305" s="159" t="str">
        <f t="shared" si="21"/>
        <v/>
      </c>
      <c r="N305" s="107"/>
      <c r="O305" s="154" t="str">
        <f t="shared" si="22"/>
        <v>N/A</v>
      </c>
      <c r="P305" s="125" t="str">
        <f t="shared" si="23"/>
        <v>NO CUMPLE</v>
      </c>
      <c r="Q305" s="782"/>
      <c r="R305" s="782"/>
      <c r="AN305" s="781"/>
      <c r="AO305" s="781"/>
    </row>
    <row r="306" spans="1:41" ht="23.5" hidden="1" customHeight="1">
      <c r="A306" s="801"/>
      <c r="B306" s="803"/>
      <c r="C306" s="125" t="s">
        <v>527</v>
      </c>
      <c r="D306" s="155"/>
      <c r="E306" s="68"/>
      <c r="F306" s="125"/>
      <c r="G306" s="125"/>
      <c r="H306" s="125"/>
      <c r="I306" s="125"/>
      <c r="J306" s="803"/>
      <c r="K306" s="117" t="str">
        <f>IFERROR(IF(D306="","",SUMIF('EXPERIENCIA '!$D$3:$D$672,D306,'EXPERIENCIA '!$AF$3:$AF$672)),"")</f>
        <v/>
      </c>
      <c r="L306" s="125" t="str">
        <f>IF(K306="","",IF(K306=0,0,IF(K306&gt;=PARÁMETROS!$O$5,"CUMPLE","NO CUMPLE")))</f>
        <v/>
      </c>
      <c r="M306" s="159" t="str">
        <f t="shared" si="21"/>
        <v/>
      </c>
      <c r="N306" s="107"/>
      <c r="O306" s="154" t="str">
        <f t="shared" si="22"/>
        <v>N/A</v>
      </c>
      <c r="P306" s="125" t="str">
        <f t="shared" si="23"/>
        <v>NO CUMPLE</v>
      </c>
      <c r="Q306" s="782"/>
      <c r="R306" s="782"/>
      <c r="AN306" s="781"/>
      <c r="AO306" s="781"/>
    </row>
    <row r="307" spans="1:41" ht="23.5" hidden="1" customHeight="1">
      <c r="A307" s="801"/>
      <c r="B307" s="803"/>
      <c r="C307" s="125" t="s">
        <v>528</v>
      </c>
      <c r="D307" s="155"/>
      <c r="E307" s="68"/>
      <c r="F307" s="125"/>
      <c r="G307" s="125"/>
      <c r="H307" s="125"/>
      <c r="I307" s="125"/>
      <c r="J307" s="803"/>
      <c r="K307" s="117" t="str">
        <f>IFERROR(IF(D307="","",SUMIF('EXPERIENCIA '!$D$3:$D$672,D307,'EXPERIENCIA '!$AF$3:$AF$672)),"")</f>
        <v/>
      </c>
      <c r="L307" s="125" t="str">
        <f>IF(K307="","",IF(K307=0,0,IF(K307&gt;=PARÁMETROS!$O$5,"CUMPLE","NO CUMPLE")))</f>
        <v/>
      </c>
      <c r="M307" s="159" t="str">
        <f t="shared" si="21"/>
        <v/>
      </c>
      <c r="N307" s="107"/>
      <c r="O307" s="154" t="str">
        <f t="shared" si="22"/>
        <v>N/A</v>
      </c>
      <c r="P307" s="125" t="str">
        <f t="shared" si="23"/>
        <v>NO CUMPLE</v>
      </c>
      <c r="Q307" s="782"/>
      <c r="R307" s="782"/>
      <c r="AN307" s="781"/>
      <c r="AO307" s="781"/>
    </row>
    <row r="308" spans="1:41" ht="23.5" hidden="1" customHeight="1" thickBot="1">
      <c r="A308" s="802"/>
      <c r="B308" s="804"/>
      <c r="C308" s="133" t="s">
        <v>529</v>
      </c>
      <c r="D308" s="157"/>
      <c r="E308" s="104"/>
      <c r="F308" s="133"/>
      <c r="G308" s="133"/>
      <c r="H308" s="133"/>
      <c r="I308" s="133"/>
      <c r="J308" s="804"/>
      <c r="K308" s="136" t="str">
        <f>IFERROR(IF(D308="","",SUMIF('EXPERIENCIA '!$D$3:$D$672,D308,'EXPERIENCIA '!$AF$3:$AF$672)),"")</f>
        <v/>
      </c>
      <c r="L308" s="133" t="str">
        <f>IF(K308="","",IF(K308=0,0,IF(K308&gt;=PARÁMETROS!$O$5,"CUMPLE","NO CUMPLE")))</f>
        <v/>
      </c>
      <c r="M308" s="160" t="str">
        <f t="shared" si="21"/>
        <v/>
      </c>
      <c r="N308" s="107"/>
      <c r="O308" s="156" t="str">
        <f t="shared" si="22"/>
        <v>N/A</v>
      </c>
      <c r="P308" s="133" t="str">
        <f t="shared" si="23"/>
        <v>NO CUMPLE</v>
      </c>
      <c r="Q308" s="783"/>
      <c r="R308" s="783"/>
      <c r="AN308" s="575"/>
      <c r="AO308" s="575"/>
    </row>
    <row r="309" spans="1:41" ht="23.5" hidden="1" customHeight="1">
      <c r="A309" s="800" t="s">
        <v>313</v>
      </c>
      <c r="B309" s="730"/>
      <c r="C309" s="111" t="s">
        <v>530</v>
      </c>
      <c r="D309" s="153"/>
      <c r="E309" s="113"/>
      <c r="F309" s="111"/>
      <c r="G309" s="111"/>
      <c r="H309" s="111"/>
      <c r="I309" s="111"/>
      <c r="J309" s="730">
        <f>SUM(AN309:AO314)</f>
        <v>0</v>
      </c>
      <c r="K309" s="115" t="str">
        <f>IFERROR(IF(D309="","",SUMIF('EXPERIENCIA '!$D$3:$D$672,D309,'EXPERIENCIA '!$AF$3:$AF$672)),"")</f>
        <v/>
      </c>
      <c r="L309" s="111" t="str">
        <f>IF(K309="","",IF(K309=0,0,IF(K309&gt;=PARÁMETROS!$O$5,"CUMPLE","NO CUMPLE")))</f>
        <v/>
      </c>
      <c r="M309" s="158" t="str">
        <f t="shared" si="21"/>
        <v/>
      </c>
      <c r="N309" s="107"/>
      <c r="O309" s="161" t="str">
        <f t="shared" si="22"/>
        <v>N/A</v>
      </c>
      <c r="P309" s="121" t="str">
        <f t="shared" si="23"/>
        <v>NO CUMPLE</v>
      </c>
      <c r="Q309" s="782"/>
      <c r="R309" s="784"/>
      <c r="AN309" s="574">
        <f>IF(COUNTIF(H309:H314,"ACREDITA")&gt;0,1,0)</f>
        <v>0</v>
      </c>
      <c r="AO309" s="574">
        <f>IF(COUNTIF(I309:I314,"ACREDITA")&gt;0,1,0)</f>
        <v>0</v>
      </c>
    </row>
    <row r="310" spans="1:41" ht="23.5" hidden="1" customHeight="1">
      <c r="A310" s="801"/>
      <c r="B310" s="803"/>
      <c r="C310" s="125" t="s">
        <v>531</v>
      </c>
      <c r="D310" s="155"/>
      <c r="E310" s="68"/>
      <c r="F310" s="125"/>
      <c r="G310" s="125"/>
      <c r="H310" s="125"/>
      <c r="I310" s="125"/>
      <c r="J310" s="803"/>
      <c r="K310" s="117" t="str">
        <f>IFERROR(IF(D310="","",SUMIF('EXPERIENCIA '!$D$3:$D$672,D310,'EXPERIENCIA '!$AF$3:$AF$672)),"")</f>
        <v/>
      </c>
      <c r="L310" s="125" t="str">
        <f>IF(K310="","",IF(K310=0,0,IF(K310&gt;=PARÁMETROS!$O$5,"CUMPLE","NO CUMPLE")))</f>
        <v/>
      </c>
      <c r="M310" s="159" t="str">
        <f t="shared" si="21"/>
        <v/>
      </c>
      <c r="N310" s="107"/>
      <c r="O310" s="154" t="str">
        <f t="shared" si="22"/>
        <v>N/A</v>
      </c>
      <c r="P310" s="125" t="str">
        <f t="shared" si="23"/>
        <v>NO CUMPLE</v>
      </c>
      <c r="Q310" s="782"/>
      <c r="R310" s="784"/>
      <c r="AN310" s="781"/>
      <c r="AO310" s="781"/>
    </row>
    <row r="311" spans="1:41" ht="23.5" hidden="1" customHeight="1">
      <c r="A311" s="801"/>
      <c r="B311" s="803"/>
      <c r="C311" s="125" t="s">
        <v>532</v>
      </c>
      <c r="D311" s="155"/>
      <c r="E311" s="68"/>
      <c r="F311" s="125"/>
      <c r="G311" s="125"/>
      <c r="H311" s="125"/>
      <c r="I311" s="125"/>
      <c r="J311" s="803"/>
      <c r="K311" s="117" t="str">
        <f>IFERROR(IF(D311="","",SUMIF('EXPERIENCIA '!$D$3:$D$672,D311,'EXPERIENCIA '!$AF$3:$AF$672)),"")</f>
        <v/>
      </c>
      <c r="L311" s="125" t="str">
        <f>IF(K311="","",IF(K311=0,0,IF(K311&gt;=PARÁMETROS!$O$5,"CUMPLE","NO CUMPLE")))</f>
        <v/>
      </c>
      <c r="M311" s="159" t="str">
        <f t="shared" si="21"/>
        <v/>
      </c>
      <c r="N311" s="107"/>
      <c r="O311" s="154" t="str">
        <f t="shared" si="22"/>
        <v>N/A</v>
      </c>
      <c r="P311" s="125" t="str">
        <f t="shared" si="23"/>
        <v>NO CUMPLE</v>
      </c>
      <c r="Q311" s="782"/>
      <c r="R311" s="784"/>
      <c r="AN311" s="781"/>
      <c r="AO311" s="781"/>
    </row>
    <row r="312" spans="1:41" ht="23.5" hidden="1" customHeight="1">
      <c r="A312" s="801"/>
      <c r="B312" s="803"/>
      <c r="C312" s="125" t="s">
        <v>533</v>
      </c>
      <c r="D312" s="155"/>
      <c r="E312" s="68"/>
      <c r="F312" s="125"/>
      <c r="G312" s="125"/>
      <c r="H312" s="125"/>
      <c r="I312" s="125"/>
      <c r="J312" s="803"/>
      <c r="K312" s="117" t="str">
        <f>IFERROR(IF(D312="","",SUMIF('EXPERIENCIA '!$D$3:$D$672,D312,'EXPERIENCIA '!$AF$3:$AF$672)),"")</f>
        <v/>
      </c>
      <c r="L312" s="125" t="str">
        <f>IF(K312="","",IF(K312=0,0,IF(K312&gt;=PARÁMETROS!$O$5,"CUMPLE","NO CUMPLE")))</f>
        <v/>
      </c>
      <c r="M312" s="159" t="str">
        <f t="shared" si="21"/>
        <v/>
      </c>
      <c r="N312" s="107"/>
      <c r="O312" s="154" t="str">
        <f t="shared" si="22"/>
        <v>N/A</v>
      </c>
      <c r="P312" s="125" t="str">
        <f t="shared" si="23"/>
        <v>NO CUMPLE</v>
      </c>
      <c r="Q312" s="782"/>
      <c r="R312" s="784"/>
      <c r="AN312" s="781"/>
      <c r="AO312" s="781"/>
    </row>
    <row r="313" spans="1:41" ht="23.5" hidden="1" customHeight="1">
      <c r="A313" s="801"/>
      <c r="B313" s="803"/>
      <c r="C313" s="125" t="s">
        <v>534</v>
      </c>
      <c r="D313" s="155"/>
      <c r="E313" s="68"/>
      <c r="F313" s="125"/>
      <c r="G313" s="125"/>
      <c r="H313" s="125"/>
      <c r="I313" s="125"/>
      <c r="J313" s="803"/>
      <c r="K313" s="117" t="str">
        <f>IFERROR(IF(D313="","",SUMIF('EXPERIENCIA '!$D$3:$D$672,D313,'EXPERIENCIA '!$AF$3:$AF$672)),"")</f>
        <v/>
      </c>
      <c r="L313" s="125" t="str">
        <f>IF(K313="","",IF(K313=0,0,IF(K313&gt;=PARÁMETROS!$O$5,"CUMPLE","NO CUMPLE")))</f>
        <v/>
      </c>
      <c r="M313" s="159" t="str">
        <f t="shared" si="21"/>
        <v/>
      </c>
      <c r="N313" s="107"/>
      <c r="O313" s="154" t="str">
        <f t="shared" si="22"/>
        <v>N/A</v>
      </c>
      <c r="P313" s="125" t="str">
        <f t="shared" si="23"/>
        <v>NO CUMPLE</v>
      </c>
      <c r="Q313" s="782"/>
      <c r="R313" s="784"/>
      <c r="AN313" s="781"/>
      <c r="AO313" s="781"/>
    </row>
    <row r="314" spans="1:41" ht="23.5" hidden="1" customHeight="1" thickBot="1">
      <c r="A314" s="802"/>
      <c r="B314" s="804"/>
      <c r="C314" s="133" t="s">
        <v>535</v>
      </c>
      <c r="D314" s="157"/>
      <c r="E314" s="104"/>
      <c r="F314" s="133"/>
      <c r="G314" s="133"/>
      <c r="H314" s="133"/>
      <c r="I314" s="133"/>
      <c r="J314" s="804"/>
      <c r="K314" s="136" t="str">
        <f>IFERROR(IF(D314="","",SUMIF('EXPERIENCIA '!$D$3:$D$672,D314,'EXPERIENCIA '!$AF$3:$AF$672)),"")</f>
        <v/>
      </c>
      <c r="L314" s="133" t="str">
        <f>IF(K314="","",IF(K314=0,0,IF(K314&gt;=PARÁMETROS!$O$5,"CUMPLE","NO CUMPLE")))</f>
        <v/>
      </c>
      <c r="M314" s="160" t="str">
        <f t="shared" si="21"/>
        <v/>
      </c>
      <c r="N314" s="107"/>
      <c r="O314" s="156" t="str">
        <f t="shared" si="22"/>
        <v>N/A</v>
      </c>
      <c r="P314" s="133" t="str">
        <f t="shared" si="23"/>
        <v>NO CUMPLE</v>
      </c>
      <c r="Q314" s="783"/>
      <c r="R314" s="785"/>
      <c r="AN314" s="575"/>
      <c r="AO314" s="575"/>
    </row>
    <row r="315" spans="1:41" ht="23.5" hidden="1" customHeight="1">
      <c r="A315" s="800" t="s">
        <v>314</v>
      </c>
      <c r="B315" s="730"/>
      <c r="C315" s="111" t="s">
        <v>536</v>
      </c>
      <c r="D315" s="153"/>
      <c r="E315" s="113"/>
      <c r="F315" s="111"/>
      <c r="G315" s="111"/>
      <c r="H315" s="111"/>
      <c r="I315" s="111"/>
      <c r="J315" s="730">
        <f>SUM(AN315:AO320)</f>
        <v>0</v>
      </c>
      <c r="K315" s="115" t="str">
        <f>IFERROR(IF(D315="","",SUMIF('EXPERIENCIA '!$D$3:$D$672,D315,'EXPERIENCIA '!$AF$3:$AF$672)),"")</f>
        <v/>
      </c>
      <c r="L315" s="111" t="str">
        <f>IF(K315="","",IF(K315=0,0,IF(K315&gt;=PARÁMETROS!$O$5,"CUMPLE","NO CUMPLE")))</f>
        <v/>
      </c>
      <c r="M315" s="158" t="str">
        <f t="shared" si="21"/>
        <v/>
      </c>
      <c r="N315" s="107"/>
      <c r="O315" s="161" t="str">
        <f t="shared" si="22"/>
        <v>N/A</v>
      </c>
      <c r="P315" s="121" t="str">
        <f t="shared" si="23"/>
        <v>NO CUMPLE</v>
      </c>
      <c r="Q315" s="782"/>
      <c r="R315" s="784"/>
      <c r="AN315" s="574">
        <f>IF(COUNTIF(H315:H320,"ACREDITA")&gt;0,1,0)</f>
        <v>0</v>
      </c>
      <c r="AO315" s="574">
        <f>IF(COUNTIF(I315:I320,"ACREDITA")&gt;0,1,0)</f>
        <v>0</v>
      </c>
    </row>
    <row r="316" spans="1:41" ht="23.5" hidden="1" customHeight="1">
      <c r="A316" s="801"/>
      <c r="B316" s="803"/>
      <c r="C316" s="125" t="s">
        <v>537</v>
      </c>
      <c r="D316" s="155"/>
      <c r="E316" s="68"/>
      <c r="F316" s="125"/>
      <c r="G316" s="125"/>
      <c r="H316" s="125"/>
      <c r="I316" s="125"/>
      <c r="J316" s="803"/>
      <c r="K316" s="117" t="str">
        <f>IFERROR(IF(D316="","",SUMIF('EXPERIENCIA '!$D$3:$D$672,D316,'EXPERIENCIA '!$AF$3:$AF$672)),"")</f>
        <v/>
      </c>
      <c r="L316" s="125" t="str">
        <f>IF(K316="","",IF(K316=0,0,IF(K316&gt;=PARÁMETROS!$O$5,"CUMPLE","NO CUMPLE")))</f>
        <v/>
      </c>
      <c r="M316" s="159" t="str">
        <f t="shared" si="21"/>
        <v/>
      </c>
      <c r="N316" s="107"/>
      <c r="O316" s="154" t="str">
        <f t="shared" si="22"/>
        <v>N/A</v>
      </c>
      <c r="P316" s="125" t="str">
        <f t="shared" si="23"/>
        <v>NO CUMPLE</v>
      </c>
      <c r="Q316" s="782"/>
      <c r="R316" s="784"/>
      <c r="AN316" s="781"/>
      <c r="AO316" s="781"/>
    </row>
    <row r="317" spans="1:41" ht="23.5" hidden="1" customHeight="1">
      <c r="A317" s="801"/>
      <c r="B317" s="803"/>
      <c r="C317" s="125" t="s">
        <v>538</v>
      </c>
      <c r="D317" s="155"/>
      <c r="E317" s="68"/>
      <c r="F317" s="125"/>
      <c r="G317" s="125"/>
      <c r="H317" s="125"/>
      <c r="I317" s="125"/>
      <c r="J317" s="803"/>
      <c r="K317" s="117" t="str">
        <f>IFERROR(IF(D317="","",SUMIF('EXPERIENCIA '!$D$3:$D$672,D317,'EXPERIENCIA '!$AF$3:$AF$672)),"")</f>
        <v/>
      </c>
      <c r="L317" s="125" t="str">
        <f>IF(K317="","",IF(K317=0,0,IF(K317&gt;=PARÁMETROS!$O$5,"CUMPLE","NO CUMPLE")))</f>
        <v/>
      </c>
      <c r="M317" s="159" t="str">
        <f t="shared" si="21"/>
        <v/>
      </c>
      <c r="N317" s="107"/>
      <c r="O317" s="154" t="str">
        <f t="shared" si="22"/>
        <v>N/A</v>
      </c>
      <c r="P317" s="125" t="str">
        <f t="shared" si="23"/>
        <v>NO CUMPLE</v>
      </c>
      <c r="Q317" s="782"/>
      <c r="R317" s="784"/>
      <c r="AN317" s="781"/>
      <c r="AO317" s="781"/>
    </row>
    <row r="318" spans="1:41" ht="23.5" hidden="1" customHeight="1">
      <c r="A318" s="801"/>
      <c r="B318" s="803"/>
      <c r="C318" s="125" t="s">
        <v>539</v>
      </c>
      <c r="D318" s="155"/>
      <c r="E318" s="68"/>
      <c r="F318" s="125"/>
      <c r="G318" s="125"/>
      <c r="H318" s="125"/>
      <c r="I318" s="125"/>
      <c r="J318" s="803"/>
      <c r="K318" s="117" t="str">
        <f>IFERROR(IF(D318="","",SUMIF('EXPERIENCIA '!$D$3:$D$672,D318,'EXPERIENCIA '!$AF$3:$AF$672)),"")</f>
        <v/>
      </c>
      <c r="L318" s="125" t="str">
        <f>IF(K318="","",IF(K318=0,0,IF(K318&gt;=PARÁMETROS!$O$5,"CUMPLE","NO CUMPLE")))</f>
        <v/>
      </c>
      <c r="M318" s="159" t="str">
        <f t="shared" si="21"/>
        <v/>
      </c>
      <c r="N318" s="107"/>
      <c r="O318" s="154" t="str">
        <f t="shared" si="22"/>
        <v>N/A</v>
      </c>
      <c r="P318" s="125" t="str">
        <f t="shared" si="23"/>
        <v>NO CUMPLE</v>
      </c>
      <c r="Q318" s="782"/>
      <c r="R318" s="784"/>
      <c r="AN318" s="781"/>
      <c r="AO318" s="781"/>
    </row>
    <row r="319" spans="1:41" ht="23.5" hidden="1" customHeight="1">
      <c r="A319" s="801"/>
      <c r="B319" s="803"/>
      <c r="C319" s="125" t="s">
        <v>540</v>
      </c>
      <c r="D319" s="155"/>
      <c r="E319" s="68"/>
      <c r="F319" s="125"/>
      <c r="G319" s="125"/>
      <c r="H319" s="125"/>
      <c r="I319" s="125"/>
      <c r="J319" s="803"/>
      <c r="K319" s="117" t="str">
        <f>IFERROR(IF(D319="","",SUMIF('EXPERIENCIA '!$D$3:$D$672,D319,'EXPERIENCIA '!$AF$3:$AF$672)),"")</f>
        <v/>
      </c>
      <c r="L319" s="125" t="str">
        <f>IF(K319="","",IF(K319=0,0,IF(K319&gt;=PARÁMETROS!$O$5,"CUMPLE","NO CUMPLE")))</f>
        <v/>
      </c>
      <c r="M319" s="159" t="str">
        <f t="shared" si="21"/>
        <v/>
      </c>
      <c r="N319" s="107"/>
      <c r="O319" s="154" t="str">
        <f t="shared" si="22"/>
        <v>N/A</v>
      </c>
      <c r="P319" s="125" t="str">
        <f t="shared" si="23"/>
        <v>NO CUMPLE</v>
      </c>
      <c r="Q319" s="782"/>
      <c r="R319" s="784"/>
      <c r="AN319" s="781"/>
      <c r="AO319" s="781"/>
    </row>
    <row r="320" spans="1:41" ht="23.5" hidden="1" customHeight="1" thickBot="1">
      <c r="A320" s="802"/>
      <c r="B320" s="804"/>
      <c r="C320" s="133" t="s">
        <v>541</v>
      </c>
      <c r="D320" s="157"/>
      <c r="E320" s="104"/>
      <c r="F320" s="133"/>
      <c r="G320" s="133"/>
      <c r="H320" s="133"/>
      <c r="I320" s="133"/>
      <c r="J320" s="804"/>
      <c r="K320" s="136" t="str">
        <f>IFERROR(IF(D320="","",SUMIF('EXPERIENCIA '!$D$3:$D$672,D320,'EXPERIENCIA '!$AF$3:$AF$672)),"")</f>
        <v/>
      </c>
      <c r="L320" s="133" t="str">
        <f>IF(K320="","",IF(K320=0,0,IF(K320&gt;=PARÁMETROS!$O$5,"CUMPLE","NO CUMPLE")))</f>
        <v/>
      </c>
      <c r="M320" s="160" t="str">
        <f t="shared" si="21"/>
        <v/>
      </c>
      <c r="N320" s="107"/>
      <c r="O320" s="156" t="str">
        <f t="shared" si="22"/>
        <v>N/A</v>
      </c>
      <c r="P320" s="133" t="str">
        <f t="shared" si="23"/>
        <v>NO CUMPLE</v>
      </c>
      <c r="Q320" s="783"/>
      <c r="R320" s="785"/>
      <c r="AN320" s="575"/>
      <c r="AO320" s="575"/>
    </row>
    <row r="321" spans="1:41" ht="23.5" hidden="1" customHeight="1">
      <c r="A321" s="800" t="s">
        <v>315</v>
      </c>
      <c r="B321" s="730"/>
      <c r="C321" s="111" t="s">
        <v>542</v>
      </c>
      <c r="D321" s="153"/>
      <c r="E321" s="113"/>
      <c r="F321" s="111"/>
      <c r="G321" s="111"/>
      <c r="H321" s="111"/>
      <c r="I321" s="111"/>
      <c r="J321" s="730">
        <f>SUM(AN321:AO326)</f>
        <v>0</v>
      </c>
      <c r="K321" s="115" t="str">
        <f>IFERROR(IF(D321="","",SUMIF('EXPERIENCIA '!$D$3:$D$672,D321,'EXPERIENCIA '!$AF$3:$AF$672)),"")</f>
        <v/>
      </c>
      <c r="L321" s="111" t="str">
        <f>IF(K321="","",IF(K321=0,0,IF(K321&gt;=PARÁMETROS!$O$5,"CUMPLE","NO CUMPLE")))</f>
        <v/>
      </c>
      <c r="M321" s="158" t="str">
        <f t="shared" si="21"/>
        <v/>
      </c>
      <c r="N321" s="107"/>
      <c r="O321" s="161" t="str">
        <f t="shared" si="22"/>
        <v>N/A</v>
      </c>
      <c r="P321" s="121" t="str">
        <f t="shared" si="23"/>
        <v>NO CUMPLE</v>
      </c>
      <c r="Q321" s="782"/>
      <c r="R321" s="784"/>
      <c r="AN321" s="574">
        <f>IF(COUNTIF(H321:H326,"ACREDITA")&gt;0,1,0)</f>
        <v>0</v>
      </c>
      <c r="AO321" s="574">
        <f>IF(COUNTIF(I321:I326,"ACREDITA")&gt;0,1,0)</f>
        <v>0</v>
      </c>
    </row>
    <row r="322" spans="1:41" ht="23.5" hidden="1" customHeight="1">
      <c r="A322" s="801"/>
      <c r="B322" s="803"/>
      <c r="C322" s="125" t="s">
        <v>543</v>
      </c>
      <c r="D322" s="155"/>
      <c r="E322" s="68"/>
      <c r="F322" s="125"/>
      <c r="G322" s="125"/>
      <c r="H322" s="125"/>
      <c r="I322" s="125"/>
      <c r="J322" s="803"/>
      <c r="K322" s="117" t="str">
        <f>IFERROR(IF(D322="","",SUMIF('EXPERIENCIA '!$D$3:$D$672,D322,'EXPERIENCIA '!$AF$3:$AF$672)),"")</f>
        <v/>
      </c>
      <c r="L322" s="125" t="str">
        <f>IF(K322="","",IF(K322=0,0,IF(K322&gt;=PARÁMETROS!$O$5,"CUMPLE","NO CUMPLE")))</f>
        <v/>
      </c>
      <c r="M322" s="159" t="str">
        <f t="shared" si="21"/>
        <v/>
      </c>
      <c r="N322" s="107"/>
      <c r="O322" s="154" t="str">
        <f t="shared" si="22"/>
        <v>N/A</v>
      </c>
      <c r="P322" s="125" t="str">
        <f t="shared" si="23"/>
        <v>NO CUMPLE</v>
      </c>
      <c r="Q322" s="782"/>
      <c r="R322" s="784"/>
      <c r="AN322" s="781"/>
      <c r="AO322" s="781"/>
    </row>
    <row r="323" spans="1:41" ht="23.5" hidden="1" customHeight="1">
      <c r="A323" s="801"/>
      <c r="B323" s="803"/>
      <c r="C323" s="125" t="s">
        <v>544</v>
      </c>
      <c r="D323" s="155"/>
      <c r="E323" s="68"/>
      <c r="F323" s="125"/>
      <c r="G323" s="125"/>
      <c r="H323" s="125"/>
      <c r="I323" s="125"/>
      <c r="J323" s="803"/>
      <c r="K323" s="117" t="str">
        <f>IFERROR(IF(D323="","",SUMIF('EXPERIENCIA '!$D$3:$D$672,D323,'EXPERIENCIA '!$AF$3:$AF$672)),"")</f>
        <v/>
      </c>
      <c r="L323" s="125" t="str">
        <f>IF(K323="","",IF(K323=0,0,IF(K323&gt;=PARÁMETROS!$O$5,"CUMPLE","NO CUMPLE")))</f>
        <v/>
      </c>
      <c r="M323" s="159" t="str">
        <f t="shared" si="21"/>
        <v/>
      </c>
      <c r="N323" s="107"/>
      <c r="O323" s="154" t="str">
        <f t="shared" si="22"/>
        <v>N/A</v>
      </c>
      <c r="P323" s="125" t="str">
        <f t="shared" si="23"/>
        <v>NO CUMPLE</v>
      </c>
      <c r="Q323" s="782"/>
      <c r="R323" s="784"/>
      <c r="AN323" s="781"/>
      <c r="AO323" s="781"/>
    </row>
    <row r="324" spans="1:41" ht="23.5" hidden="1" customHeight="1">
      <c r="A324" s="801"/>
      <c r="B324" s="803"/>
      <c r="C324" s="125" t="s">
        <v>545</v>
      </c>
      <c r="D324" s="155"/>
      <c r="E324" s="68"/>
      <c r="F324" s="125"/>
      <c r="G324" s="125"/>
      <c r="H324" s="125"/>
      <c r="I324" s="125"/>
      <c r="J324" s="803"/>
      <c r="K324" s="117" t="str">
        <f>IFERROR(IF(D324="","",SUMIF('EXPERIENCIA '!$D$3:$D$672,D324,'EXPERIENCIA '!$AF$3:$AF$672)),"")</f>
        <v/>
      </c>
      <c r="L324" s="125" t="str">
        <f>IF(K324="","",IF(K324=0,0,IF(K324&gt;=PARÁMETROS!$O$5,"CUMPLE","NO CUMPLE")))</f>
        <v/>
      </c>
      <c r="M324" s="159" t="str">
        <f t="shared" si="21"/>
        <v/>
      </c>
      <c r="N324" s="107"/>
      <c r="O324" s="154" t="str">
        <f t="shared" si="22"/>
        <v>N/A</v>
      </c>
      <c r="P324" s="125" t="str">
        <f t="shared" si="23"/>
        <v>NO CUMPLE</v>
      </c>
      <c r="Q324" s="782"/>
      <c r="R324" s="784"/>
      <c r="AN324" s="781"/>
      <c r="AO324" s="781"/>
    </row>
    <row r="325" spans="1:41" ht="23.5" hidden="1" customHeight="1">
      <c r="A325" s="801"/>
      <c r="B325" s="803"/>
      <c r="C325" s="125" t="s">
        <v>546</v>
      </c>
      <c r="D325" s="155"/>
      <c r="E325" s="68"/>
      <c r="F325" s="125"/>
      <c r="G325" s="125"/>
      <c r="H325" s="125"/>
      <c r="I325" s="125"/>
      <c r="J325" s="803"/>
      <c r="K325" s="117" t="str">
        <f>IFERROR(IF(D325="","",SUMIF('EXPERIENCIA '!$D$3:$D$672,D325,'EXPERIENCIA '!$AF$3:$AF$672)),"")</f>
        <v/>
      </c>
      <c r="L325" s="125" t="str">
        <f>IF(K325="","",IF(K325=0,0,IF(K325&gt;=PARÁMETROS!$O$5,"CUMPLE","NO CUMPLE")))</f>
        <v/>
      </c>
      <c r="M325" s="159" t="str">
        <f t="shared" si="21"/>
        <v/>
      </c>
      <c r="N325" s="107"/>
      <c r="O325" s="154" t="str">
        <f t="shared" si="22"/>
        <v>N/A</v>
      </c>
      <c r="P325" s="125" t="str">
        <f t="shared" si="23"/>
        <v>NO CUMPLE</v>
      </c>
      <c r="Q325" s="782"/>
      <c r="R325" s="784"/>
      <c r="AN325" s="781"/>
      <c r="AO325" s="781"/>
    </row>
    <row r="326" spans="1:41" ht="23.5" hidden="1" customHeight="1" thickBot="1">
      <c r="A326" s="802"/>
      <c r="B326" s="804"/>
      <c r="C326" s="133" t="s">
        <v>547</v>
      </c>
      <c r="D326" s="157"/>
      <c r="E326" s="104"/>
      <c r="F326" s="133"/>
      <c r="G326" s="133"/>
      <c r="H326" s="133"/>
      <c r="I326" s="133"/>
      <c r="J326" s="804"/>
      <c r="K326" s="136" t="str">
        <f>IFERROR(IF(D326="","",SUMIF('EXPERIENCIA '!$D$3:$D$672,D326,'EXPERIENCIA '!$AF$3:$AF$672)),"")</f>
        <v/>
      </c>
      <c r="L326" s="133" t="str">
        <f>IF(K326="","",IF(K326=0,0,IF(K326&gt;=PARÁMETROS!$O$5,"CUMPLE","NO CUMPLE")))</f>
        <v/>
      </c>
      <c r="M326" s="160" t="str">
        <f t="shared" si="21"/>
        <v/>
      </c>
      <c r="N326" s="107"/>
      <c r="O326" s="156" t="str">
        <f t="shared" si="22"/>
        <v>N/A</v>
      </c>
      <c r="P326" s="133" t="str">
        <f t="shared" si="23"/>
        <v>NO CUMPLE</v>
      </c>
      <c r="Q326" s="783"/>
      <c r="R326" s="785"/>
      <c r="AN326" s="575"/>
      <c r="AO326" s="575"/>
    </row>
    <row r="327" spans="1:41" ht="23.5" hidden="1" customHeight="1">
      <c r="A327" s="800" t="s">
        <v>316</v>
      </c>
      <c r="B327" s="730"/>
      <c r="C327" s="111" t="s">
        <v>548</v>
      </c>
      <c r="D327" s="153"/>
      <c r="E327" s="113"/>
      <c r="F327" s="111"/>
      <c r="G327" s="111"/>
      <c r="H327" s="111"/>
      <c r="I327" s="111"/>
      <c r="J327" s="730">
        <f>SUM(AN327:AO332)</f>
        <v>0</v>
      </c>
      <c r="K327" s="115" t="str">
        <f>IFERROR(IF(D327="","",SUMIF('EXPERIENCIA '!$D$3:$D$672,D327,'EXPERIENCIA '!$AF$3:$AF$672)),"")</f>
        <v/>
      </c>
      <c r="L327" s="111" t="str">
        <f>IF(K327="","",IF(K327=0,0,IF(K327&gt;=PARÁMETROS!$O$5,"CUMPLE","NO CUMPLE")))</f>
        <v/>
      </c>
      <c r="M327" s="158" t="str">
        <f t="shared" si="21"/>
        <v/>
      </c>
      <c r="N327" s="107"/>
      <c r="O327" s="161" t="str">
        <f t="shared" si="22"/>
        <v>N/A</v>
      </c>
      <c r="P327" s="121" t="str">
        <f t="shared" si="23"/>
        <v>NO CUMPLE</v>
      </c>
      <c r="Q327" s="782"/>
      <c r="R327" s="784"/>
      <c r="AN327" s="574">
        <f>IF(COUNTIF(H327:H332,"ACREDITA")&gt;0,1,0)</f>
        <v>0</v>
      </c>
      <c r="AO327" s="574">
        <f>IF(COUNTIF(I327:I332,"ACREDITA")&gt;0,1,0)</f>
        <v>0</v>
      </c>
    </row>
    <row r="328" spans="1:41" ht="23.5" hidden="1" customHeight="1">
      <c r="A328" s="801"/>
      <c r="B328" s="803"/>
      <c r="C328" s="125" t="s">
        <v>549</v>
      </c>
      <c r="D328" s="155"/>
      <c r="E328" s="68"/>
      <c r="F328" s="125"/>
      <c r="G328" s="125"/>
      <c r="H328" s="125"/>
      <c r="I328" s="125"/>
      <c r="J328" s="803"/>
      <c r="K328" s="117" t="str">
        <f>IFERROR(IF(D328="","",SUMIF('EXPERIENCIA '!$D$3:$D$672,D328,'EXPERIENCIA '!$AF$3:$AF$672)),"")</f>
        <v/>
      </c>
      <c r="L328" s="125" t="str">
        <f>IF(K328="","",IF(K328=0,0,IF(K328&gt;=PARÁMETROS!$O$5,"CUMPLE","NO CUMPLE")))</f>
        <v/>
      </c>
      <c r="M328" s="159" t="str">
        <f t="shared" si="21"/>
        <v/>
      </c>
      <c r="N328" s="107"/>
      <c r="O328" s="154" t="str">
        <f t="shared" si="22"/>
        <v>N/A</v>
      </c>
      <c r="P328" s="125" t="str">
        <f t="shared" si="23"/>
        <v>NO CUMPLE</v>
      </c>
      <c r="Q328" s="782"/>
      <c r="R328" s="784"/>
      <c r="AN328" s="781"/>
      <c r="AO328" s="781"/>
    </row>
    <row r="329" spans="1:41" ht="23.5" hidden="1" customHeight="1">
      <c r="A329" s="801"/>
      <c r="B329" s="803"/>
      <c r="C329" s="125" t="s">
        <v>550</v>
      </c>
      <c r="D329" s="155"/>
      <c r="E329" s="68"/>
      <c r="F329" s="125"/>
      <c r="G329" s="125"/>
      <c r="H329" s="125"/>
      <c r="I329" s="125"/>
      <c r="J329" s="803"/>
      <c r="K329" s="117" t="str">
        <f>IFERROR(IF(D329="","",SUMIF('EXPERIENCIA '!$D$3:$D$672,D329,'EXPERIENCIA '!$AF$3:$AF$672)),"")</f>
        <v/>
      </c>
      <c r="L329" s="125" t="str">
        <f>IF(K329="","",IF(K329=0,0,IF(K329&gt;=PARÁMETROS!$O$5,"CUMPLE","NO CUMPLE")))</f>
        <v/>
      </c>
      <c r="M329" s="159" t="str">
        <f t="shared" si="21"/>
        <v/>
      </c>
      <c r="N329" s="107"/>
      <c r="O329" s="154" t="str">
        <f t="shared" si="22"/>
        <v>N/A</v>
      </c>
      <c r="P329" s="125" t="str">
        <f t="shared" si="23"/>
        <v>NO CUMPLE</v>
      </c>
      <c r="Q329" s="782"/>
      <c r="R329" s="784"/>
      <c r="AN329" s="781"/>
      <c r="AO329" s="781"/>
    </row>
    <row r="330" spans="1:41" ht="23.5" hidden="1" customHeight="1">
      <c r="A330" s="801"/>
      <c r="B330" s="803"/>
      <c r="C330" s="125" t="s">
        <v>551</v>
      </c>
      <c r="D330" s="155"/>
      <c r="E330" s="68"/>
      <c r="F330" s="125"/>
      <c r="G330" s="125"/>
      <c r="H330" s="125"/>
      <c r="I330" s="125"/>
      <c r="J330" s="803"/>
      <c r="K330" s="117" t="str">
        <f>IFERROR(IF(D330="","",SUMIF('EXPERIENCIA '!$D$3:$D$672,D330,'EXPERIENCIA '!$AF$3:$AF$672)),"")</f>
        <v/>
      </c>
      <c r="L330" s="125" t="str">
        <f>IF(K330="","",IF(K330=0,0,IF(K330&gt;=PARÁMETROS!$O$5,"CUMPLE","NO CUMPLE")))</f>
        <v/>
      </c>
      <c r="M330" s="159" t="str">
        <f t="shared" si="21"/>
        <v/>
      </c>
      <c r="N330" s="107"/>
      <c r="O330" s="154" t="str">
        <f t="shared" si="22"/>
        <v>N/A</v>
      </c>
      <c r="P330" s="125" t="str">
        <f t="shared" si="23"/>
        <v>NO CUMPLE</v>
      </c>
      <c r="Q330" s="782"/>
      <c r="R330" s="784"/>
      <c r="AN330" s="781"/>
      <c r="AO330" s="781"/>
    </row>
    <row r="331" spans="1:41" ht="23.5" hidden="1" customHeight="1">
      <c r="A331" s="801"/>
      <c r="B331" s="803"/>
      <c r="C331" s="125" t="s">
        <v>552</v>
      </c>
      <c r="D331" s="155"/>
      <c r="E331" s="68"/>
      <c r="F331" s="125"/>
      <c r="G331" s="125"/>
      <c r="H331" s="125"/>
      <c r="I331" s="125"/>
      <c r="J331" s="803"/>
      <c r="K331" s="117" t="str">
        <f>IFERROR(IF(D331="","",SUMIF('EXPERIENCIA '!$D$3:$D$672,D331,'EXPERIENCIA '!$AF$3:$AF$672)),"")</f>
        <v/>
      </c>
      <c r="L331" s="125" t="str">
        <f>IF(K331="","",IF(K331=0,0,IF(K331&gt;=PARÁMETROS!$O$5,"CUMPLE","NO CUMPLE")))</f>
        <v/>
      </c>
      <c r="M331" s="159" t="str">
        <f t="shared" si="21"/>
        <v/>
      </c>
      <c r="N331" s="107"/>
      <c r="O331" s="154" t="str">
        <f t="shared" si="22"/>
        <v>N/A</v>
      </c>
      <c r="P331" s="125" t="str">
        <f t="shared" si="23"/>
        <v>NO CUMPLE</v>
      </c>
      <c r="Q331" s="782"/>
      <c r="R331" s="784"/>
      <c r="AN331" s="781"/>
      <c r="AO331" s="781"/>
    </row>
    <row r="332" spans="1:41" ht="23.5" hidden="1" customHeight="1" thickBot="1">
      <c r="A332" s="802"/>
      <c r="B332" s="804"/>
      <c r="C332" s="133" t="s">
        <v>553</v>
      </c>
      <c r="D332" s="157"/>
      <c r="E332" s="104"/>
      <c r="F332" s="133"/>
      <c r="G332" s="133"/>
      <c r="H332" s="133"/>
      <c r="I332" s="133"/>
      <c r="J332" s="804"/>
      <c r="K332" s="136" t="str">
        <f>IFERROR(IF(D332="","",SUMIF('EXPERIENCIA '!$D$3:$D$672,D332,'EXPERIENCIA '!$AF$3:$AF$672)),"")</f>
        <v/>
      </c>
      <c r="L332" s="133" t="str">
        <f>IF(K332="","",IF(K332=0,0,IF(K332&gt;=PARÁMETROS!$O$5,"CUMPLE","NO CUMPLE")))</f>
        <v/>
      </c>
      <c r="M332" s="160" t="str">
        <f t="shared" si="21"/>
        <v/>
      </c>
      <c r="N332" s="107"/>
      <c r="O332" s="156" t="str">
        <f t="shared" si="22"/>
        <v>N/A</v>
      </c>
      <c r="P332" s="133" t="str">
        <f t="shared" si="23"/>
        <v>NO CUMPLE</v>
      </c>
      <c r="Q332" s="783"/>
      <c r="R332" s="785"/>
      <c r="AN332" s="575"/>
      <c r="AO332" s="575"/>
    </row>
    <row r="333" spans="1:41" ht="23.5" hidden="1" customHeight="1">
      <c r="A333" s="800" t="s">
        <v>317</v>
      </c>
      <c r="B333" s="730"/>
      <c r="C333" s="111" t="s">
        <v>554</v>
      </c>
      <c r="D333" s="153"/>
      <c r="E333" s="113"/>
      <c r="F333" s="111"/>
      <c r="G333" s="111"/>
      <c r="H333" s="111"/>
      <c r="I333" s="111"/>
      <c r="J333" s="730">
        <f>SUM(AN333:AO338)</f>
        <v>0</v>
      </c>
      <c r="K333" s="115" t="str">
        <f>IFERROR(IF(D333="","",SUMIF('EXPERIENCIA '!$D$3:$D$672,D333,'EXPERIENCIA '!$AF$3:$AF$672)),"")</f>
        <v/>
      </c>
      <c r="L333" s="111" t="str">
        <f>IF(K333="","",IF(K333=0,0,IF(K333&gt;=PARÁMETROS!$O$5,"CUMPLE","NO CUMPLE")))</f>
        <v/>
      </c>
      <c r="M333" s="158" t="str">
        <f t="shared" ref="M333:M338" si="24">+IF(G333="ACREDITA",IF(L333="CUMPLE","CUMPLE","NO CUMPLE"),"")</f>
        <v/>
      </c>
      <c r="N333" s="107"/>
      <c r="O333" s="161" t="str">
        <f t="shared" ref="O333:O338" si="25">IFERROR(IF(OR(G333="",G333="N/A",G333="NO APLICA"),"N/A",IFERROR(IF(K333=0,"",IF(K333&gt;=PDMI,"CUMPLE","NO CUMPLE")),"")),"")</f>
        <v>N/A</v>
      </c>
      <c r="P333" s="121" t="str">
        <f t="shared" ref="P333:P338" si="26">IFERROR(IF(O333="N/A","NO CUMPLE",IFERROR(IF(G333="ACREDITA",IF(O333="CUMPLE","CUMPLE","NO CUMPLE"),""),"")),"")</f>
        <v>NO CUMPLE</v>
      </c>
      <c r="Q333" s="782"/>
      <c r="R333" s="784"/>
      <c r="AN333" s="574">
        <f>IF(COUNTIF(H333:H338,"ACREDITA")&gt;0,1,0)</f>
        <v>0</v>
      </c>
      <c r="AO333" s="574">
        <f>IF(COUNTIF(I333:I338,"ACREDITA")&gt;0,1,0)</f>
        <v>0</v>
      </c>
    </row>
    <row r="334" spans="1:41" ht="23.5" hidden="1" customHeight="1">
      <c r="A334" s="801"/>
      <c r="B334" s="803"/>
      <c r="C334" s="125" t="s">
        <v>555</v>
      </c>
      <c r="D334" s="155"/>
      <c r="E334" s="68"/>
      <c r="F334" s="125"/>
      <c r="G334" s="125"/>
      <c r="H334" s="125"/>
      <c r="I334" s="125"/>
      <c r="J334" s="803"/>
      <c r="K334" s="117" t="str">
        <f>IFERROR(IF(D334="","",SUMIF('EXPERIENCIA '!$D$3:$D$672,D334,'EXPERIENCIA '!$AF$3:$AF$672)),"")</f>
        <v/>
      </c>
      <c r="L334" s="125" t="str">
        <f>IF(K334="","",IF(K334=0,0,IF(K334&gt;=PARÁMETROS!$O$5,"CUMPLE","NO CUMPLE")))</f>
        <v/>
      </c>
      <c r="M334" s="159" t="str">
        <f t="shared" si="24"/>
        <v/>
      </c>
      <c r="N334" s="107"/>
      <c r="O334" s="154" t="str">
        <f t="shared" si="25"/>
        <v>N/A</v>
      </c>
      <c r="P334" s="125" t="str">
        <f t="shared" si="26"/>
        <v>NO CUMPLE</v>
      </c>
      <c r="Q334" s="782"/>
      <c r="R334" s="784"/>
      <c r="AN334" s="781"/>
      <c r="AO334" s="781"/>
    </row>
    <row r="335" spans="1:41" ht="23.5" hidden="1" customHeight="1">
      <c r="A335" s="801"/>
      <c r="B335" s="803"/>
      <c r="C335" s="125" t="s">
        <v>556</v>
      </c>
      <c r="D335" s="155"/>
      <c r="E335" s="68"/>
      <c r="F335" s="125"/>
      <c r="G335" s="125"/>
      <c r="H335" s="125"/>
      <c r="I335" s="125"/>
      <c r="J335" s="803"/>
      <c r="K335" s="117" t="str">
        <f>IFERROR(IF(D335="","",SUMIF('EXPERIENCIA '!$D$3:$D$672,D335,'EXPERIENCIA '!$AF$3:$AF$672)),"")</f>
        <v/>
      </c>
      <c r="L335" s="125" t="str">
        <f>IF(K335="","",IF(K335=0,0,IF(K335&gt;=PARÁMETROS!$O$5,"CUMPLE","NO CUMPLE")))</f>
        <v/>
      </c>
      <c r="M335" s="159" t="str">
        <f t="shared" si="24"/>
        <v/>
      </c>
      <c r="N335" s="107"/>
      <c r="O335" s="154" t="str">
        <f t="shared" si="25"/>
        <v>N/A</v>
      </c>
      <c r="P335" s="125" t="str">
        <f t="shared" si="26"/>
        <v>NO CUMPLE</v>
      </c>
      <c r="Q335" s="782"/>
      <c r="R335" s="784"/>
      <c r="AN335" s="781"/>
      <c r="AO335" s="781"/>
    </row>
    <row r="336" spans="1:41" ht="23.5" hidden="1" customHeight="1">
      <c r="A336" s="801"/>
      <c r="B336" s="803"/>
      <c r="C336" s="125" t="s">
        <v>557</v>
      </c>
      <c r="D336" s="155"/>
      <c r="E336" s="68"/>
      <c r="F336" s="125"/>
      <c r="G336" s="125"/>
      <c r="H336" s="125"/>
      <c r="I336" s="125"/>
      <c r="J336" s="803"/>
      <c r="K336" s="117" t="str">
        <f>IFERROR(IF(D336="","",SUMIF('EXPERIENCIA '!$D$3:$D$672,D336,'EXPERIENCIA '!$AF$3:$AF$672)),"")</f>
        <v/>
      </c>
      <c r="L336" s="125" t="str">
        <f>IF(K336="","",IF(K336=0,0,IF(K336&gt;=PARÁMETROS!$O$5,"CUMPLE","NO CUMPLE")))</f>
        <v/>
      </c>
      <c r="M336" s="159" t="str">
        <f t="shared" si="24"/>
        <v/>
      </c>
      <c r="N336" s="107"/>
      <c r="O336" s="154" t="str">
        <f t="shared" si="25"/>
        <v>N/A</v>
      </c>
      <c r="P336" s="125" t="str">
        <f t="shared" si="26"/>
        <v>NO CUMPLE</v>
      </c>
      <c r="Q336" s="782"/>
      <c r="R336" s="784"/>
      <c r="AN336" s="781"/>
      <c r="AO336" s="781"/>
    </row>
    <row r="337" spans="1:41" ht="23.5" hidden="1" customHeight="1">
      <c r="A337" s="801"/>
      <c r="B337" s="803"/>
      <c r="C337" s="125" t="s">
        <v>558</v>
      </c>
      <c r="D337" s="155"/>
      <c r="E337" s="68"/>
      <c r="F337" s="125"/>
      <c r="G337" s="125"/>
      <c r="H337" s="125"/>
      <c r="I337" s="125"/>
      <c r="J337" s="803"/>
      <c r="K337" s="117" t="str">
        <f>IFERROR(IF(D337="","",SUMIF('EXPERIENCIA '!$D$3:$D$672,D337,'EXPERIENCIA '!$AF$3:$AF$672)),"")</f>
        <v/>
      </c>
      <c r="L337" s="125" t="str">
        <f>IF(K337="","",IF(K337=0,0,IF(K337&gt;=PARÁMETROS!$O$5,"CUMPLE","NO CUMPLE")))</f>
        <v/>
      </c>
      <c r="M337" s="159" t="str">
        <f t="shared" si="24"/>
        <v/>
      </c>
      <c r="N337" s="107"/>
      <c r="O337" s="154" t="str">
        <f t="shared" si="25"/>
        <v>N/A</v>
      </c>
      <c r="P337" s="125" t="str">
        <f t="shared" si="26"/>
        <v>NO CUMPLE</v>
      </c>
      <c r="Q337" s="782"/>
      <c r="R337" s="784"/>
      <c r="AN337" s="781"/>
      <c r="AO337" s="781"/>
    </row>
    <row r="338" spans="1:41" ht="23.5" hidden="1" customHeight="1" thickBot="1">
      <c r="A338" s="802"/>
      <c r="B338" s="804"/>
      <c r="C338" s="133" t="s">
        <v>559</v>
      </c>
      <c r="D338" s="157"/>
      <c r="E338" s="104"/>
      <c r="F338" s="133"/>
      <c r="G338" s="133"/>
      <c r="H338" s="133"/>
      <c r="I338" s="133"/>
      <c r="J338" s="804"/>
      <c r="K338" s="136" t="str">
        <f>IFERROR(IF(D338="","",SUMIF('EXPERIENCIA '!$D$3:$D$672,D338,'EXPERIENCIA '!$AF$3:$AF$672)),"")</f>
        <v/>
      </c>
      <c r="L338" s="133" t="str">
        <f>IF(K338="","",IF(K338=0,0,IF(K338&gt;=PARÁMETROS!$O$5,"CUMPLE","NO CUMPLE")))</f>
        <v/>
      </c>
      <c r="M338" s="160" t="str">
        <f t="shared" si="24"/>
        <v/>
      </c>
      <c r="N338" s="107"/>
      <c r="O338" s="156" t="str">
        <f t="shared" si="25"/>
        <v>N/A</v>
      </c>
      <c r="P338" s="133" t="str">
        <f t="shared" si="26"/>
        <v>NO CUMPLE</v>
      </c>
      <c r="Q338" s="783"/>
      <c r="R338" s="785"/>
      <c r="AN338" s="575"/>
      <c r="AO338" s="575"/>
    </row>
    <row r="339" spans="1:41" ht="23.5" hidden="1" customHeight="1">
      <c r="A339" s="800" t="s">
        <v>574</v>
      </c>
      <c r="B339" s="730"/>
      <c r="C339" s="111" t="s">
        <v>576</v>
      </c>
      <c r="D339" s="153"/>
      <c r="E339" s="113"/>
      <c r="F339" s="111"/>
      <c r="G339" s="111"/>
      <c r="H339" s="111"/>
      <c r="I339" s="111"/>
      <c r="J339" s="730">
        <f>SUM(AN339:AO344)</f>
        <v>0</v>
      </c>
      <c r="K339" s="115" t="str">
        <f>IFERROR(IF(D339="","",SUMIF('EXPERIENCIA '!$D$3:$D$672,D339,'EXPERIENCIA '!$AF$3:$AF$672)),"")</f>
        <v/>
      </c>
      <c r="L339" s="111" t="str">
        <f>IF(K339="","",IF(K339=0,0,IF(K339&gt;=PARÁMETROS!$O$5,"CUMPLE","NO CUMPLE")))</f>
        <v/>
      </c>
      <c r="M339" s="158" t="str">
        <f t="shared" ref="M339:M350" si="27">+IF(G339="ACREDITA",IF(L339="CUMPLE","CUMPLE","NO CUMPLE"),"")</f>
        <v/>
      </c>
      <c r="N339" s="107"/>
      <c r="O339" s="161" t="str">
        <f t="shared" ref="O339:O350" si="28">IFERROR(IF(OR(G339="",G339="N/A",G339="NO APLICA"),"N/A",IFERROR(IF(K339=0,"",IF(K339&gt;=PDMI,"CUMPLE","NO CUMPLE")),"")),"")</f>
        <v>N/A</v>
      </c>
      <c r="P339" s="121" t="str">
        <f t="shared" ref="P339:P350" si="29">IFERROR(IF(O339="N/A","NO CUMPLE",IFERROR(IF(G339="ACREDITA",IF(O339="CUMPLE","CUMPLE","NO CUMPLE"),""),"")),"")</f>
        <v>NO CUMPLE</v>
      </c>
      <c r="Q339" s="782"/>
      <c r="R339" s="784"/>
      <c r="AN339" s="574">
        <f>IF(COUNTIF(H339:H344,"ACREDITA")&gt;0,1,0)</f>
        <v>0</v>
      </c>
      <c r="AO339" s="574">
        <f>IF(COUNTIF(I339:I344,"ACREDITA")&gt;0,1,0)</f>
        <v>0</v>
      </c>
    </row>
    <row r="340" spans="1:41" ht="23.5" hidden="1" customHeight="1">
      <c r="A340" s="801"/>
      <c r="B340" s="803"/>
      <c r="C340" s="125" t="s">
        <v>577</v>
      </c>
      <c r="D340" s="155"/>
      <c r="E340" s="68"/>
      <c r="F340" s="125"/>
      <c r="G340" s="125"/>
      <c r="H340" s="125"/>
      <c r="I340" s="125"/>
      <c r="J340" s="803"/>
      <c r="K340" s="117" t="str">
        <f>IFERROR(IF(D340="","",SUMIF('EXPERIENCIA '!$D$3:$D$672,D340,'EXPERIENCIA '!$AF$3:$AF$672)),"")</f>
        <v/>
      </c>
      <c r="L340" s="125" t="str">
        <f>IF(K340="","",IF(K340=0,0,IF(K340&gt;=PARÁMETROS!$O$5,"CUMPLE","NO CUMPLE")))</f>
        <v/>
      </c>
      <c r="M340" s="159" t="str">
        <f t="shared" si="27"/>
        <v/>
      </c>
      <c r="N340" s="107"/>
      <c r="O340" s="154" t="str">
        <f t="shared" si="28"/>
        <v>N/A</v>
      </c>
      <c r="P340" s="125" t="str">
        <f t="shared" si="29"/>
        <v>NO CUMPLE</v>
      </c>
      <c r="Q340" s="782"/>
      <c r="R340" s="784"/>
      <c r="AN340" s="781"/>
      <c r="AO340" s="781"/>
    </row>
    <row r="341" spans="1:41" ht="23.5" hidden="1" customHeight="1">
      <c r="A341" s="801"/>
      <c r="B341" s="803"/>
      <c r="C341" s="125" t="s">
        <v>578</v>
      </c>
      <c r="D341" s="155"/>
      <c r="E341" s="68"/>
      <c r="F341" s="125"/>
      <c r="G341" s="125"/>
      <c r="H341" s="125"/>
      <c r="I341" s="125"/>
      <c r="J341" s="803"/>
      <c r="K341" s="117" t="str">
        <f>IFERROR(IF(D341="","",SUMIF('EXPERIENCIA '!$D$3:$D$672,D341,'EXPERIENCIA '!$AF$3:$AF$672)),"")</f>
        <v/>
      </c>
      <c r="L341" s="125" t="str">
        <f>IF(K341="","",IF(K341=0,0,IF(K341&gt;=PARÁMETROS!$O$5,"CUMPLE","NO CUMPLE")))</f>
        <v/>
      </c>
      <c r="M341" s="159" t="str">
        <f t="shared" si="27"/>
        <v/>
      </c>
      <c r="N341" s="107"/>
      <c r="O341" s="154" t="str">
        <f t="shared" si="28"/>
        <v>N/A</v>
      </c>
      <c r="P341" s="125" t="str">
        <f t="shared" si="29"/>
        <v>NO CUMPLE</v>
      </c>
      <c r="Q341" s="782"/>
      <c r="R341" s="784"/>
      <c r="AN341" s="781"/>
      <c r="AO341" s="781"/>
    </row>
    <row r="342" spans="1:41" ht="23.5" hidden="1" customHeight="1">
      <c r="A342" s="801"/>
      <c r="B342" s="803"/>
      <c r="C342" s="125" t="s">
        <v>579</v>
      </c>
      <c r="D342" s="155"/>
      <c r="E342" s="68"/>
      <c r="F342" s="125"/>
      <c r="G342" s="125"/>
      <c r="H342" s="125"/>
      <c r="I342" s="125"/>
      <c r="J342" s="803"/>
      <c r="K342" s="117" t="str">
        <f>IFERROR(IF(D342="","",SUMIF('EXPERIENCIA '!$D$3:$D$672,D342,'EXPERIENCIA '!$AF$3:$AF$672)),"")</f>
        <v/>
      </c>
      <c r="L342" s="125" t="str">
        <f>IF(K342="","",IF(K342=0,0,IF(K342&gt;=PARÁMETROS!$O$5,"CUMPLE","NO CUMPLE")))</f>
        <v/>
      </c>
      <c r="M342" s="159" t="str">
        <f t="shared" si="27"/>
        <v/>
      </c>
      <c r="N342" s="107"/>
      <c r="O342" s="154" t="str">
        <f t="shared" si="28"/>
        <v>N/A</v>
      </c>
      <c r="P342" s="125" t="str">
        <f t="shared" si="29"/>
        <v>NO CUMPLE</v>
      </c>
      <c r="Q342" s="782"/>
      <c r="R342" s="784"/>
      <c r="AN342" s="781"/>
      <c r="AO342" s="781"/>
    </row>
    <row r="343" spans="1:41" ht="23.5" hidden="1" customHeight="1">
      <c r="A343" s="801"/>
      <c r="B343" s="803"/>
      <c r="C343" s="125" t="s">
        <v>580</v>
      </c>
      <c r="D343" s="155"/>
      <c r="E343" s="68"/>
      <c r="F343" s="125"/>
      <c r="G343" s="125"/>
      <c r="H343" s="125"/>
      <c r="I343" s="125"/>
      <c r="J343" s="803"/>
      <c r="K343" s="117" t="str">
        <f>IFERROR(IF(D343="","",SUMIF('EXPERIENCIA '!$D$3:$D$672,D343,'EXPERIENCIA '!$AF$3:$AF$672)),"")</f>
        <v/>
      </c>
      <c r="L343" s="125" t="str">
        <f>IF(K343="","",IF(K343=0,0,IF(K343&gt;=PARÁMETROS!$O$5,"CUMPLE","NO CUMPLE")))</f>
        <v/>
      </c>
      <c r="M343" s="159" t="str">
        <f t="shared" si="27"/>
        <v/>
      </c>
      <c r="N343" s="107"/>
      <c r="O343" s="154" t="str">
        <f t="shared" si="28"/>
        <v>N/A</v>
      </c>
      <c r="P343" s="125" t="str">
        <f t="shared" si="29"/>
        <v>NO CUMPLE</v>
      </c>
      <c r="Q343" s="782"/>
      <c r="R343" s="784"/>
      <c r="AN343" s="781"/>
      <c r="AO343" s="781"/>
    </row>
    <row r="344" spans="1:41" ht="23.5" hidden="1" customHeight="1" thickBot="1">
      <c r="A344" s="802"/>
      <c r="B344" s="804"/>
      <c r="C344" s="133" t="s">
        <v>581</v>
      </c>
      <c r="D344" s="157"/>
      <c r="E344" s="104"/>
      <c r="F344" s="133"/>
      <c r="G344" s="133"/>
      <c r="H344" s="133"/>
      <c r="I344" s="133"/>
      <c r="J344" s="804"/>
      <c r="K344" s="136" t="str">
        <f>IFERROR(IF(D344="","",SUMIF('EXPERIENCIA '!$D$3:$D$672,D344,'EXPERIENCIA '!$AF$3:$AF$672)),"")</f>
        <v/>
      </c>
      <c r="L344" s="133" t="str">
        <f>IF(K344="","",IF(K344=0,0,IF(K344&gt;=PARÁMETROS!$O$5,"CUMPLE","NO CUMPLE")))</f>
        <v/>
      </c>
      <c r="M344" s="160" t="str">
        <f t="shared" si="27"/>
        <v/>
      </c>
      <c r="N344" s="107"/>
      <c r="O344" s="156" t="str">
        <f t="shared" si="28"/>
        <v>N/A</v>
      </c>
      <c r="P344" s="133" t="str">
        <f t="shared" si="29"/>
        <v>NO CUMPLE</v>
      </c>
      <c r="Q344" s="783"/>
      <c r="R344" s="785"/>
      <c r="AN344" s="575"/>
      <c r="AO344" s="575"/>
    </row>
    <row r="345" spans="1:41" ht="23.5" hidden="1" customHeight="1">
      <c r="A345" s="800" t="s">
        <v>575</v>
      </c>
      <c r="B345" s="730"/>
      <c r="C345" s="111" t="s">
        <v>582</v>
      </c>
      <c r="D345" s="153"/>
      <c r="E345" s="113"/>
      <c r="F345" s="111"/>
      <c r="G345" s="111"/>
      <c r="H345" s="111"/>
      <c r="I345" s="111"/>
      <c r="J345" s="730">
        <f>SUM(AN345:AO350)</f>
        <v>0</v>
      </c>
      <c r="K345" s="115" t="str">
        <f>IFERROR(IF(D345="","",SUMIF('EXPERIENCIA '!$D$3:$D$672,D345,'EXPERIENCIA '!$AF$3:$AF$672)),"")</f>
        <v/>
      </c>
      <c r="L345" s="111" t="str">
        <f>IF(K345="","",IF(K345=0,0,IF(K345&gt;=PARÁMETROS!$O$5,"CUMPLE","NO CUMPLE")))</f>
        <v/>
      </c>
      <c r="M345" s="158" t="str">
        <f t="shared" si="27"/>
        <v/>
      </c>
      <c r="N345" s="107"/>
      <c r="O345" s="161" t="str">
        <f t="shared" si="28"/>
        <v>N/A</v>
      </c>
      <c r="P345" s="121" t="str">
        <f t="shared" si="29"/>
        <v>NO CUMPLE</v>
      </c>
      <c r="Q345" s="782"/>
      <c r="R345" s="784"/>
      <c r="AN345" s="574">
        <f>IF(COUNTIF(H345:H350,"ACREDITA")&gt;0,1,0)</f>
        <v>0</v>
      </c>
      <c r="AO345" s="574">
        <f>IF(COUNTIF(I345:I350,"ACREDITA")&gt;0,1,0)</f>
        <v>0</v>
      </c>
    </row>
    <row r="346" spans="1:41" ht="23.5" hidden="1" customHeight="1">
      <c r="A346" s="801"/>
      <c r="B346" s="803"/>
      <c r="C346" s="125" t="s">
        <v>583</v>
      </c>
      <c r="D346" s="155"/>
      <c r="E346" s="68"/>
      <c r="F346" s="125"/>
      <c r="G346" s="125"/>
      <c r="H346" s="125"/>
      <c r="I346" s="125"/>
      <c r="J346" s="803"/>
      <c r="K346" s="117" t="str">
        <f>IFERROR(IF(D346="","",SUMIF('EXPERIENCIA '!$D$3:$D$672,D346,'EXPERIENCIA '!$AF$3:$AF$672)),"")</f>
        <v/>
      </c>
      <c r="L346" s="125" t="str">
        <f>IF(K346="","",IF(K346=0,0,IF(K346&gt;=PARÁMETROS!$O$5,"CUMPLE","NO CUMPLE")))</f>
        <v/>
      </c>
      <c r="M346" s="159" t="str">
        <f t="shared" si="27"/>
        <v/>
      </c>
      <c r="N346" s="107"/>
      <c r="O346" s="154" t="str">
        <f t="shared" si="28"/>
        <v>N/A</v>
      </c>
      <c r="P346" s="125" t="str">
        <f t="shared" si="29"/>
        <v>NO CUMPLE</v>
      </c>
      <c r="Q346" s="782"/>
      <c r="R346" s="784"/>
      <c r="AN346" s="781"/>
      <c r="AO346" s="781"/>
    </row>
    <row r="347" spans="1:41" ht="23.5" hidden="1" customHeight="1">
      <c r="A347" s="801"/>
      <c r="B347" s="803"/>
      <c r="C347" s="125" t="s">
        <v>584</v>
      </c>
      <c r="D347" s="155"/>
      <c r="E347" s="68"/>
      <c r="F347" s="125"/>
      <c r="G347" s="125"/>
      <c r="H347" s="125"/>
      <c r="I347" s="125"/>
      <c r="J347" s="803"/>
      <c r="K347" s="117" t="str">
        <f>IFERROR(IF(D347="","",SUMIF('EXPERIENCIA '!$D$3:$D$672,D347,'EXPERIENCIA '!$AF$3:$AF$672)),"")</f>
        <v/>
      </c>
      <c r="L347" s="125" t="str">
        <f>IF(K347="","",IF(K347=0,0,IF(K347&gt;=PARÁMETROS!$O$5,"CUMPLE","NO CUMPLE")))</f>
        <v/>
      </c>
      <c r="M347" s="159" t="str">
        <f t="shared" si="27"/>
        <v/>
      </c>
      <c r="N347" s="107"/>
      <c r="O347" s="154" t="str">
        <f t="shared" si="28"/>
        <v>N/A</v>
      </c>
      <c r="P347" s="125" t="str">
        <f t="shared" si="29"/>
        <v>NO CUMPLE</v>
      </c>
      <c r="Q347" s="782"/>
      <c r="R347" s="784"/>
      <c r="AN347" s="781"/>
      <c r="AO347" s="781"/>
    </row>
    <row r="348" spans="1:41" ht="23.5" hidden="1" customHeight="1">
      <c r="A348" s="801"/>
      <c r="B348" s="803"/>
      <c r="C348" s="125" t="s">
        <v>585</v>
      </c>
      <c r="D348" s="155"/>
      <c r="E348" s="68"/>
      <c r="F348" s="125"/>
      <c r="G348" s="125"/>
      <c r="H348" s="125"/>
      <c r="I348" s="125"/>
      <c r="J348" s="803"/>
      <c r="K348" s="117" t="str">
        <f>IFERROR(IF(D348="","",SUMIF('EXPERIENCIA '!$D$3:$D$672,D348,'EXPERIENCIA '!$AF$3:$AF$672)),"")</f>
        <v/>
      </c>
      <c r="L348" s="125" t="str">
        <f>IF(K348="","",IF(K348=0,0,IF(K348&gt;=PARÁMETROS!$O$5,"CUMPLE","NO CUMPLE")))</f>
        <v/>
      </c>
      <c r="M348" s="159" t="str">
        <f t="shared" si="27"/>
        <v/>
      </c>
      <c r="N348" s="107"/>
      <c r="O348" s="154" t="str">
        <f t="shared" si="28"/>
        <v>N/A</v>
      </c>
      <c r="P348" s="125" t="str">
        <f t="shared" si="29"/>
        <v>NO CUMPLE</v>
      </c>
      <c r="Q348" s="782"/>
      <c r="R348" s="784"/>
      <c r="AN348" s="781"/>
      <c r="AO348" s="781"/>
    </row>
    <row r="349" spans="1:41" ht="23.5" hidden="1" customHeight="1">
      <c r="A349" s="801"/>
      <c r="B349" s="803"/>
      <c r="C349" s="125" t="s">
        <v>586</v>
      </c>
      <c r="D349" s="155"/>
      <c r="E349" s="68"/>
      <c r="F349" s="125"/>
      <c r="G349" s="125"/>
      <c r="H349" s="125"/>
      <c r="I349" s="125"/>
      <c r="J349" s="803"/>
      <c r="K349" s="117" t="str">
        <f>IFERROR(IF(D349="","",SUMIF('EXPERIENCIA '!$D$3:$D$672,D349,'EXPERIENCIA '!$AF$3:$AF$672)),"")</f>
        <v/>
      </c>
      <c r="L349" s="125" t="str">
        <f>IF(K349="","",IF(K349=0,0,IF(K349&gt;=PARÁMETROS!$O$5,"CUMPLE","NO CUMPLE")))</f>
        <v/>
      </c>
      <c r="M349" s="159" t="str">
        <f t="shared" si="27"/>
        <v/>
      </c>
      <c r="N349" s="107"/>
      <c r="O349" s="154" t="str">
        <f t="shared" si="28"/>
        <v>N/A</v>
      </c>
      <c r="P349" s="125" t="str">
        <f t="shared" si="29"/>
        <v>NO CUMPLE</v>
      </c>
      <c r="Q349" s="782"/>
      <c r="R349" s="784"/>
      <c r="AN349" s="781"/>
      <c r="AO349" s="781"/>
    </row>
    <row r="350" spans="1:41" ht="23.5" hidden="1" customHeight="1" thickBot="1">
      <c r="A350" s="802"/>
      <c r="B350" s="804"/>
      <c r="C350" s="133" t="s">
        <v>587</v>
      </c>
      <c r="D350" s="157"/>
      <c r="E350" s="104"/>
      <c r="F350" s="133"/>
      <c r="G350" s="133"/>
      <c r="H350" s="133"/>
      <c r="I350" s="133"/>
      <c r="J350" s="804"/>
      <c r="K350" s="136" t="str">
        <f>IFERROR(IF(D350="","",SUMIF('EXPERIENCIA '!$D$3:$D$672,D350,'EXPERIENCIA '!$AF$3:$AF$672)),"")</f>
        <v/>
      </c>
      <c r="L350" s="133" t="str">
        <f>IF(K350="","",IF(K350=0,0,IF(K350&gt;=PARÁMETROS!$O$5,"CUMPLE","NO CUMPLE")))</f>
        <v/>
      </c>
      <c r="M350" s="160" t="str">
        <f t="shared" si="27"/>
        <v/>
      </c>
      <c r="N350" s="107"/>
      <c r="O350" s="156" t="str">
        <f t="shared" si="28"/>
        <v>N/A</v>
      </c>
      <c r="P350" s="133" t="str">
        <f t="shared" si="29"/>
        <v>NO CUMPLE</v>
      </c>
      <c r="Q350" s="783"/>
      <c r="R350" s="785"/>
      <c r="AN350" s="575"/>
      <c r="AO350" s="575"/>
    </row>
    <row r="351" spans="1:41" ht="23.5" hidden="1" customHeight="1">
      <c r="A351" s="800" t="s">
        <v>589</v>
      </c>
      <c r="B351" s="730"/>
      <c r="C351" s="111" t="s">
        <v>598</v>
      </c>
      <c r="D351" s="153"/>
      <c r="E351" s="113"/>
      <c r="F351" s="111"/>
      <c r="G351" s="111"/>
      <c r="H351" s="111"/>
      <c r="I351" s="111"/>
      <c r="J351" s="730">
        <f>SUM(AN351:AO356)</f>
        <v>0</v>
      </c>
      <c r="K351" s="115" t="str">
        <f>IFERROR(IF(D351="","",SUMIF('EXPERIENCIA '!$D$3:$D$672,D351,'EXPERIENCIA '!$AF$3:$AF$672)),"")</f>
        <v/>
      </c>
      <c r="L351" s="111" t="str">
        <f>IF(K351="","",IF(K351=0,0,IF(K351&gt;=PARÁMETROS!$O$5,"CUMPLE","NO CUMPLE")))</f>
        <v/>
      </c>
      <c r="M351" s="158" t="str">
        <f t="shared" ref="M351:M386" si="30">+IF(G351="ACREDITA",IF(L351="CUMPLE","CUMPLE","NO CUMPLE"),"")</f>
        <v/>
      </c>
      <c r="N351" s="107"/>
      <c r="O351" s="161" t="str">
        <f t="shared" ref="O351:O386" si="31">IFERROR(IF(OR(G351="",G351="N/A",G351="NO APLICA"),"N/A",IFERROR(IF(K351=0,"",IF(K351&gt;=PDMI,"CUMPLE","NO CUMPLE")),"")),"")</f>
        <v>N/A</v>
      </c>
      <c r="P351" s="121" t="str">
        <f t="shared" ref="P351:P386" si="32">IFERROR(IF(O351="N/A","NO CUMPLE",IFERROR(IF(G351="ACREDITA",IF(O351="CUMPLE","CUMPLE","NO CUMPLE"),""),"")),"")</f>
        <v>NO CUMPLE</v>
      </c>
      <c r="Q351" s="782"/>
      <c r="R351" s="784"/>
      <c r="AN351" s="574">
        <f>IF(COUNTIF(H351:H356,"ACREDITA")&gt;0,1,0)</f>
        <v>0</v>
      </c>
      <c r="AO351" s="574">
        <f>IF(COUNTIF(I351:I356,"ACREDITA")&gt;0,1,0)</f>
        <v>0</v>
      </c>
    </row>
    <row r="352" spans="1:41" ht="23.5" hidden="1" customHeight="1">
      <c r="A352" s="801"/>
      <c r="B352" s="803"/>
      <c r="C352" s="125" t="s">
        <v>599</v>
      </c>
      <c r="D352" s="155"/>
      <c r="E352" s="68"/>
      <c r="F352" s="125"/>
      <c r="G352" s="125"/>
      <c r="H352" s="125"/>
      <c r="I352" s="125"/>
      <c r="J352" s="803"/>
      <c r="K352" s="117" t="str">
        <f>IFERROR(IF(D352="","",SUMIF('EXPERIENCIA '!$D$3:$D$672,D352,'EXPERIENCIA '!$AF$3:$AF$672)),"")</f>
        <v/>
      </c>
      <c r="L352" s="125" t="str">
        <f>IF(K352="","",IF(K352=0,0,IF(K352&gt;=PARÁMETROS!$O$5,"CUMPLE","NO CUMPLE")))</f>
        <v/>
      </c>
      <c r="M352" s="159" t="str">
        <f t="shared" si="30"/>
        <v/>
      </c>
      <c r="N352" s="107"/>
      <c r="O352" s="154" t="str">
        <f t="shared" si="31"/>
        <v>N/A</v>
      </c>
      <c r="P352" s="125" t="str">
        <f t="shared" si="32"/>
        <v>NO CUMPLE</v>
      </c>
      <c r="Q352" s="782"/>
      <c r="R352" s="784"/>
      <c r="AN352" s="781"/>
      <c r="AO352" s="781"/>
    </row>
    <row r="353" spans="1:41" ht="23.5" hidden="1" customHeight="1">
      <c r="A353" s="801"/>
      <c r="B353" s="803"/>
      <c r="C353" s="125" t="s">
        <v>600</v>
      </c>
      <c r="D353" s="155"/>
      <c r="E353" s="68"/>
      <c r="F353" s="125"/>
      <c r="G353" s="125"/>
      <c r="H353" s="125"/>
      <c r="I353" s="125"/>
      <c r="J353" s="803"/>
      <c r="K353" s="117" t="str">
        <f>IFERROR(IF(D353="","",SUMIF('EXPERIENCIA '!$D$3:$D$672,D353,'EXPERIENCIA '!$AF$3:$AF$672)),"")</f>
        <v/>
      </c>
      <c r="L353" s="125" t="str">
        <f>IF(K353="","",IF(K353=0,0,IF(K353&gt;=PARÁMETROS!$O$5,"CUMPLE","NO CUMPLE")))</f>
        <v/>
      </c>
      <c r="M353" s="159" t="str">
        <f t="shared" si="30"/>
        <v/>
      </c>
      <c r="N353" s="107"/>
      <c r="O353" s="154" t="str">
        <f t="shared" si="31"/>
        <v>N/A</v>
      </c>
      <c r="P353" s="125" t="str">
        <f t="shared" si="32"/>
        <v>NO CUMPLE</v>
      </c>
      <c r="Q353" s="782"/>
      <c r="R353" s="784"/>
      <c r="AN353" s="781"/>
      <c r="AO353" s="781"/>
    </row>
    <row r="354" spans="1:41" ht="23.5" hidden="1" customHeight="1">
      <c r="A354" s="801"/>
      <c r="B354" s="803"/>
      <c r="C354" s="125" t="s">
        <v>601</v>
      </c>
      <c r="D354" s="155"/>
      <c r="E354" s="68"/>
      <c r="F354" s="125"/>
      <c r="G354" s="125"/>
      <c r="H354" s="125"/>
      <c r="I354" s="125"/>
      <c r="J354" s="803"/>
      <c r="K354" s="117" t="str">
        <f>IFERROR(IF(D354="","",SUMIF('EXPERIENCIA '!$D$3:$D$672,D354,'EXPERIENCIA '!$AF$3:$AF$672)),"")</f>
        <v/>
      </c>
      <c r="L354" s="125" t="str">
        <f>IF(K354="","",IF(K354=0,0,IF(K354&gt;=PARÁMETROS!$O$5,"CUMPLE","NO CUMPLE")))</f>
        <v/>
      </c>
      <c r="M354" s="159" t="str">
        <f t="shared" si="30"/>
        <v/>
      </c>
      <c r="N354" s="107"/>
      <c r="O354" s="154" t="str">
        <f t="shared" si="31"/>
        <v>N/A</v>
      </c>
      <c r="P354" s="125" t="str">
        <f t="shared" si="32"/>
        <v>NO CUMPLE</v>
      </c>
      <c r="Q354" s="782"/>
      <c r="R354" s="784"/>
      <c r="AN354" s="781"/>
      <c r="AO354" s="781"/>
    </row>
    <row r="355" spans="1:41" ht="23.5" hidden="1" customHeight="1">
      <c r="A355" s="801"/>
      <c r="B355" s="803"/>
      <c r="C355" s="125" t="s">
        <v>602</v>
      </c>
      <c r="D355" s="155"/>
      <c r="E355" s="68"/>
      <c r="F355" s="125"/>
      <c r="G355" s="125"/>
      <c r="H355" s="125"/>
      <c r="I355" s="125"/>
      <c r="J355" s="803"/>
      <c r="K355" s="117" t="str">
        <f>IFERROR(IF(D355="","",SUMIF('EXPERIENCIA '!$D$3:$D$672,D355,'EXPERIENCIA '!$AF$3:$AF$672)),"")</f>
        <v/>
      </c>
      <c r="L355" s="125" t="str">
        <f>IF(K355="","",IF(K355=0,0,IF(K355&gt;=PARÁMETROS!$O$5,"CUMPLE","NO CUMPLE")))</f>
        <v/>
      </c>
      <c r="M355" s="159" t="str">
        <f t="shared" si="30"/>
        <v/>
      </c>
      <c r="N355" s="107"/>
      <c r="O355" s="154" t="str">
        <f t="shared" si="31"/>
        <v>N/A</v>
      </c>
      <c r="P355" s="125" t="str">
        <f t="shared" si="32"/>
        <v>NO CUMPLE</v>
      </c>
      <c r="Q355" s="782"/>
      <c r="R355" s="784"/>
      <c r="AN355" s="781"/>
      <c r="AO355" s="781"/>
    </row>
    <row r="356" spans="1:41" ht="23.5" hidden="1" customHeight="1" thickBot="1">
      <c r="A356" s="802"/>
      <c r="B356" s="804"/>
      <c r="C356" s="133" t="s">
        <v>603</v>
      </c>
      <c r="D356" s="157"/>
      <c r="E356" s="104"/>
      <c r="F356" s="133"/>
      <c r="G356" s="133"/>
      <c r="H356" s="133"/>
      <c r="I356" s="133"/>
      <c r="J356" s="804"/>
      <c r="K356" s="136" t="str">
        <f>IFERROR(IF(D356="","",SUMIF('EXPERIENCIA '!$D$3:$D$672,D356,'EXPERIENCIA '!$AF$3:$AF$672)),"")</f>
        <v/>
      </c>
      <c r="L356" s="133" t="str">
        <f>IF(K356="","",IF(K356=0,0,IF(K356&gt;=PARÁMETROS!$O$5,"CUMPLE","NO CUMPLE")))</f>
        <v/>
      </c>
      <c r="M356" s="160" t="str">
        <f t="shared" si="30"/>
        <v/>
      </c>
      <c r="N356" s="107"/>
      <c r="O356" s="156" t="str">
        <f t="shared" si="31"/>
        <v>N/A</v>
      </c>
      <c r="P356" s="133" t="str">
        <f t="shared" si="32"/>
        <v>NO CUMPLE</v>
      </c>
      <c r="Q356" s="783"/>
      <c r="R356" s="785"/>
      <c r="AN356" s="575"/>
      <c r="AO356" s="575"/>
    </row>
    <row r="357" spans="1:41" ht="23.5" hidden="1" customHeight="1">
      <c r="A357" s="800" t="s">
        <v>590</v>
      </c>
      <c r="B357" s="730"/>
      <c r="C357" s="111" t="s">
        <v>604</v>
      </c>
      <c r="D357" s="153"/>
      <c r="E357" s="113"/>
      <c r="F357" s="111"/>
      <c r="G357" s="111"/>
      <c r="H357" s="111"/>
      <c r="I357" s="111"/>
      <c r="J357" s="730">
        <f>SUM(AN357:AO362)</f>
        <v>0</v>
      </c>
      <c r="K357" s="115" t="str">
        <f>IFERROR(IF(D357="","",SUMIF('EXPERIENCIA '!$D$3:$D$672,D357,'EXPERIENCIA '!$AF$3:$AF$672)),"")</f>
        <v/>
      </c>
      <c r="L357" s="111" t="str">
        <f>IF(K357="","",IF(K357=0,0,IF(K357&gt;=PARÁMETROS!$O$5,"CUMPLE","NO CUMPLE")))</f>
        <v/>
      </c>
      <c r="M357" s="158" t="str">
        <f t="shared" si="30"/>
        <v/>
      </c>
      <c r="N357" s="107"/>
      <c r="O357" s="161" t="str">
        <f t="shared" si="31"/>
        <v>N/A</v>
      </c>
      <c r="P357" s="121" t="str">
        <f t="shared" si="32"/>
        <v>NO CUMPLE</v>
      </c>
      <c r="Q357" s="782"/>
      <c r="R357" s="784"/>
      <c r="AN357" s="574">
        <f>IF(COUNTIF(H357:H362,"ACREDITA")&gt;0,1,0)</f>
        <v>0</v>
      </c>
      <c r="AO357" s="574">
        <f>IF(COUNTIF(I357:I362,"ACREDITA")&gt;0,1,0)</f>
        <v>0</v>
      </c>
    </row>
    <row r="358" spans="1:41" ht="23.5" hidden="1" customHeight="1">
      <c r="A358" s="801"/>
      <c r="B358" s="803"/>
      <c r="C358" s="125" t="s">
        <v>605</v>
      </c>
      <c r="D358" s="155"/>
      <c r="E358" s="68"/>
      <c r="F358" s="125"/>
      <c r="G358" s="125"/>
      <c r="H358" s="125"/>
      <c r="I358" s="125"/>
      <c r="J358" s="803"/>
      <c r="K358" s="117" t="str">
        <f>IFERROR(IF(D358="","",SUMIF('EXPERIENCIA '!$D$3:$D$672,D358,'EXPERIENCIA '!$AF$3:$AF$672)),"")</f>
        <v/>
      </c>
      <c r="L358" s="125" t="str">
        <f>IF(K358="","",IF(K358=0,0,IF(K358&gt;=PARÁMETROS!$O$5,"CUMPLE","NO CUMPLE")))</f>
        <v/>
      </c>
      <c r="M358" s="159" t="str">
        <f t="shared" si="30"/>
        <v/>
      </c>
      <c r="N358" s="107"/>
      <c r="O358" s="154" t="str">
        <f t="shared" si="31"/>
        <v>N/A</v>
      </c>
      <c r="P358" s="125" t="str">
        <f t="shared" si="32"/>
        <v>NO CUMPLE</v>
      </c>
      <c r="Q358" s="782"/>
      <c r="R358" s="784"/>
      <c r="AN358" s="781"/>
      <c r="AO358" s="781"/>
    </row>
    <row r="359" spans="1:41" ht="23.5" hidden="1" customHeight="1">
      <c r="A359" s="801"/>
      <c r="B359" s="803"/>
      <c r="C359" s="125" t="s">
        <v>606</v>
      </c>
      <c r="D359" s="155"/>
      <c r="E359" s="68"/>
      <c r="F359" s="125"/>
      <c r="G359" s="125"/>
      <c r="H359" s="125"/>
      <c r="I359" s="125"/>
      <c r="J359" s="803"/>
      <c r="K359" s="117" t="str">
        <f>IFERROR(IF(D359="","",SUMIF('EXPERIENCIA '!$D$3:$D$672,D359,'EXPERIENCIA '!$AF$3:$AF$672)),"")</f>
        <v/>
      </c>
      <c r="L359" s="125" t="str">
        <f>IF(K359="","",IF(K359=0,0,IF(K359&gt;=PARÁMETROS!$O$5,"CUMPLE","NO CUMPLE")))</f>
        <v/>
      </c>
      <c r="M359" s="159" t="str">
        <f t="shared" si="30"/>
        <v/>
      </c>
      <c r="N359" s="107"/>
      <c r="O359" s="154" t="str">
        <f t="shared" si="31"/>
        <v>N/A</v>
      </c>
      <c r="P359" s="125" t="str">
        <f t="shared" si="32"/>
        <v>NO CUMPLE</v>
      </c>
      <c r="Q359" s="782"/>
      <c r="R359" s="784"/>
      <c r="AN359" s="781"/>
      <c r="AO359" s="781"/>
    </row>
    <row r="360" spans="1:41" ht="23.5" hidden="1" customHeight="1">
      <c r="A360" s="801"/>
      <c r="B360" s="803"/>
      <c r="C360" s="125" t="s">
        <v>607</v>
      </c>
      <c r="D360" s="155"/>
      <c r="E360" s="68"/>
      <c r="F360" s="125"/>
      <c r="G360" s="125"/>
      <c r="H360" s="125"/>
      <c r="I360" s="125"/>
      <c r="J360" s="803"/>
      <c r="K360" s="117" t="str">
        <f>IFERROR(IF(D360="","",SUMIF('EXPERIENCIA '!$D$3:$D$672,D360,'EXPERIENCIA '!$AF$3:$AF$672)),"")</f>
        <v/>
      </c>
      <c r="L360" s="125" t="str">
        <f>IF(K360="","",IF(K360=0,0,IF(K360&gt;=PARÁMETROS!$O$5,"CUMPLE","NO CUMPLE")))</f>
        <v/>
      </c>
      <c r="M360" s="159" t="str">
        <f t="shared" si="30"/>
        <v/>
      </c>
      <c r="N360" s="107"/>
      <c r="O360" s="154" t="str">
        <f t="shared" si="31"/>
        <v>N/A</v>
      </c>
      <c r="P360" s="125" t="str">
        <f t="shared" si="32"/>
        <v>NO CUMPLE</v>
      </c>
      <c r="Q360" s="782"/>
      <c r="R360" s="784"/>
      <c r="AN360" s="781"/>
      <c r="AO360" s="781"/>
    </row>
    <row r="361" spans="1:41" ht="23.5" hidden="1" customHeight="1">
      <c r="A361" s="801"/>
      <c r="B361" s="803"/>
      <c r="C361" s="125" t="s">
        <v>608</v>
      </c>
      <c r="D361" s="155"/>
      <c r="E361" s="68"/>
      <c r="F361" s="125"/>
      <c r="G361" s="125"/>
      <c r="H361" s="125"/>
      <c r="I361" s="125"/>
      <c r="J361" s="803"/>
      <c r="K361" s="117" t="str">
        <f>IFERROR(IF(D361="","",SUMIF('EXPERIENCIA '!$D$3:$D$672,D361,'EXPERIENCIA '!$AF$3:$AF$672)),"")</f>
        <v/>
      </c>
      <c r="L361" s="125" t="str">
        <f>IF(K361="","",IF(K361=0,0,IF(K361&gt;=PARÁMETROS!$O$5,"CUMPLE","NO CUMPLE")))</f>
        <v/>
      </c>
      <c r="M361" s="159" t="str">
        <f t="shared" si="30"/>
        <v/>
      </c>
      <c r="N361" s="107"/>
      <c r="O361" s="154" t="str">
        <f t="shared" si="31"/>
        <v>N/A</v>
      </c>
      <c r="P361" s="125" t="str">
        <f t="shared" si="32"/>
        <v>NO CUMPLE</v>
      </c>
      <c r="Q361" s="782"/>
      <c r="R361" s="784"/>
      <c r="AN361" s="781"/>
      <c r="AO361" s="781"/>
    </row>
    <row r="362" spans="1:41" ht="23.5" hidden="1" customHeight="1" thickBot="1">
      <c r="A362" s="802"/>
      <c r="B362" s="804"/>
      <c r="C362" s="133" t="s">
        <v>609</v>
      </c>
      <c r="D362" s="157"/>
      <c r="E362" s="104"/>
      <c r="F362" s="133"/>
      <c r="G362" s="133"/>
      <c r="H362" s="133"/>
      <c r="I362" s="133"/>
      <c r="J362" s="804"/>
      <c r="K362" s="136" t="str">
        <f>IFERROR(IF(D362="","",SUMIF('EXPERIENCIA '!$D$3:$D$672,D362,'EXPERIENCIA '!$AF$3:$AF$672)),"")</f>
        <v/>
      </c>
      <c r="L362" s="133" t="str">
        <f>IF(K362="","",IF(K362=0,0,IF(K362&gt;=PARÁMETROS!$O$5,"CUMPLE","NO CUMPLE")))</f>
        <v/>
      </c>
      <c r="M362" s="160" t="str">
        <f t="shared" si="30"/>
        <v/>
      </c>
      <c r="N362" s="107"/>
      <c r="O362" s="156" t="str">
        <f t="shared" si="31"/>
        <v>N/A</v>
      </c>
      <c r="P362" s="133" t="str">
        <f t="shared" si="32"/>
        <v>NO CUMPLE</v>
      </c>
      <c r="Q362" s="783"/>
      <c r="R362" s="785"/>
      <c r="AN362" s="575"/>
      <c r="AO362" s="575"/>
    </row>
    <row r="363" spans="1:41" ht="23.5" hidden="1" customHeight="1">
      <c r="A363" s="800" t="s">
        <v>591</v>
      </c>
      <c r="B363" s="730"/>
      <c r="C363" s="111" t="s">
        <v>610</v>
      </c>
      <c r="D363" s="153"/>
      <c r="E363" s="113"/>
      <c r="F363" s="111"/>
      <c r="G363" s="111"/>
      <c r="H363" s="111"/>
      <c r="I363" s="111"/>
      <c r="J363" s="730">
        <f>SUM(AN363:AO368)</f>
        <v>0</v>
      </c>
      <c r="K363" s="115" t="str">
        <f>IFERROR(IF(D363="","",SUMIF('EXPERIENCIA '!$D$3:$D$672,D363,'EXPERIENCIA '!$AF$3:$AF$672)),"")</f>
        <v/>
      </c>
      <c r="L363" s="111" t="str">
        <f>IF(K363="","",IF(K363=0,0,IF(K363&gt;=PARÁMETROS!$O$5,"CUMPLE","NO CUMPLE")))</f>
        <v/>
      </c>
      <c r="M363" s="158" t="str">
        <f t="shared" si="30"/>
        <v/>
      </c>
      <c r="N363" s="107"/>
      <c r="O363" s="161" t="str">
        <f t="shared" si="31"/>
        <v>N/A</v>
      </c>
      <c r="P363" s="121" t="str">
        <f t="shared" si="32"/>
        <v>NO CUMPLE</v>
      </c>
      <c r="Q363" s="782"/>
      <c r="R363" s="784"/>
      <c r="AN363" s="574">
        <f>IF(COUNTIF(H363:H368,"ACREDITA")&gt;0,1,0)</f>
        <v>0</v>
      </c>
      <c r="AO363" s="574">
        <f>IF(COUNTIF(I363:I368,"ACREDITA")&gt;0,1,0)</f>
        <v>0</v>
      </c>
    </row>
    <row r="364" spans="1:41" ht="23.5" hidden="1" customHeight="1">
      <c r="A364" s="801"/>
      <c r="B364" s="803"/>
      <c r="C364" s="125" t="s">
        <v>611</v>
      </c>
      <c r="D364" s="155"/>
      <c r="E364" s="68"/>
      <c r="F364" s="125"/>
      <c r="G364" s="125"/>
      <c r="H364" s="125"/>
      <c r="I364" s="125"/>
      <c r="J364" s="803"/>
      <c r="K364" s="117" t="str">
        <f>IFERROR(IF(D364="","",SUMIF('EXPERIENCIA '!$D$3:$D$672,D364,'EXPERIENCIA '!$AF$3:$AF$672)),"")</f>
        <v/>
      </c>
      <c r="L364" s="125" t="str">
        <f>IF(K364="","",IF(K364=0,0,IF(K364&gt;=PARÁMETROS!$O$5,"CUMPLE","NO CUMPLE")))</f>
        <v/>
      </c>
      <c r="M364" s="159" t="str">
        <f t="shared" si="30"/>
        <v/>
      </c>
      <c r="N364" s="107"/>
      <c r="O364" s="154" t="str">
        <f t="shared" si="31"/>
        <v>N/A</v>
      </c>
      <c r="P364" s="125" t="str">
        <f t="shared" si="32"/>
        <v>NO CUMPLE</v>
      </c>
      <c r="Q364" s="782"/>
      <c r="R364" s="784"/>
      <c r="AN364" s="781"/>
      <c r="AO364" s="781"/>
    </row>
    <row r="365" spans="1:41" ht="23.5" hidden="1" customHeight="1">
      <c r="A365" s="801"/>
      <c r="B365" s="803"/>
      <c r="C365" s="125" t="s">
        <v>612</v>
      </c>
      <c r="D365" s="155"/>
      <c r="E365" s="68"/>
      <c r="F365" s="125"/>
      <c r="G365" s="125"/>
      <c r="H365" s="125"/>
      <c r="I365" s="125"/>
      <c r="J365" s="803"/>
      <c r="K365" s="117" t="str">
        <f>IFERROR(IF(D365="","",SUMIF('EXPERIENCIA '!$D$3:$D$672,D365,'EXPERIENCIA '!$AF$3:$AF$672)),"")</f>
        <v/>
      </c>
      <c r="L365" s="125" t="str">
        <f>IF(K365="","",IF(K365=0,0,IF(K365&gt;=PARÁMETROS!$O$5,"CUMPLE","NO CUMPLE")))</f>
        <v/>
      </c>
      <c r="M365" s="159" t="str">
        <f t="shared" si="30"/>
        <v/>
      </c>
      <c r="N365" s="107"/>
      <c r="O365" s="154" t="str">
        <f t="shared" si="31"/>
        <v>N/A</v>
      </c>
      <c r="P365" s="125" t="str">
        <f t="shared" si="32"/>
        <v>NO CUMPLE</v>
      </c>
      <c r="Q365" s="782"/>
      <c r="R365" s="784"/>
      <c r="AN365" s="781"/>
      <c r="AO365" s="781"/>
    </row>
    <row r="366" spans="1:41" ht="23.5" hidden="1" customHeight="1">
      <c r="A366" s="801"/>
      <c r="B366" s="803"/>
      <c r="C366" s="125" t="s">
        <v>613</v>
      </c>
      <c r="D366" s="155"/>
      <c r="E366" s="68"/>
      <c r="F366" s="125"/>
      <c r="G366" s="125"/>
      <c r="H366" s="125"/>
      <c r="I366" s="125"/>
      <c r="J366" s="803"/>
      <c r="K366" s="117" t="str">
        <f>IFERROR(IF(D366="","",SUMIF('EXPERIENCIA '!$D$3:$D$672,D366,'EXPERIENCIA '!$AF$3:$AF$672)),"")</f>
        <v/>
      </c>
      <c r="L366" s="125" t="str">
        <f>IF(K366="","",IF(K366=0,0,IF(K366&gt;=PARÁMETROS!$O$5,"CUMPLE","NO CUMPLE")))</f>
        <v/>
      </c>
      <c r="M366" s="159" t="str">
        <f t="shared" si="30"/>
        <v/>
      </c>
      <c r="N366" s="107"/>
      <c r="O366" s="154" t="str">
        <f t="shared" si="31"/>
        <v>N/A</v>
      </c>
      <c r="P366" s="125" t="str">
        <f t="shared" si="32"/>
        <v>NO CUMPLE</v>
      </c>
      <c r="Q366" s="782"/>
      <c r="R366" s="784"/>
      <c r="AN366" s="781"/>
      <c r="AO366" s="781"/>
    </row>
    <row r="367" spans="1:41" ht="23.5" hidden="1" customHeight="1">
      <c r="A367" s="801"/>
      <c r="B367" s="803"/>
      <c r="C367" s="125" t="s">
        <v>614</v>
      </c>
      <c r="D367" s="155"/>
      <c r="E367" s="68"/>
      <c r="F367" s="125"/>
      <c r="G367" s="125"/>
      <c r="H367" s="125"/>
      <c r="I367" s="125"/>
      <c r="J367" s="803"/>
      <c r="K367" s="117" t="str">
        <f>IFERROR(IF(D367="","",SUMIF('EXPERIENCIA '!$D$3:$D$672,D367,'EXPERIENCIA '!$AF$3:$AF$672)),"")</f>
        <v/>
      </c>
      <c r="L367" s="125" t="str">
        <f>IF(K367="","",IF(K367=0,0,IF(K367&gt;=PARÁMETROS!$O$5,"CUMPLE","NO CUMPLE")))</f>
        <v/>
      </c>
      <c r="M367" s="159" t="str">
        <f t="shared" si="30"/>
        <v/>
      </c>
      <c r="N367" s="107"/>
      <c r="O367" s="154" t="str">
        <f t="shared" si="31"/>
        <v>N/A</v>
      </c>
      <c r="P367" s="125" t="str">
        <f t="shared" si="32"/>
        <v>NO CUMPLE</v>
      </c>
      <c r="Q367" s="782"/>
      <c r="R367" s="784"/>
      <c r="AN367" s="781"/>
      <c r="AO367" s="781"/>
    </row>
    <row r="368" spans="1:41" ht="23.5" hidden="1" customHeight="1" thickBot="1">
      <c r="A368" s="802"/>
      <c r="B368" s="804"/>
      <c r="C368" s="133" t="s">
        <v>615</v>
      </c>
      <c r="D368" s="157"/>
      <c r="E368" s="104"/>
      <c r="F368" s="133"/>
      <c r="G368" s="133"/>
      <c r="H368" s="133"/>
      <c r="I368" s="133"/>
      <c r="J368" s="804"/>
      <c r="K368" s="136" t="str">
        <f>IFERROR(IF(D368="","",SUMIF('EXPERIENCIA '!$D$3:$D$672,D368,'EXPERIENCIA '!$AF$3:$AF$672)),"")</f>
        <v/>
      </c>
      <c r="L368" s="133" t="str">
        <f>IF(K368="","",IF(K368=0,0,IF(K368&gt;=PARÁMETROS!$O$5,"CUMPLE","NO CUMPLE")))</f>
        <v/>
      </c>
      <c r="M368" s="160" t="str">
        <f t="shared" si="30"/>
        <v/>
      </c>
      <c r="N368" s="107"/>
      <c r="O368" s="156" t="str">
        <f t="shared" si="31"/>
        <v>N/A</v>
      </c>
      <c r="P368" s="133" t="str">
        <f t="shared" si="32"/>
        <v>NO CUMPLE</v>
      </c>
      <c r="Q368" s="783"/>
      <c r="R368" s="785"/>
      <c r="AN368" s="575"/>
      <c r="AO368" s="575"/>
    </row>
    <row r="369" spans="1:41" ht="23.5" hidden="1" customHeight="1">
      <c r="A369" s="800" t="s">
        <v>592</v>
      </c>
      <c r="B369" s="730"/>
      <c r="C369" s="111" t="s">
        <v>616</v>
      </c>
      <c r="D369" s="153"/>
      <c r="E369" s="113"/>
      <c r="F369" s="111"/>
      <c r="G369" s="111"/>
      <c r="H369" s="111"/>
      <c r="I369" s="111"/>
      <c r="J369" s="730">
        <f>SUM(AN369:AO374)</f>
        <v>0</v>
      </c>
      <c r="K369" s="115" t="str">
        <f>IFERROR(IF(D369="","",SUMIF('EXPERIENCIA '!$D$3:$D$672,D369,'EXPERIENCIA '!$AF$3:$AF$672)),"")</f>
        <v/>
      </c>
      <c r="L369" s="111" t="str">
        <f>IF(K369="","",IF(K369=0,0,IF(K369&gt;=PARÁMETROS!$O$5,"CUMPLE","NO CUMPLE")))</f>
        <v/>
      </c>
      <c r="M369" s="158" t="str">
        <f t="shared" si="30"/>
        <v/>
      </c>
      <c r="N369" s="107"/>
      <c r="O369" s="161" t="str">
        <f t="shared" si="31"/>
        <v>N/A</v>
      </c>
      <c r="P369" s="121" t="str">
        <f t="shared" si="32"/>
        <v>NO CUMPLE</v>
      </c>
      <c r="Q369" s="782"/>
      <c r="R369" s="784"/>
      <c r="AN369" s="574">
        <f>IF(COUNTIF(H369:H374,"ACREDITA")&gt;0,1,0)</f>
        <v>0</v>
      </c>
      <c r="AO369" s="574">
        <f>IF(COUNTIF(I369:I374,"ACREDITA")&gt;0,1,0)</f>
        <v>0</v>
      </c>
    </row>
    <row r="370" spans="1:41" ht="23.5" hidden="1" customHeight="1">
      <c r="A370" s="801"/>
      <c r="B370" s="803"/>
      <c r="C370" s="125" t="s">
        <v>617</v>
      </c>
      <c r="D370" s="155"/>
      <c r="E370" s="68"/>
      <c r="F370" s="125"/>
      <c r="G370" s="125"/>
      <c r="H370" s="125"/>
      <c r="I370" s="125"/>
      <c r="J370" s="803"/>
      <c r="K370" s="117" t="str">
        <f>IFERROR(IF(D370="","",SUMIF('EXPERIENCIA '!$D$3:$D$672,D370,'EXPERIENCIA '!$AF$3:$AF$672)),"")</f>
        <v/>
      </c>
      <c r="L370" s="125" t="str">
        <f>IF(K370="","",IF(K370=0,0,IF(K370&gt;=PARÁMETROS!$O$5,"CUMPLE","NO CUMPLE")))</f>
        <v/>
      </c>
      <c r="M370" s="159" t="str">
        <f t="shared" si="30"/>
        <v/>
      </c>
      <c r="N370" s="107"/>
      <c r="O370" s="154" t="str">
        <f t="shared" si="31"/>
        <v>N/A</v>
      </c>
      <c r="P370" s="125" t="str">
        <f t="shared" si="32"/>
        <v>NO CUMPLE</v>
      </c>
      <c r="Q370" s="782"/>
      <c r="R370" s="784"/>
      <c r="AN370" s="781"/>
      <c r="AO370" s="781"/>
    </row>
    <row r="371" spans="1:41" ht="23.5" hidden="1" customHeight="1">
      <c r="A371" s="801"/>
      <c r="B371" s="803"/>
      <c r="C371" s="125" t="s">
        <v>618</v>
      </c>
      <c r="D371" s="155"/>
      <c r="E371" s="68"/>
      <c r="F371" s="125"/>
      <c r="G371" s="125"/>
      <c r="H371" s="125"/>
      <c r="I371" s="125"/>
      <c r="J371" s="803"/>
      <c r="K371" s="117" t="str">
        <f>IFERROR(IF(D371="","",SUMIF('EXPERIENCIA '!$D$3:$D$672,D371,'EXPERIENCIA '!$AF$3:$AF$672)),"")</f>
        <v/>
      </c>
      <c r="L371" s="125" t="str">
        <f>IF(K371="","",IF(K371=0,0,IF(K371&gt;=PARÁMETROS!$O$5,"CUMPLE","NO CUMPLE")))</f>
        <v/>
      </c>
      <c r="M371" s="159" t="str">
        <f t="shared" si="30"/>
        <v/>
      </c>
      <c r="N371" s="107"/>
      <c r="O371" s="154" t="str">
        <f t="shared" si="31"/>
        <v>N/A</v>
      </c>
      <c r="P371" s="125" t="str">
        <f t="shared" si="32"/>
        <v>NO CUMPLE</v>
      </c>
      <c r="Q371" s="782"/>
      <c r="R371" s="784"/>
      <c r="AN371" s="781"/>
      <c r="AO371" s="781"/>
    </row>
    <row r="372" spans="1:41" ht="23.5" hidden="1" customHeight="1">
      <c r="A372" s="801"/>
      <c r="B372" s="803"/>
      <c r="C372" s="125" t="s">
        <v>619</v>
      </c>
      <c r="D372" s="155"/>
      <c r="E372" s="68"/>
      <c r="F372" s="125"/>
      <c r="G372" s="125"/>
      <c r="H372" s="125"/>
      <c r="I372" s="125"/>
      <c r="J372" s="803"/>
      <c r="K372" s="117" t="str">
        <f>IFERROR(IF(D372="","",SUMIF('EXPERIENCIA '!$D$3:$D$672,D372,'EXPERIENCIA '!$AF$3:$AF$672)),"")</f>
        <v/>
      </c>
      <c r="L372" s="125" t="str">
        <f>IF(K372="","",IF(K372=0,0,IF(K372&gt;=PARÁMETROS!$O$5,"CUMPLE","NO CUMPLE")))</f>
        <v/>
      </c>
      <c r="M372" s="159" t="str">
        <f t="shared" si="30"/>
        <v/>
      </c>
      <c r="N372" s="107"/>
      <c r="O372" s="154" t="str">
        <f t="shared" si="31"/>
        <v>N/A</v>
      </c>
      <c r="P372" s="125" t="str">
        <f t="shared" si="32"/>
        <v>NO CUMPLE</v>
      </c>
      <c r="Q372" s="782"/>
      <c r="R372" s="784"/>
      <c r="AN372" s="781"/>
      <c r="AO372" s="781"/>
    </row>
    <row r="373" spans="1:41" ht="23.5" hidden="1" customHeight="1">
      <c r="A373" s="801"/>
      <c r="B373" s="803"/>
      <c r="C373" s="125" t="s">
        <v>620</v>
      </c>
      <c r="D373" s="155"/>
      <c r="E373" s="68"/>
      <c r="F373" s="125"/>
      <c r="G373" s="125"/>
      <c r="H373" s="125"/>
      <c r="I373" s="125"/>
      <c r="J373" s="803"/>
      <c r="K373" s="117" t="str">
        <f>IFERROR(IF(D373="","",SUMIF('EXPERIENCIA '!$D$3:$D$672,D373,'EXPERIENCIA '!$AF$3:$AF$672)),"")</f>
        <v/>
      </c>
      <c r="L373" s="125" t="str">
        <f>IF(K373="","",IF(K373=0,0,IF(K373&gt;=PARÁMETROS!$O$5,"CUMPLE","NO CUMPLE")))</f>
        <v/>
      </c>
      <c r="M373" s="159" t="str">
        <f t="shared" si="30"/>
        <v/>
      </c>
      <c r="N373" s="107"/>
      <c r="O373" s="154" t="str">
        <f t="shared" si="31"/>
        <v>N/A</v>
      </c>
      <c r="P373" s="125" t="str">
        <f t="shared" si="32"/>
        <v>NO CUMPLE</v>
      </c>
      <c r="Q373" s="782"/>
      <c r="R373" s="784"/>
      <c r="AN373" s="781"/>
      <c r="AO373" s="781"/>
    </row>
    <row r="374" spans="1:41" ht="23.5" hidden="1" customHeight="1" thickBot="1">
      <c r="A374" s="802"/>
      <c r="B374" s="804"/>
      <c r="C374" s="133" t="s">
        <v>621</v>
      </c>
      <c r="D374" s="157"/>
      <c r="E374" s="104"/>
      <c r="F374" s="133"/>
      <c r="G374" s="133"/>
      <c r="H374" s="133"/>
      <c r="I374" s="133"/>
      <c r="J374" s="804"/>
      <c r="K374" s="136" t="str">
        <f>IFERROR(IF(D374="","",SUMIF('EXPERIENCIA '!$D$3:$D$672,D374,'EXPERIENCIA '!$AF$3:$AF$672)),"")</f>
        <v/>
      </c>
      <c r="L374" s="133" t="str">
        <f>IF(K374="","",IF(K374=0,0,IF(K374&gt;=PARÁMETROS!$O$5,"CUMPLE","NO CUMPLE")))</f>
        <v/>
      </c>
      <c r="M374" s="160" t="str">
        <f t="shared" si="30"/>
        <v/>
      </c>
      <c r="N374" s="107"/>
      <c r="O374" s="156" t="str">
        <f t="shared" si="31"/>
        <v>N/A</v>
      </c>
      <c r="P374" s="133" t="str">
        <f t="shared" si="32"/>
        <v>NO CUMPLE</v>
      </c>
      <c r="Q374" s="783"/>
      <c r="R374" s="785"/>
      <c r="AN374" s="575"/>
      <c r="AO374" s="575"/>
    </row>
    <row r="375" spans="1:41" ht="23.5" hidden="1" customHeight="1">
      <c r="A375" s="800" t="s">
        <v>593</v>
      </c>
      <c r="B375" s="730"/>
      <c r="C375" s="111" t="s">
        <v>622</v>
      </c>
      <c r="D375" s="153"/>
      <c r="E375" s="113"/>
      <c r="F375" s="111"/>
      <c r="G375" s="111"/>
      <c r="H375" s="111"/>
      <c r="I375" s="111"/>
      <c r="J375" s="730">
        <f>SUM(AN375:AO380)</f>
        <v>0</v>
      </c>
      <c r="K375" s="115" t="str">
        <f>IFERROR(IF(D375="","",SUMIF('EXPERIENCIA '!$D$3:$D$672,D375,'EXPERIENCIA '!$AF$3:$AF$672)),"")</f>
        <v/>
      </c>
      <c r="L375" s="111" t="str">
        <f>IF(K375="","",IF(K375=0,0,IF(K375&gt;=PARÁMETROS!$O$5,"CUMPLE","NO CUMPLE")))</f>
        <v/>
      </c>
      <c r="M375" s="158" t="str">
        <f t="shared" si="30"/>
        <v/>
      </c>
      <c r="N375" s="107"/>
      <c r="O375" s="161" t="str">
        <f t="shared" si="31"/>
        <v>N/A</v>
      </c>
      <c r="P375" s="121" t="str">
        <f t="shared" si="32"/>
        <v>NO CUMPLE</v>
      </c>
      <c r="Q375" s="782"/>
      <c r="R375" s="784"/>
      <c r="AN375" s="574">
        <f>IF(COUNTIF(H375:H380,"ACREDITA")&gt;0,1,0)</f>
        <v>0</v>
      </c>
      <c r="AO375" s="574">
        <f>IF(COUNTIF(I375:I380,"ACREDITA")&gt;0,1,0)</f>
        <v>0</v>
      </c>
    </row>
    <row r="376" spans="1:41" ht="23.5" hidden="1" customHeight="1">
      <c r="A376" s="801"/>
      <c r="B376" s="803"/>
      <c r="C376" s="125" t="s">
        <v>623</v>
      </c>
      <c r="D376" s="155"/>
      <c r="E376" s="68"/>
      <c r="F376" s="125"/>
      <c r="G376" s="125"/>
      <c r="H376" s="125"/>
      <c r="I376" s="125"/>
      <c r="J376" s="803"/>
      <c r="K376" s="117" t="str">
        <f>IFERROR(IF(D376="","",SUMIF('EXPERIENCIA '!$D$3:$D$672,D376,'EXPERIENCIA '!$AF$3:$AF$672)),"")</f>
        <v/>
      </c>
      <c r="L376" s="125" t="str">
        <f>IF(K376="","",IF(K376=0,0,IF(K376&gt;=PARÁMETROS!$O$5,"CUMPLE","NO CUMPLE")))</f>
        <v/>
      </c>
      <c r="M376" s="159" t="str">
        <f t="shared" si="30"/>
        <v/>
      </c>
      <c r="N376" s="107"/>
      <c r="O376" s="154" t="str">
        <f t="shared" si="31"/>
        <v>N/A</v>
      </c>
      <c r="P376" s="125" t="str">
        <f t="shared" si="32"/>
        <v>NO CUMPLE</v>
      </c>
      <c r="Q376" s="782"/>
      <c r="R376" s="784"/>
      <c r="AN376" s="781"/>
      <c r="AO376" s="781"/>
    </row>
    <row r="377" spans="1:41" ht="23.5" hidden="1" customHeight="1">
      <c r="A377" s="801"/>
      <c r="B377" s="803"/>
      <c r="C377" s="125" t="s">
        <v>624</v>
      </c>
      <c r="D377" s="155"/>
      <c r="E377" s="68"/>
      <c r="F377" s="125"/>
      <c r="G377" s="125"/>
      <c r="H377" s="125"/>
      <c r="I377" s="125"/>
      <c r="J377" s="803"/>
      <c r="K377" s="117" t="str">
        <f>IFERROR(IF(D377="","",SUMIF('EXPERIENCIA '!$D$3:$D$672,D377,'EXPERIENCIA '!$AF$3:$AF$672)),"")</f>
        <v/>
      </c>
      <c r="L377" s="125" t="str">
        <f>IF(K377="","",IF(K377=0,0,IF(K377&gt;=PARÁMETROS!$O$5,"CUMPLE","NO CUMPLE")))</f>
        <v/>
      </c>
      <c r="M377" s="159" t="str">
        <f t="shared" si="30"/>
        <v/>
      </c>
      <c r="N377" s="107"/>
      <c r="O377" s="154" t="str">
        <f t="shared" si="31"/>
        <v>N/A</v>
      </c>
      <c r="P377" s="125" t="str">
        <f t="shared" si="32"/>
        <v>NO CUMPLE</v>
      </c>
      <c r="Q377" s="782"/>
      <c r="R377" s="784"/>
      <c r="AN377" s="781"/>
      <c r="AO377" s="781"/>
    </row>
    <row r="378" spans="1:41" ht="23.5" hidden="1" customHeight="1">
      <c r="A378" s="801"/>
      <c r="B378" s="803"/>
      <c r="C378" s="125" t="s">
        <v>625</v>
      </c>
      <c r="D378" s="155"/>
      <c r="E378" s="68"/>
      <c r="F378" s="125"/>
      <c r="G378" s="125"/>
      <c r="H378" s="125"/>
      <c r="I378" s="125"/>
      <c r="J378" s="803"/>
      <c r="K378" s="117" t="str">
        <f>IFERROR(IF(D378="","",SUMIF('EXPERIENCIA '!$D$3:$D$672,D378,'EXPERIENCIA '!$AF$3:$AF$672)),"")</f>
        <v/>
      </c>
      <c r="L378" s="125" t="str">
        <f>IF(K378="","",IF(K378=0,0,IF(K378&gt;=PARÁMETROS!$O$5,"CUMPLE","NO CUMPLE")))</f>
        <v/>
      </c>
      <c r="M378" s="159" t="str">
        <f t="shared" si="30"/>
        <v/>
      </c>
      <c r="N378" s="107"/>
      <c r="O378" s="154" t="str">
        <f t="shared" si="31"/>
        <v>N/A</v>
      </c>
      <c r="P378" s="125" t="str">
        <f t="shared" si="32"/>
        <v>NO CUMPLE</v>
      </c>
      <c r="Q378" s="782"/>
      <c r="R378" s="784"/>
      <c r="AN378" s="781"/>
      <c r="AO378" s="781"/>
    </row>
    <row r="379" spans="1:41" ht="23.5" hidden="1" customHeight="1">
      <c r="A379" s="801"/>
      <c r="B379" s="803"/>
      <c r="C379" s="125" t="s">
        <v>626</v>
      </c>
      <c r="D379" s="155"/>
      <c r="E379" s="68"/>
      <c r="F379" s="125"/>
      <c r="G379" s="125"/>
      <c r="H379" s="125"/>
      <c r="I379" s="125"/>
      <c r="J379" s="803"/>
      <c r="K379" s="117" t="str">
        <f>IFERROR(IF(D379="","",SUMIF('EXPERIENCIA '!$D$3:$D$672,D379,'EXPERIENCIA '!$AF$3:$AF$672)),"")</f>
        <v/>
      </c>
      <c r="L379" s="125" t="str">
        <f>IF(K379="","",IF(K379=0,0,IF(K379&gt;=PARÁMETROS!$O$5,"CUMPLE","NO CUMPLE")))</f>
        <v/>
      </c>
      <c r="M379" s="159" t="str">
        <f t="shared" si="30"/>
        <v/>
      </c>
      <c r="N379" s="107"/>
      <c r="O379" s="154" t="str">
        <f t="shared" si="31"/>
        <v>N/A</v>
      </c>
      <c r="P379" s="125" t="str">
        <f t="shared" si="32"/>
        <v>NO CUMPLE</v>
      </c>
      <c r="Q379" s="782"/>
      <c r="R379" s="784"/>
      <c r="AN379" s="781"/>
      <c r="AO379" s="781"/>
    </row>
    <row r="380" spans="1:41" ht="23.5" hidden="1" customHeight="1" thickBot="1">
      <c r="A380" s="802"/>
      <c r="B380" s="804"/>
      <c r="C380" s="133" t="s">
        <v>627</v>
      </c>
      <c r="D380" s="157"/>
      <c r="E380" s="104"/>
      <c r="F380" s="133"/>
      <c r="G380" s="133"/>
      <c r="H380" s="133"/>
      <c r="I380" s="133"/>
      <c r="J380" s="804"/>
      <c r="K380" s="136" t="str">
        <f>IFERROR(IF(D380="","",SUMIF('EXPERIENCIA '!$D$3:$D$672,D380,'EXPERIENCIA '!$AF$3:$AF$672)),"")</f>
        <v/>
      </c>
      <c r="L380" s="133" t="str">
        <f>IF(K380="","",IF(K380=0,0,IF(K380&gt;=PARÁMETROS!$O$5,"CUMPLE","NO CUMPLE")))</f>
        <v/>
      </c>
      <c r="M380" s="160" t="str">
        <f t="shared" si="30"/>
        <v/>
      </c>
      <c r="N380" s="107"/>
      <c r="O380" s="156" t="str">
        <f t="shared" si="31"/>
        <v>N/A</v>
      </c>
      <c r="P380" s="133" t="str">
        <f t="shared" si="32"/>
        <v>NO CUMPLE</v>
      </c>
      <c r="Q380" s="783"/>
      <c r="R380" s="785"/>
      <c r="AN380" s="575"/>
      <c r="AO380" s="575"/>
    </row>
    <row r="381" spans="1:41" ht="23.5" hidden="1" customHeight="1">
      <c r="A381" s="800" t="s">
        <v>594</v>
      </c>
      <c r="B381" s="730"/>
      <c r="C381" s="111" t="s">
        <v>628</v>
      </c>
      <c r="D381" s="153"/>
      <c r="E381" s="113"/>
      <c r="F381" s="111"/>
      <c r="G381" s="111"/>
      <c r="H381" s="111"/>
      <c r="I381" s="111"/>
      <c r="J381" s="730">
        <f>SUM(AN381:AO386)</f>
        <v>0</v>
      </c>
      <c r="K381" s="115" t="str">
        <f>IFERROR(IF(D381="","",SUMIF('EXPERIENCIA '!$D$3:$D$672,D381,'EXPERIENCIA '!$AF$3:$AF$672)),"")</f>
        <v/>
      </c>
      <c r="L381" s="111" t="str">
        <f>IF(K381="","",IF(K381=0,0,IF(K381&gt;=PARÁMETROS!$O$5,"CUMPLE","NO CUMPLE")))</f>
        <v/>
      </c>
      <c r="M381" s="158" t="str">
        <f t="shared" si="30"/>
        <v/>
      </c>
      <c r="N381" s="107"/>
      <c r="O381" s="161" t="str">
        <f t="shared" si="31"/>
        <v>N/A</v>
      </c>
      <c r="P381" s="121" t="str">
        <f t="shared" si="32"/>
        <v>NO CUMPLE</v>
      </c>
      <c r="Q381" s="782"/>
      <c r="R381" s="784"/>
      <c r="AN381" s="574">
        <f>IF(COUNTIF(H381:H386,"ACREDITA")&gt;0,1,0)</f>
        <v>0</v>
      </c>
      <c r="AO381" s="574">
        <f>IF(COUNTIF(I381:I386,"ACREDITA")&gt;0,1,0)</f>
        <v>0</v>
      </c>
    </row>
    <row r="382" spans="1:41" ht="23.5" hidden="1" customHeight="1">
      <c r="A382" s="801"/>
      <c r="B382" s="803"/>
      <c r="C382" s="125" t="s">
        <v>629</v>
      </c>
      <c r="D382" s="155"/>
      <c r="E382" s="68"/>
      <c r="F382" s="125"/>
      <c r="G382" s="125"/>
      <c r="H382" s="125"/>
      <c r="I382" s="125"/>
      <c r="J382" s="803"/>
      <c r="K382" s="117" t="str">
        <f>IFERROR(IF(D382="","",SUMIF('EXPERIENCIA '!$D$3:$D$672,D382,'EXPERIENCIA '!$AF$3:$AF$672)),"")</f>
        <v/>
      </c>
      <c r="L382" s="125" t="str">
        <f>IF(K382="","",IF(K382=0,0,IF(K382&gt;=PARÁMETROS!$O$5,"CUMPLE","NO CUMPLE")))</f>
        <v/>
      </c>
      <c r="M382" s="159" t="str">
        <f t="shared" si="30"/>
        <v/>
      </c>
      <c r="N382" s="107"/>
      <c r="O382" s="154" t="str">
        <f t="shared" si="31"/>
        <v>N/A</v>
      </c>
      <c r="P382" s="125" t="str">
        <f t="shared" si="32"/>
        <v>NO CUMPLE</v>
      </c>
      <c r="Q382" s="782"/>
      <c r="R382" s="784"/>
      <c r="AN382" s="781"/>
      <c r="AO382" s="781"/>
    </row>
    <row r="383" spans="1:41" ht="23.5" hidden="1" customHeight="1">
      <c r="A383" s="801"/>
      <c r="B383" s="803"/>
      <c r="C383" s="125" t="s">
        <v>630</v>
      </c>
      <c r="D383" s="155"/>
      <c r="E383" s="68"/>
      <c r="F383" s="125"/>
      <c r="G383" s="125"/>
      <c r="H383" s="125"/>
      <c r="I383" s="125"/>
      <c r="J383" s="803"/>
      <c r="K383" s="117" t="str">
        <f>IFERROR(IF(D383="","",SUMIF('EXPERIENCIA '!$D$3:$D$672,D383,'EXPERIENCIA '!$AF$3:$AF$672)),"")</f>
        <v/>
      </c>
      <c r="L383" s="125" t="str">
        <f>IF(K383="","",IF(K383=0,0,IF(K383&gt;=PARÁMETROS!$O$5,"CUMPLE","NO CUMPLE")))</f>
        <v/>
      </c>
      <c r="M383" s="159" t="str">
        <f t="shared" si="30"/>
        <v/>
      </c>
      <c r="N383" s="107"/>
      <c r="O383" s="154" t="str">
        <f t="shared" si="31"/>
        <v>N/A</v>
      </c>
      <c r="P383" s="125" t="str">
        <f t="shared" si="32"/>
        <v>NO CUMPLE</v>
      </c>
      <c r="Q383" s="782"/>
      <c r="R383" s="784"/>
      <c r="AN383" s="781"/>
      <c r="AO383" s="781"/>
    </row>
    <row r="384" spans="1:41" ht="23.5" hidden="1" customHeight="1">
      <c r="A384" s="801"/>
      <c r="B384" s="803"/>
      <c r="C384" s="125" t="s">
        <v>631</v>
      </c>
      <c r="D384" s="155"/>
      <c r="E384" s="68"/>
      <c r="F384" s="125"/>
      <c r="G384" s="125"/>
      <c r="H384" s="125"/>
      <c r="I384" s="125"/>
      <c r="J384" s="803"/>
      <c r="K384" s="117" t="str">
        <f>IFERROR(IF(D384="","",SUMIF('EXPERIENCIA '!$D$3:$D$672,D384,'EXPERIENCIA '!$AF$3:$AF$672)),"")</f>
        <v/>
      </c>
      <c r="L384" s="125" t="str">
        <f>IF(K384="","",IF(K384=0,0,IF(K384&gt;=PARÁMETROS!$O$5,"CUMPLE","NO CUMPLE")))</f>
        <v/>
      </c>
      <c r="M384" s="159" t="str">
        <f t="shared" si="30"/>
        <v/>
      </c>
      <c r="N384" s="107"/>
      <c r="O384" s="154" t="str">
        <f t="shared" si="31"/>
        <v>N/A</v>
      </c>
      <c r="P384" s="125" t="str">
        <f t="shared" si="32"/>
        <v>NO CUMPLE</v>
      </c>
      <c r="Q384" s="782"/>
      <c r="R384" s="784"/>
      <c r="AN384" s="781"/>
      <c r="AO384" s="781"/>
    </row>
    <row r="385" spans="1:41" ht="23.5" hidden="1" customHeight="1">
      <c r="A385" s="801"/>
      <c r="B385" s="803"/>
      <c r="C385" s="125" t="s">
        <v>632</v>
      </c>
      <c r="D385" s="155"/>
      <c r="E385" s="68"/>
      <c r="F385" s="125"/>
      <c r="G385" s="125"/>
      <c r="H385" s="125"/>
      <c r="I385" s="125"/>
      <c r="J385" s="803"/>
      <c r="K385" s="117" t="str">
        <f>IFERROR(IF(D385="","",SUMIF('EXPERIENCIA '!$D$3:$D$672,D385,'EXPERIENCIA '!$AF$3:$AF$672)),"")</f>
        <v/>
      </c>
      <c r="L385" s="125" t="str">
        <f>IF(K385="","",IF(K385=0,0,IF(K385&gt;=PARÁMETROS!$O$5,"CUMPLE","NO CUMPLE")))</f>
        <v/>
      </c>
      <c r="M385" s="159" t="str">
        <f t="shared" si="30"/>
        <v/>
      </c>
      <c r="N385" s="107"/>
      <c r="O385" s="154" t="str">
        <f t="shared" si="31"/>
        <v>N/A</v>
      </c>
      <c r="P385" s="125" t="str">
        <f t="shared" si="32"/>
        <v>NO CUMPLE</v>
      </c>
      <c r="Q385" s="782"/>
      <c r="R385" s="784"/>
      <c r="AN385" s="781"/>
      <c r="AO385" s="781"/>
    </row>
    <row r="386" spans="1:41" ht="23.5" hidden="1" customHeight="1" thickBot="1">
      <c r="A386" s="802"/>
      <c r="B386" s="804"/>
      <c r="C386" s="133" t="s">
        <v>633</v>
      </c>
      <c r="D386" s="157"/>
      <c r="E386" s="104"/>
      <c r="F386" s="133"/>
      <c r="G386" s="133"/>
      <c r="H386" s="133"/>
      <c r="I386" s="133"/>
      <c r="J386" s="804"/>
      <c r="K386" s="136" t="str">
        <f>IFERROR(IF(D386="","",SUMIF('EXPERIENCIA '!$D$3:$D$672,D386,'EXPERIENCIA '!$AF$3:$AF$672)),"")</f>
        <v/>
      </c>
      <c r="L386" s="133" t="str">
        <f>IF(K386="","",IF(K386=0,0,IF(K386&gt;=PARÁMETROS!$O$5,"CUMPLE","NO CUMPLE")))</f>
        <v/>
      </c>
      <c r="M386" s="160" t="str">
        <f t="shared" si="30"/>
        <v/>
      </c>
      <c r="N386" s="107"/>
      <c r="O386" s="156" t="str">
        <f t="shared" si="31"/>
        <v>N/A</v>
      </c>
      <c r="P386" s="133" t="str">
        <f t="shared" si="32"/>
        <v>NO CUMPLE</v>
      </c>
      <c r="Q386" s="783"/>
      <c r="R386" s="785"/>
      <c r="AN386" s="575"/>
      <c r="AO386" s="575"/>
    </row>
    <row r="387" spans="1:41" ht="23.5" hidden="1" customHeight="1">
      <c r="A387" s="800" t="s">
        <v>595</v>
      </c>
      <c r="B387" s="730"/>
      <c r="C387" s="111" t="s">
        <v>634</v>
      </c>
      <c r="D387" s="153"/>
      <c r="E387" s="113"/>
      <c r="F387" s="111"/>
      <c r="G387" s="111"/>
      <c r="H387" s="111"/>
      <c r="I387" s="111"/>
      <c r="J387" s="730">
        <f>SUM(AN387:AO392)</f>
        <v>0</v>
      </c>
      <c r="K387" s="115" t="str">
        <f>IFERROR(IF(D387="","",SUMIF('EXPERIENCIA '!$D$3:$D$672,D387,'EXPERIENCIA '!$AF$3:$AF$672)),"")</f>
        <v/>
      </c>
      <c r="L387" s="111" t="str">
        <f>IF(K387="","",IF(K387=0,0,IF(K387&gt;=PARÁMETROS!$O$5,"CUMPLE","NO CUMPLE")))</f>
        <v/>
      </c>
      <c r="M387" s="158" t="str">
        <f t="shared" ref="M387:M398" si="33">+IF(G387="ACREDITA",IF(L387="CUMPLE","CUMPLE","NO CUMPLE"),"")</f>
        <v/>
      </c>
      <c r="N387" s="107"/>
      <c r="O387" s="161" t="str">
        <f t="shared" ref="O387:O398" si="34">IFERROR(IF(OR(G387="",G387="N/A",G387="NO APLICA"),"N/A",IFERROR(IF(K387=0,"",IF(K387&gt;=PDMI,"CUMPLE","NO CUMPLE")),"")),"")</f>
        <v>N/A</v>
      </c>
      <c r="P387" s="121" t="str">
        <f t="shared" ref="P387:P398" si="35">IFERROR(IF(O387="N/A","NO CUMPLE",IFERROR(IF(G387="ACREDITA",IF(O387="CUMPLE","CUMPLE","NO CUMPLE"),""),"")),"")</f>
        <v>NO CUMPLE</v>
      </c>
      <c r="Q387" s="782"/>
      <c r="R387" s="784"/>
      <c r="AN387" s="574">
        <f>IF(COUNTIF(H387:H392,"ACREDITA")&gt;0,1,0)</f>
        <v>0</v>
      </c>
      <c r="AO387" s="574">
        <f>IF(COUNTIF(I387:I392,"ACREDITA")&gt;0,1,0)</f>
        <v>0</v>
      </c>
    </row>
    <row r="388" spans="1:41" ht="23.5" hidden="1" customHeight="1">
      <c r="A388" s="801"/>
      <c r="B388" s="803"/>
      <c r="C388" s="125" t="s">
        <v>635</v>
      </c>
      <c r="D388" s="155"/>
      <c r="E388" s="68"/>
      <c r="F388" s="125"/>
      <c r="G388" s="125"/>
      <c r="H388" s="125"/>
      <c r="I388" s="125"/>
      <c r="J388" s="803"/>
      <c r="K388" s="117" t="str">
        <f>IFERROR(IF(D388="","",SUMIF('EXPERIENCIA '!$D$3:$D$672,D388,'EXPERIENCIA '!$AF$3:$AF$672)),"")</f>
        <v/>
      </c>
      <c r="L388" s="125" t="str">
        <f>IF(K388="","",IF(K388=0,0,IF(K388&gt;=PARÁMETROS!$O$5,"CUMPLE","NO CUMPLE")))</f>
        <v/>
      </c>
      <c r="M388" s="159" t="str">
        <f t="shared" si="33"/>
        <v/>
      </c>
      <c r="N388" s="107"/>
      <c r="O388" s="154" t="str">
        <f t="shared" si="34"/>
        <v>N/A</v>
      </c>
      <c r="P388" s="125" t="str">
        <f t="shared" si="35"/>
        <v>NO CUMPLE</v>
      </c>
      <c r="Q388" s="782"/>
      <c r="R388" s="784"/>
      <c r="AN388" s="781"/>
      <c r="AO388" s="781"/>
    </row>
    <row r="389" spans="1:41" ht="23.5" hidden="1" customHeight="1">
      <c r="A389" s="801"/>
      <c r="B389" s="803"/>
      <c r="C389" s="125" t="s">
        <v>636</v>
      </c>
      <c r="D389" s="155"/>
      <c r="E389" s="68"/>
      <c r="F389" s="125"/>
      <c r="G389" s="125"/>
      <c r="H389" s="125"/>
      <c r="I389" s="125"/>
      <c r="J389" s="803"/>
      <c r="K389" s="117" t="str">
        <f>IFERROR(IF(D389="","",SUMIF('EXPERIENCIA '!$D$3:$D$672,D389,'EXPERIENCIA '!$AF$3:$AF$672)),"")</f>
        <v/>
      </c>
      <c r="L389" s="125" t="str">
        <f>IF(K389="","",IF(K389=0,0,IF(K389&gt;=PARÁMETROS!$O$5,"CUMPLE","NO CUMPLE")))</f>
        <v/>
      </c>
      <c r="M389" s="159" t="str">
        <f t="shared" si="33"/>
        <v/>
      </c>
      <c r="N389" s="107"/>
      <c r="O389" s="154" t="str">
        <f t="shared" si="34"/>
        <v>N/A</v>
      </c>
      <c r="P389" s="125" t="str">
        <f t="shared" si="35"/>
        <v>NO CUMPLE</v>
      </c>
      <c r="Q389" s="782"/>
      <c r="R389" s="784"/>
      <c r="AN389" s="781"/>
      <c r="AO389" s="781"/>
    </row>
    <row r="390" spans="1:41" ht="23.5" hidden="1" customHeight="1">
      <c r="A390" s="801"/>
      <c r="B390" s="803"/>
      <c r="C390" s="125" t="s">
        <v>637</v>
      </c>
      <c r="D390" s="155"/>
      <c r="E390" s="68"/>
      <c r="F390" s="125"/>
      <c r="G390" s="125"/>
      <c r="H390" s="125"/>
      <c r="I390" s="125"/>
      <c r="J390" s="803"/>
      <c r="K390" s="117" t="str">
        <f>IFERROR(IF(D390="","",SUMIF('EXPERIENCIA '!$D$3:$D$672,D390,'EXPERIENCIA '!$AF$3:$AF$672)),"")</f>
        <v/>
      </c>
      <c r="L390" s="125" t="str">
        <f>IF(K390="","",IF(K390=0,0,IF(K390&gt;=PARÁMETROS!$O$5,"CUMPLE","NO CUMPLE")))</f>
        <v/>
      </c>
      <c r="M390" s="159" t="str">
        <f t="shared" si="33"/>
        <v/>
      </c>
      <c r="N390" s="107"/>
      <c r="O390" s="154" t="str">
        <f t="shared" si="34"/>
        <v>N/A</v>
      </c>
      <c r="P390" s="125" t="str">
        <f t="shared" si="35"/>
        <v>NO CUMPLE</v>
      </c>
      <c r="Q390" s="782"/>
      <c r="R390" s="784"/>
      <c r="AN390" s="781"/>
      <c r="AO390" s="781"/>
    </row>
    <row r="391" spans="1:41" ht="23.5" hidden="1" customHeight="1">
      <c r="A391" s="801"/>
      <c r="B391" s="803"/>
      <c r="C391" s="125" t="s">
        <v>638</v>
      </c>
      <c r="D391" s="155"/>
      <c r="E391" s="68"/>
      <c r="F391" s="125"/>
      <c r="G391" s="125"/>
      <c r="H391" s="125"/>
      <c r="I391" s="125"/>
      <c r="J391" s="803"/>
      <c r="K391" s="117" t="str">
        <f>IFERROR(IF(D391="","",SUMIF('EXPERIENCIA '!$D$3:$D$672,D391,'EXPERIENCIA '!$AF$3:$AF$672)),"")</f>
        <v/>
      </c>
      <c r="L391" s="125" t="str">
        <f>IF(K391="","",IF(K391=0,0,IF(K391&gt;=PARÁMETROS!$O$5,"CUMPLE","NO CUMPLE")))</f>
        <v/>
      </c>
      <c r="M391" s="159" t="str">
        <f t="shared" si="33"/>
        <v/>
      </c>
      <c r="N391" s="107"/>
      <c r="O391" s="154" t="str">
        <f t="shared" si="34"/>
        <v>N/A</v>
      </c>
      <c r="P391" s="125" t="str">
        <f t="shared" si="35"/>
        <v>NO CUMPLE</v>
      </c>
      <c r="Q391" s="782"/>
      <c r="R391" s="784"/>
      <c r="AN391" s="781"/>
      <c r="AO391" s="781"/>
    </row>
    <row r="392" spans="1:41" ht="23.5" hidden="1" customHeight="1" thickBot="1">
      <c r="A392" s="802"/>
      <c r="B392" s="804"/>
      <c r="C392" s="133" t="s">
        <v>639</v>
      </c>
      <c r="D392" s="157"/>
      <c r="E392" s="104"/>
      <c r="F392" s="133"/>
      <c r="G392" s="133"/>
      <c r="H392" s="133"/>
      <c r="I392" s="133"/>
      <c r="J392" s="804"/>
      <c r="K392" s="136" t="str">
        <f>IFERROR(IF(D392="","",SUMIF('EXPERIENCIA '!$D$3:$D$672,D392,'EXPERIENCIA '!$AF$3:$AF$672)),"")</f>
        <v/>
      </c>
      <c r="L392" s="133" t="str">
        <f>IF(K392="","",IF(K392=0,0,IF(K392&gt;=PARÁMETROS!$O$5,"CUMPLE","NO CUMPLE")))</f>
        <v/>
      </c>
      <c r="M392" s="160" t="str">
        <f t="shared" si="33"/>
        <v/>
      </c>
      <c r="N392" s="107"/>
      <c r="O392" s="156" t="str">
        <f t="shared" si="34"/>
        <v>N/A</v>
      </c>
      <c r="P392" s="133" t="str">
        <f t="shared" si="35"/>
        <v>NO CUMPLE</v>
      </c>
      <c r="Q392" s="783"/>
      <c r="R392" s="785"/>
      <c r="AN392" s="575"/>
      <c r="AO392" s="575"/>
    </row>
    <row r="393" spans="1:41" ht="23.5" hidden="1" customHeight="1">
      <c r="A393" s="800" t="s">
        <v>596</v>
      </c>
      <c r="B393" s="730"/>
      <c r="C393" s="111" t="s">
        <v>640</v>
      </c>
      <c r="D393" s="153"/>
      <c r="E393" s="113"/>
      <c r="F393" s="111"/>
      <c r="G393" s="111"/>
      <c r="H393" s="111"/>
      <c r="I393" s="111"/>
      <c r="J393" s="730">
        <f>SUM(AN393:AO398)</f>
        <v>0</v>
      </c>
      <c r="K393" s="115" t="str">
        <f>IFERROR(IF(D393="","",SUMIF('EXPERIENCIA '!$D$3:$D$672,D393,'EXPERIENCIA '!$AF$3:$AF$672)),"")</f>
        <v/>
      </c>
      <c r="L393" s="111" t="str">
        <f>IF(K393="","",IF(K393=0,0,IF(K393&gt;=PARÁMETROS!$O$5,"CUMPLE","NO CUMPLE")))</f>
        <v/>
      </c>
      <c r="M393" s="158" t="str">
        <f t="shared" si="33"/>
        <v/>
      </c>
      <c r="N393" s="107"/>
      <c r="O393" s="161" t="str">
        <f t="shared" si="34"/>
        <v>N/A</v>
      </c>
      <c r="P393" s="121" t="str">
        <f t="shared" si="35"/>
        <v>NO CUMPLE</v>
      </c>
      <c r="Q393" s="782"/>
      <c r="R393" s="784"/>
      <c r="AN393" s="574">
        <f>IF(COUNTIF(H393:H398,"ACREDITA")&gt;0,1,0)</f>
        <v>0</v>
      </c>
      <c r="AO393" s="574">
        <f>IF(COUNTIF(I393:I398,"ACREDITA")&gt;0,1,0)</f>
        <v>0</v>
      </c>
    </row>
    <row r="394" spans="1:41" ht="23.5" hidden="1" customHeight="1">
      <c r="A394" s="801"/>
      <c r="B394" s="803"/>
      <c r="C394" s="125" t="s">
        <v>641</v>
      </c>
      <c r="D394" s="155"/>
      <c r="E394" s="68"/>
      <c r="F394" s="125"/>
      <c r="G394" s="125"/>
      <c r="H394" s="125"/>
      <c r="I394" s="125"/>
      <c r="J394" s="803"/>
      <c r="K394" s="117" t="str">
        <f>IFERROR(IF(D394="","",SUMIF('EXPERIENCIA '!$D$3:$D$672,D394,'EXPERIENCIA '!$AF$3:$AF$672)),"")</f>
        <v/>
      </c>
      <c r="L394" s="125" t="str">
        <f>IF(K394="","",IF(K394=0,0,IF(K394&gt;=PARÁMETROS!$O$5,"CUMPLE","NO CUMPLE")))</f>
        <v/>
      </c>
      <c r="M394" s="159" t="str">
        <f t="shared" si="33"/>
        <v/>
      </c>
      <c r="N394" s="107"/>
      <c r="O394" s="154" t="str">
        <f t="shared" si="34"/>
        <v>N/A</v>
      </c>
      <c r="P394" s="125" t="str">
        <f t="shared" si="35"/>
        <v>NO CUMPLE</v>
      </c>
      <c r="Q394" s="782"/>
      <c r="R394" s="784"/>
      <c r="AN394" s="781"/>
      <c r="AO394" s="781"/>
    </row>
    <row r="395" spans="1:41" ht="23.5" hidden="1" customHeight="1">
      <c r="A395" s="801"/>
      <c r="B395" s="803"/>
      <c r="C395" s="125" t="s">
        <v>642</v>
      </c>
      <c r="D395" s="155"/>
      <c r="E395" s="68"/>
      <c r="F395" s="125"/>
      <c r="G395" s="125"/>
      <c r="H395" s="125"/>
      <c r="I395" s="125"/>
      <c r="J395" s="803"/>
      <c r="K395" s="117" t="str">
        <f>IFERROR(IF(D395="","",SUMIF('EXPERIENCIA '!$D$3:$D$672,D395,'EXPERIENCIA '!$AF$3:$AF$672)),"")</f>
        <v/>
      </c>
      <c r="L395" s="125" t="str">
        <f>IF(K395="","",IF(K395=0,0,IF(K395&gt;=PARÁMETROS!$O$5,"CUMPLE","NO CUMPLE")))</f>
        <v/>
      </c>
      <c r="M395" s="159" t="str">
        <f t="shared" si="33"/>
        <v/>
      </c>
      <c r="N395" s="107"/>
      <c r="O395" s="154" t="str">
        <f t="shared" si="34"/>
        <v>N/A</v>
      </c>
      <c r="P395" s="125" t="str">
        <f t="shared" si="35"/>
        <v>NO CUMPLE</v>
      </c>
      <c r="Q395" s="782"/>
      <c r="R395" s="784"/>
      <c r="AN395" s="781"/>
      <c r="AO395" s="781"/>
    </row>
    <row r="396" spans="1:41" ht="23.5" hidden="1" customHeight="1">
      <c r="A396" s="801"/>
      <c r="B396" s="803"/>
      <c r="C396" s="125" t="s">
        <v>643</v>
      </c>
      <c r="D396" s="155"/>
      <c r="E396" s="68"/>
      <c r="F396" s="125"/>
      <c r="G396" s="125"/>
      <c r="H396" s="125"/>
      <c r="I396" s="125"/>
      <c r="J396" s="803"/>
      <c r="K396" s="117" t="str">
        <f>IFERROR(IF(D396="","",SUMIF('EXPERIENCIA '!$D$3:$D$672,D396,'EXPERIENCIA '!$AF$3:$AF$672)),"")</f>
        <v/>
      </c>
      <c r="L396" s="125" t="str">
        <f>IF(K396="","",IF(K396=0,0,IF(K396&gt;=PARÁMETROS!$O$5,"CUMPLE","NO CUMPLE")))</f>
        <v/>
      </c>
      <c r="M396" s="159" t="str">
        <f t="shared" si="33"/>
        <v/>
      </c>
      <c r="N396" s="107"/>
      <c r="O396" s="154" t="str">
        <f t="shared" si="34"/>
        <v>N/A</v>
      </c>
      <c r="P396" s="125" t="str">
        <f t="shared" si="35"/>
        <v>NO CUMPLE</v>
      </c>
      <c r="Q396" s="782"/>
      <c r="R396" s="784"/>
      <c r="AN396" s="781"/>
      <c r="AO396" s="781"/>
    </row>
    <row r="397" spans="1:41" ht="23.5" hidden="1" customHeight="1">
      <c r="A397" s="801"/>
      <c r="B397" s="803"/>
      <c r="C397" s="125" t="s">
        <v>644</v>
      </c>
      <c r="D397" s="155"/>
      <c r="E397" s="68"/>
      <c r="F397" s="125"/>
      <c r="G397" s="125"/>
      <c r="H397" s="125"/>
      <c r="I397" s="125"/>
      <c r="J397" s="803"/>
      <c r="K397" s="117" t="str">
        <f>IFERROR(IF(D397="","",SUMIF('EXPERIENCIA '!$D$3:$D$672,D397,'EXPERIENCIA '!$AF$3:$AF$672)),"")</f>
        <v/>
      </c>
      <c r="L397" s="125" t="str">
        <f>IF(K397="","",IF(K397=0,0,IF(K397&gt;=PARÁMETROS!$O$5,"CUMPLE","NO CUMPLE")))</f>
        <v/>
      </c>
      <c r="M397" s="159" t="str">
        <f t="shared" si="33"/>
        <v/>
      </c>
      <c r="N397" s="107"/>
      <c r="O397" s="154" t="str">
        <f t="shared" si="34"/>
        <v>N/A</v>
      </c>
      <c r="P397" s="125" t="str">
        <f t="shared" si="35"/>
        <v>NO CUMPLE</v>
      </c>
      <c r="Q397" s="782"/>
      <c r="R397" s="784"/>
      <c r="AN397" s="781"/>
      <c r="AO397" s="781"/>
    </row>
    <row r="398" spans="1:41" ht="23.5" hidden="1" customHeight="1" thickBot="1">
      <c r="A398" s="802"/>
      <c r="B398" s="804"/>
      <c r="C398" s="133" t="s">
        <v>645</v>
      </c>
      <c r="D398" s="157"/>
      <c r="E398" s="104"/>
      <c r="F398" s="133"/>
      <c r="G398" s="133"/>
      <c r="H398" s="133"/>
      <c r="I398" s="133"/>
      <c r="J398" s="804"/>
      <c r="K398" s="136" t="str">
        <f>IFERROR(IF(D398="","",SUMIF('EXPERIENCIA '!$D$3:$D$672,D398,'EXPERIENCIA '!$AF$3:$AF$672)),"")</f>
        <v/>
      </c>
      <c r="L398" s="133" t="str">
        <f>IF(K398="","",IF(K398=0,0,IF(K398&gt;=PARÁMETROS!$O$5,"CUMPLE","NO CUMPLE")))</f>
        <v/>
      </c>
      <c r="M398" s="160" t="str">
        <f t="shared" si="33"/>
        <v/>
      </c>
      <c r="N398" s="107"/>
      <c r="O398" s="156" t="str">
        <f t="shared" si="34"/>
        <v>N/A</v>
      </c>
      <c r="P398" s="133" t="str">
        <f t="shared" si="35"/>
        <v>NO CUMPLE</v>
      </c>
      <c r="Q398" s="783"/>
      <c r="R398" s="785"/>
      <c r="AN398" s="575"/>
      <c r="AO398" s="575"/>
    </row>
    <row r="399" spans="1:41" ht="23.5" hidden="1" customHeight="1">
      <c r="A399" s="800" t="s">
        <v>597</v>
      </c>
      <c r="B399" s="730"/>
      <c r="C399" s="111" t="s">
        <v>646</v>
      </c>
      <c r="D399" s="153"/>
      <c r="E399" s="113"/>
      <c r="F399" s="111"/>
      <c r="G399" s="111"/>
      <c r="H399" s="111"/>
      <c r="I399" s="111"/>
      <c r="J399" s="730">
        <f>SUM(AN399:AO404)</f>
        <v>0</v>
      </c>
      <c r="K399" s="115" t="str">
        <f>IFERROR(IF(D399="","",SUMIF('EXPERIENCIA '!$D$3:$D$672,D399,'EXPERIENCIA '!$AF$3:$AF$672)),"")</f>
        <v/>
      </c>
      <c r="L399" s="111" t="str">
        <f>IF(K399="","",IF(K399=0,0,IF(K399&gt;=PARÁMETROS!$O$5,"CUMPLE","NO CUMPLE")))</f>
        <v/>
      </c>
      <c r="M399" s="158" t="str">
        <f t="shared" ref="M399:M404" si="36">+IF(G399="ACREDITA",IF(L399="CUMPLE","CUMPLE","NO CUMPLE"),"")</f>
        <v/>
      </c>
      <c r="N399" s="107"/>
      <c r="O399" s="161" t="str">
        <f t="shared" ref="O399:O404" si="37">IFERROR(IF(OR(G399="",G399="N/A",G399="NO APLICA"),"N/A",IFERROR(IF(K399=0,"",IF(K399&gt;=PDMI,"CUMPLE","NO CUMPLE")),"")),"")</f>
        <v>N/A</v>
      </c>
      <c r="P399" s="121" t="str">
        <f t="shared" ref="P399:P404" si="38">IFERROR(IF(O399="N/A","NO CUMPLE",IFERROR(IF(G399="ACREDITA",IF(O399="CUMPLE","CUMPLE","NO CUMPLE"),""),"")),"")</f>
        <v>NO CUMPLE</v>
      </c>
      <c r="Q399" s="782"/>
      <c r="R399" s="784"/>
      <c r="AN399" s="574">
        <f>IF(COUNTIF(H399:H404,"ACREDITA")&gt;0,1,0)</f>
        <v>0</v>
      </c>
      <c r="AO399" s="574">
        <f>IF(COUNTIF(I399:I404,"ACREDITA")&gt;0,1,0)</f>
        <v>0</v>
      </c>
    </row>
    <row r="400" spans="1:41" ht="23.5" hidden="1" customHeight="1">
      <c r="A400" s="801"/>
      <c r="B400" s="803"/>
      <c r="C400" s="125" t="s">
        <v>647</v>
      </c>
      <c r="D400" s="155"/>
      <c r="E400" s="68"/>
      <c r="F400" s="125"/>
      <c r="G400" s="125"/>
      <c r="H400" s="125"/>
      <c r="I400" s="125"/>
      <c r="J400" s="803"/>
      <c r="K400" s="117" t="str">
        <f>IFERROR(IF(D400="","",SUMIF('EXPERIENCIA '!$D$3:$D$672,D400,'EXPERIENCIA '!$AF$3:$AF$672)),"")</f>
        <v/>
      </c>
      <c r="L400" s="125" t="str">
        <f>IF(K400="","",IF(K400=0,0,IF(K400&gt;=PARÁMETROS!$O$5,"CUMPLE","NO CUMPLE")))</f>
        <v/>
      </c>
      <c r="M400" s="159" t="str">
        <f t="shared" si="36"/>
        <v/>
      </c>
      <c r="N400" s="107"/>
      <c r="O400" s="154" t="str">
        <f t="shared" si="37"/>
        <v>N/A</v>
      </c>
      <c r="P400" s="125" t="str">
        <f t="shared" si="38"/>
        <v>NO CUMPLE</v>
      </c>
      <c r="Q400" s="782"/>
      <c r="R400" s="784"/>
      <c r="AN400" s="781"/>
      <c r="AO400" s="781"/>
    </row>
    <row r="401" spans="1:41" ht="23.5" hidden="1" customHeight="1">
      <c r="A401" s="801"/>
      <c r="B401" s="803"/>
      <c r="C401" s="125" t="s">
        <v>648</v>
      </c>
      <c r="D401" s="155"/>
      <c r="E401" s="68"/>
      <c r="F401" s="125"/>
      <c r="G401" s="125"/>
      <c r="H401" s="125"/>
      <c r="I401" s="125"/>
      <c r="J401" s="803"/>
      <c r="K401" s="117" t="str">
        <f>IFERROR(IF(D401="","",SUMIF('EXPERIENCIA '!$D$3:$D$672,D401,'EXPERIENCIA '!$AF$3:$AF$672)),"")</f>
        <v/>
      </c>
      <c r="L401" s="125" t="str">
        <f>IF(K401="","",IF(K401=0,0,IF(K401&gt;=PARÁMETROS!$O$5,"CUMPLE","NO CUMPLE")))</f>
        <v/>
      </c>
      <c r="M401" s="159" t="str">
        <f t="shared" si="36"/>
        <v/>
      </c>
      <c r="N401" s="107"/>
      <c r="O401" s="154" t="str">
        <f t="shared" si="37"/>
        <v>N/A</v>
      </c>
      <c r="P401" s="125" t="str">
        <f t="shared" si="38"/>
        <v>NO CUMPLE</v>
      </c>
      <c r="Q401" s="782"/>
      <c r="R401" s="784"/>
      <c r="AN401" s="781"/>
      <c r="AO401" s="781"/>
    </row>
    <row r="402" spans="1:41" ht="23.5" hidden="1" customHeight="1">
      <c r="A402" s="801"/>
      <c r="B402" s="803"/>
      <c r="C402" s="125" t="s">
        <v>649</v>
      </c>
      <c r="D402" s="155"/>
      <c r="E402" s="68"/>
      <c r="F402" s="125"/>
      <c r="G402" s="125"/>
      <c r="H402" s="125"/>
      <c r="I402" s="125"/>
      <c r="J402" s="803"/>
      <c r="K402" s="117" t="str">
        <f>IFERROR(IF(D402="","",SUMIF('EXPERIENCIA '!$D$3:$D$672,D402,'EXPERIENCIA '!$AF$3:$AF$672)),"")</f>
        <v/>
      </c>
      <c r="L402" s="125" t="str">
        <f>IF(K402="","",IF(K402=0,0,IF(K402&gt;=PARÁMETROS!$O$5,"CUMPLE","NO CUMPLE")))</f>
        <v/>
      </c>
      <c r="M402" s="159" t="str">
        <f t="shared" si="36"/>
        <v/>
      </c>
      <c r="N402" s="107"/>
      <c r="O402" s="154" t="str">
        <f t="shared" si="37"/>
        <v>N/A</v>
      </c>
      <c r="P402" s="125" t="str">
        <f t="shared" si="38"/>
        <v>NO CUMPLE</v>
      </c>
      <c r="Q402" s="782"/>
      <c r="R402" s="784"/>
      <c r="AN402" s="781"/>
      <c r="AO402" s="781"/>
    </row>
    <row r="403" spans="1:41" ht="23.5" hidden="1" customHeight="1">
      <c r="A403" s="801"/>
      <c r="B403" s="803"/>
      <c r="C403" s="125" t="s">
        <v>650</v>
      </c>
      <c r="D403" s="155"/>
      <c r="E403" s="68"/>
      <c r="F403" s="125"/>
      <c r="G403" s="125"/>
      <c r="H403" s="125"/>
      <c r="I403" s="125"/>
      <c r="J403" s="803"/>
      <c r="K403" s="117" t="str">
        <f>IFERROR(IF(D403="","",SUMIF('EXPERIENCIA '!$D$3:$D$672,D403,'EXPERIENCIA '!$AF$3:$AF$672)),"")</f>
        <v/>
      </c>
      <c r="L403" s="125" t="str">
        <f>IF(K403="","",IF(K403=0,0,IF(K403&gt;=PARÁMETROS!$O$5,"CUMPLE","NO CUMPLE")))</f>
        <v/>
      </c>
      <c r="M403" s="159" t="str">
        <f t="shared" si="36"/>
        <v/>
      </c>
      <c r="N403" s="107"/>
      <c r="O403" s="154" t="str">
        <f t="shared" si="37"/>
        <v>N/A</v>
      </c>
      <c r="P403" s="125" t="str">
        <f t="shared" si="38"/>
        <v>NO CUMPLE</v>
      </c>
      <c r="Q403" s="782"/>
      <c r="R403" s="784"/>
      <c r="AN403" s="781"/>
      <c r="AO403" s="781"/>
    </row>
    <row r="404" spans="1:41" ht="23.5" hidden="1" customHeight="1" thickBot="1">
      <c r="A404" s="802"/>
      <c r="B404" s="804"/>
      <c r="C404" s="133" t="s">
        <v>651</v>
      </c>
      <c r="D404" s="157"/>
      <c r="E404" s="104"/>
      <c r="F404" s="133"/>
      <c r="G404" s="133"/>
      <c r="H404" s="133"/>
      <c r="I404" s="133"/>
      <c r="J404" s="804"/>
      <c r="K404" s="136" t="str">
        <f>IFERROR(IF(D404="","",SUMIF('EXPERIENCIA '!$D$3:$D$672,D404,'EXPERIENCIA '!$AF$3:$AF$672)),"")</f>
        <v/>
      </c>
      <c r="L404" s="133" t="str">
        <f>IF(K404="","",IF(K404=0,0,IF(K404&gt;=PARÁMETROS!$O$5,"CUMPLE","NO CUMPLE")))</f>
        <v/>
      </c>
      <c r="M404" s="160" t="str">
        <f t="shared" si="36"/>
        <v/>
      </c>
      <c r="N404" s="107"/>
      <c r="O404" s="156" t="str">
        <f t="shared" si="37"/>
        <v>N/A</v>
      </c>
      <c r="P404" s="133" t="str">
        <f t="shared" si="38"/>
        <v>NO CUMPLE</v>
      </c>
      <c r="Q404" s="783"/>
      <c r="R404" s="785"/>
      <c r="AN404" s="575"/>
      <c r="AO404" s="575"/>
    </row>
  </sheetData>
  <mergeCells count="482">
    <mergeCell ref="A399:A404"/>
    <mergeCell ref="B399:B404"/>
    <mergeCell ref="J399:J404"/>
    <mergeCell ref="Q399:Q404"/>
    <mergeCell ref="R399:R404"/>
    <mergeCell ref="AN399:AN404"/>
    <mergeCell ref="AO399:AO404"/>
    <mergeCell ref="A387:A392"/>
    <mergeCell ref="B387:B392"/>
    <mergeCell ref="J387:J392"/>
    <mergeCell ref="Q387:Q392"/>
    <mergeCell ref="R387:R392"/>
    <mergeCell ref="AN387:AN392"/>
    <mergeCell ref="AO387:AO392"/>
    <mergeCell ref="A393:A398"/>
    <mergeCell ref="B393:B398"/>
    <mergeCell ref="J393:J398"/>
    <mergeCell ref="Q393:Q398"/>
    <mergeCell ref="R393:R398"/>
    <mergeCell ref="AN393:AN398"/>
    <mergeCell ref="AO393:AO398"/>
    <mergeCell ref="A375:A380"/>
    <mergeCell ref="B375:B380"/>
    <mergeCell ref="J375:J380"/>
    <mergeCell ref="Q375:Q380"/>
    <mergeCell ref="R375:R380"/>
    <mergeCell ref="AN375:AN380"/>
    <mergeCell ref="AO375:AO380"/>
    <mergeCell ref="A381:A386"/>
    <mergeCell ref="B381:B386"/>
    <mergeCell ref="J381:J386"/>
    <mergeCell ref="Q381:Q386"/>
    <mergeCell ref="R381:R386"/>
    <mergeCell ref="AN381:AN386"/>
    <mergeCell ref="AO381:AO386"/>
    <mergeCell ref="A363:A368"/>
    <mergeCell ref="B363:B368"/>
    <mergeCell ref="J363:J368"/>
    <mergeCell ref="Q363:Q368"/>
    <mergeCell ref="R363:R368"/>
    <mergeCell ref="AN363:AN368"/>
    <mergeCell ref="AO363:AO368"/>
    <mergeCell ref="A369:A374"/>
    <mergeCell ref="B369:B374"/>
    <mergeCell ref="J369:J374"/>
    <mergeCell ref="Q369:Q374"/>
    <mergeCell ref="R369:R374"/>
    <mergeCell ref="AN369:AN374"/>
    <mergeCell ref="AO369:AO374"/>
    <mergeCell ref="A351:A356"/>
    <mergeCell ref="B351:B356"/>
    <mergeCell ref="J351:J356"/>
    <mergeCell ref="Q351:Q356"/>
    <mergeCell ref="R351:R356"/>
    <mergeCell ref="AN351:AN356"/>
    <mergeCell ref="AO351:AO356"/>
    <mergeCell ref="A357:A362"/>
    <mergeCell ref="B357:B362"/>
    <mergeCell ref="J357:J362"/>
    <mergeCell ref="Q357:Q362"/>
    <mergeCell ref="R357:R362"/>
    <mergeCell ref="AN357:AN362"/>
    <mergeCell ref="AO357:AO362"/>
    <mergeCell ref="A339:A344"/>
    <mergeCell ref="B339:B344"/>
    <mergeCell ref="J339:J344"/>
    <mergeCell ref="Q339:Q344"/>
    <mergeCell ref="R339:R344"/>
    <mergeCell ref="AN339:AN344"/>
    <mergeCell ref="AO339:AO344"/>
    <mergeCell ref="A345:A350"/>
    <mergeCell ref="B345:B350"/>
    <mergeCell ref="J345:J350"/>
    <mergeCell ref="Q345:Q350"/>
    <mergeCell ref="R345:R350"/>
    <mergeCell ref="AN345:AN350"/>
    <mergeCell ref="AO345:AO350"/>
    <mergeCell ref="A327:A332"/>
    <mergeCell ref="B327:B332"/>
    <mergeCell ref="J327:J332"/>
    <mergeCell ref="Q327:Q332"/>
    <mergeCell ref="R327:R332"/>
    <mergeCell ref="AN327:AN332"/>
    <mergeCell ref="AO327:AO332"/>
    <mergeCell ref="A333:A338"/>
    <mergeCell ref="B333:B338"/>
    <mergeCell ref="J333:J338"/>
    <mergeCell ref="Q333:Q338"/>
    <mergeCell ref="R333:R338"/>
    <mergeCell ref="AN333:AN338"/>
    <mergeCell ref="AO333:AO338"/>
    <mergeCell ref="A315:A320"/>
    <mergeCell ref="B315:B320"/>
    <mergeCell ref="J315:J320"/>
    <mergeCell ref="Q315:Q320"/>
    <mergeCell ref="R315:R320"/>
    <mergeCell ref="AN315:AN320"/>
    <mergeCell ref="AO315:AO320"/>
    <mergeCell ref="A321:A326"/>
    <mergeCell ref="B321:B326"/>
    <mergeCell ref="J321:J326"/>
    <mergeCell ref="Q321:Q326"/>
    <mergeCell ref="R321:R326"/>
    <mergeCell ref="AN321:AN326"/>
    <mergeCell ref="AO321:AO326"/>
    <mergeCell ref="A303:A308"/>
    <mergeCell ref="B303:B308"/>
    <mergeCell ref="J303:J308"/>
    <mergeCell ref="Q303:Q308"/>
    <mergeCell ref="R303:R308"/>
    <mergeCell ref="AN303:AN308"/>
    <mergeCell ref="AO303:AO308"/>
    <mergeCell ref="A309:A314"/>
    <mergeCell ref="B309:B314"/>
    <mergeCell ref="J309:J314"/>
    <mergeCell ref="Q309:Q314"/>
    <mergeCell ref="R309:R314"/>
    <mergeCell ref="AN309:AN314"/>
    <mergeCell ref="AO309:AO314"/>
    <mergeCell ref="A291:A296"/>
    <mergeCell ref="B291:B296"/>
    <mergeCell ref="J291:J296"/>
    <mergeCell ref="Q291:Q296"/>
    <mergeCell ref="R291:R296"/>
    <mergeCell ref="AN291:AN296"/>
    <mergeCell ref="AO291:AO296"/>
    <mergeCell ref="A297:A302"/>
    <mergeCell ref="B297:B302"/>
    <mergeCell ref="J297:J302"/>
    <mergeCell ref="Q297:Q302"/>
    <mergeCell ref="R297:R302"/>
    <mergeCell ref="AN297:AN302"/>
    <mergeCell ref="AO297:AO302"/>
    <mergeCell ref="A279:A284"/>
    <mergeCell ref="B279:B284"/>
    <mergeCell ref="J279:J284"/>
    <mergeCell ref="Q279:Q284"/>
    <mergeCell ref="R279:R284"/>
    <mergeCell ref="AN279:AN284"/>
    <mergeCell ref="AO279:AO284"/>
    <mergeCell ref="A285:A290"/>
    <mergeCell ref="B285:B290"/>
    <mergeCell ref="J285:J290"/>
    <mergeCell ref="Q285:Q290"/>
    <mergeCell ref="R285:R290"/>
    <mergeCell ref="AN285:AN290"/>
    <mergeCell ref="AO285:AO290"/>
    <mergeCell ref="A267:A272"/>
    <mergeCell ref="B267:B272"/>
    <mergeCell ref="J267:J272"/>
    <mergeCell ref="Q267:Q272"/>
    <mergeCell ref="R267:R272"/>
    <mergeCell ref="AN267:AN272"/>
    <mergeCell ref="AO267:AO272"/>
    <mergeCell ref="A273:A278"/>
    <mergeCell ref="B273:B278"/>
    <mergeCell ref="J273:J278"/>
    <mergeCell ref="Q273:Q278"/>
    <mergeCell ref="R273:R278"/>
    <mergeCell ref="AN273:AN278"/>
    <mergeCell ref="AO273:AO278"/>
    <mergeCell ref="A255:A260"/>
    <mergeCell ref="B255:B260"/>
    <mergeCell ref="J255:J260"/>
    <mergeCell ref="Q255:Q260"/>
    <mergeCell ref="R255:R260"/>
    <mergeCell ref="AN255:AN260"/>
    <mergeCell ref="AO255:AO260"/>
    <mergeCell ref="A261:A266"/>
    <mergeCell ref="B261:B266"/>
    <mergeCell ref="J261:J266"/>
    <mergeCell ref="Q261:Q266"/>
    <mergeCell ref="R261:R266"/>
    <mergeCell ref="AN261:AN266"/>
    <mergeCell ref="AO261:AO266"/>
    <mergeCell ref="A243:A248"/>
    <mergeCell ref="B243:B248"/>
    <mergeCell ref="J243:J248"/>
    <mergeCell ref="Q243:Q248"/>
    <mergeCell ref="R243:R248"/>
    <mergeCell ref="AN243:AN248"/>
    <mergeCell ref="AO243:AO248"/>
    <mergeCell ref="A249:A254"/>
    <mergeCell ref="B249:B254"/>
    <mergeCell ref="J249:J254"/>
    <mergeCell ref="Q249:Q254"/>
    <mergeCell ref="R249:R254"/>
    <mergeCell ref="AN249:AN254"/>
    <mergeCell ref="AO249:AO254"/>
    <mergeCell ref="A231:A236"/>
    <mergeCell ref="B231:B236"/>
    <mergeCell ref="J231:J236"/>
    <mergeCell ref="Q231:Q236"/>
    <mergeCell ref="R231:R236"/>
    <mergeCell ref="AN231:AN236"/>
    <mergeCell ref="AO231:AO236"/>
    <mergeCell ref="A237:A242"/>
    <mergeCell ref="B237:B242"/>
    <mergeCell ref="J237:J242"/>
    <mergeCell ref="Q237:Q242"/>
    <mergeCell ref="R237:R242"/>
    <mergeCell ref="AN237:AN242"/>
    <mergeCell ref="AO237:AO242"/>
    <mergeCell ref="A219:A224"/>
    <mergeCell ref="B219:B224"/>
    <mergeCell ref="J219:J224"/>
    <mergeCell ref="Q219:Q224"/>
    <mergeCell ref="R219:R224"/>
    <mergeCell ref="AN219:AN224"/>
    <mergeCell ref="AO219:AO224"/>
    <mergeCell ref="A225:A230"/>
    <mergeCell ref="B225:B230"/>
    <mergeCell ref="J225:J230"/>
    <mergeCell ref="Q225:Q230"/>
    <mergeCell ref="R225:R230"/>
    <mergeCell ref="AN225:AN230"/>
    <mergeCell ref="AO225:AO230"/>
    <mergeCell ref="A207:A212"/>
    <mergeCell ref="B207:B212"/>
    <mergeCell ref="J207:J212"/>
    <mergeCell ref="Q207:Q212"/>
    <mergeCell ref="R207:R212"/>
    <mergeCell ref="AN207:AN212"/>
    <mergeCell ref="AO207:AO212"/>
    <mergeCell ref="A213:A218"/>
    <mergeCell ref="B213:B218"/>
    <mergeCell ref="J213:J218"/>
    <mergeCell ref="Q213:Q218"/>
    <mergeCell ref="R213:R218"/>
    <mergeCell ref="AN213:AN218"/>
    <mergeCell ref="AO213:AO218"/>
    <mergeCell ref="A195:A200"/>
    <mergeCell ref="B195:B200"/>
    <mergeCell ref="J195:J200"/>
    <mergeCell ref="Q195:Q200"/>
    <mergeCell ref="R195:R200"/>
    <mergeCell ref="AN195:AN200"/>
    <mergeCell ref="AO195:AO200"/>
    <mergeCell ref="A201:A206"/>
    <mergeCell ref="B201:B206"/>
    <mergeCell ref="J201:J206"/>
    <mergeCell ref="Q201:Q206"/>
    <mergeCell ref="R201:R206"/>
    <mergeCell ref="AN201:AN206"/>
    <mergeCell ref="AO201:AO206"/>
    <mergeCell ref="A183:A188"/>
    <mergeCell ref="B183:B188"/>
    <mergeCell ref="J183:J188"/>
    <mergeCell ref="Q183:Q188"/>
    <mergeCell ref="R183:R188"/>
    <mergeCell ref="AN183:AN188"/>
    <mergeCell ref="AO183:AO188"/>
    <mergeCell ref="A189:A194"/>
    <mergeCell ref="B189:B194"/>
    <mergeCell ref="J189:J194"/>
    <mergeCell ref="Q189:Q194"/>
    <mergeCell ref="R189:R194"/>
    <mergeCell ref="AN189:AN194"/>
    <mergeCell ref="AO189:AO194"/>
    <mergeCell ref="A171:A176"/>
    <mergeCell ref="B171:B176"/>
    <mergeCell ref="J171:J176"/>
    <mergeCell ref="Q171:Q176"/>
    <mergeCell ref="R171:R176"/>
    <mergeCell ref="AN171:AN176"/>
    <mergeCell ref="AO171:AO176"/>
    <mergeCell ref="A177:A182"/>
    <mergeCell ref="B177:B182"/>
    <mergeCell ref="J177:J182"/>
    <mergeCell ref="Q177:Q182"/>
    <mergeCell ref="R177:R182"/>
    <mergeCell ref="AN177:AN182"/>
    <mergeCell ref="AO177:AO182"/>
    <mergeCell ref="A159:A164"/>
    <mergeCell ref="B159:B164"/>
    <mergeCell ref="J159:J164"/>
    <mergeCell ref="Q159:Q164"/>
    <mergeCell ref="R159:R164"/>
    <mergeCell ref="AN159:AN164"/>
    <mergeCell ref="AO159:AO164"/>
    <mergeCell ref="A165:A170"/>
    <mergeCell ref="B165:B170"/>
    <mergeCell ref="J165:J170"/>
    <mergeCell ref="Q165:Q170"/>
    <mergeCell ref="R165:R170"/>
    <mergeCell ref="AN165:AN170"/>
    <mergeCell ref="AO165:AO170"/>
    <mergeCell ref="A147:A152"/>
    <mergeCell ref="B147:B152"/>
    <mergeCell ref="J147:J152"/>
    <mergeCell ref="Q147:Q152"/>
    <mergeCell ref="R147:R152"/>
    <mergeCell ref="AN147:AN152"/>
    <mergeCell ref="AO147:AO152"/>
    <mergeCell ref="A153:A158"/>
    <mergeCell ref="B153:B158"/>
    <mergeCell ref="J153:J158"/>
    <mergeCell ref="Q153:Q158"/>
    <mergeCell ref="R153:R158"/>
    <mergeCell ref="AN153:AN158"/>
    <mergeCell ref="AO153:AO158"/>
    <mergeCell ref="A135:A140"/>
    <mergeCell ref="B135:B140"/>
    <mergeCell ref="J135:J140"/>
    <mergeCell ref="Q135:Q140"/>
    <mergeCell ref="R135:R140"/>
    <mergeCell ref="AN135:AN140"/>
    <mergeCell ref="AO135:AO140"/>
    <mergeCell ref="A141:A146"/>
    <mergeCell ref="B141:B146"/>
    <mergeCell ref="J141:J146"/>
    <mergeCell ref="Q141:Q146"/>
    <mergeCell ref="R141:R146"/>
    <mergeCell ref="AN141:AN146"/>
    <mergeCell ref="AO141:AO146"/>
    <mergeCell ref="A123:A128"/>
    <mergeCell ref="B123:B128"/>
    <mergeCell ref="J123:J128"/>
    <mergeCell ref="Q123:Q128"/>
    <mergeCell ref="R123:R128"/>
    <mergeCell ref="AN123:AN128"/>
    <mergeCell ref="AO123:AO128"/>
    <mergeCell ref="A129:A134"/>
    <mergeCell ref="B129:B134"/>
    <mergeCell ref="J129:J134"/>
    <mergeCell ref="Q129:Q134"/>
    <mergeCell ref="R129:R134"/>
    <mergeCell ref="AN129:AN134"/>
    <mergeCell ref="AO129:AO134"/>
    <mergeCell ref="A111:A116"/>
    <mergeCell ref="B111:B116"/>
    <mergeCell ref="J111:J116"/>
    <mergeCell ref="Q111:Q116"/>
    <mergeCell ref="R111:R116"/>
    <mergeCell ref="AN111:AN116"/>
    <mergeCell ref="AO111:AO116"/>
    <mergeCell ref="A117:A122"/>
    <mergeCell ref="B117:B122"/>
    <mergeCell ref="J117:J122"/>
    <mergeCell ref="Q117:Q122"/>
    <mergeCell ref="R117:R122"/>
    <mergeCell ref="AN117:AN122"/>
    <mergeCell ref="AO117:AO122"/>
    <mergeCell ref="AN99:AN104"/>
    <mergeCell ref="AO99:AO104"/>
    <mergeCell ref="A105:A110"/>
    <mergeCell ref="B105:B110"/>
    <mergeCell ref="J105:J110"/>
    <mergeCell ref="Q105:Q110"/>
    <mergeCell ref="R105:R110"/>
    <mergeCell ref="AN105:AN110"/>
    <mergeCell ref="AO105:AO110"/>
    <mergeCell ref="B81:B86"/>
    <mergeCell ref="J81:J86"/>
    <mergeCell ref="Q81:Q86"/>
    <mergeCell ref="A99:A104"/>
    <mergeCell ref="B99:B104"/>
    <mergeCell ref="J99:J104"/>
    <mergeCell ref="Q99:Q104"/>
    <mergeCell ref="R99:R104"/>
    <mergeCell ref="A93:A98"/>
    <mergeCell ref="B93:B98"/>
    <mergeCell ref="J93:J98"/>
    <mergeCell ref="Q93:Q98"/>
    <mergeCell ref="R93:R98"/>
    <mergeCell ref="A75:A80"/>
    <mergeCell ref="B75:B80"/>
    <mergeCell ref="J75:J80"/>
    <mergeCell ref="Q75:Q80"/>
    <mergeCell ref="A87:A92"/>
    <mergeCell ref="B87:B92"/>
    <mergeCell ref="Q87:Q92"/>
    <mergeCell ref="J87:J92"/>
    <mergeCell ref="A51:A56"/>
    <mergeCell ref="B51:B56"/>
    <mergeCell ref="Q51:Q56"/>
    <mergeCell ref="A63:A68"/>
    <mergeCell ref="B63:B68"/>
    <mergeCell ref="Q63:Q68"/>
    <mergeCell ref="A57:A62"/>
    <mergeCell ref="B57:B62"/>
    <mergeCell ref="Q57:Q62"/>
    <mergeCell ref="J57:J62"/>
    <mergeCell ref="J63:J68"/>
    <mergeCell ref="A69:A74"/>
    <mergeCell ref="B69:B74"/>
    <mergeCell ref="J69:J74"/>
    <mergeCell ref="Q69:Q74"/>
    <mergeCell ref="A81:A86"/>
    <mergeCell ref="J51:J56"/>
    <mergeCell ref="A39:A44"/>
    <mergeCell ref="B39:B44"/>
    <mergeCell ref="Q39:Q44"/>
    <mergeCell ref="A33:A38"/>
    <mergeCell ref="B33:B38"/>
    <mergeCell ref="Q33:Q38"/>
    <mergeCell ref="J33:J38"/>
    <mergeCell ref="J39:J44"/>
    <mergeCell ref="A45:A50"/>
    <mergeCell ref="B45:B50"/>
    <mergeCell ref="Q45:Q50"/>
    <mergeCell ref="J45:J50"/>
    <mergeCell ref="A3:A8"/>
    <mergeCell ref="B3:B8"/>
    <mergeCell ref="C1:C2"/>
    <mergeCell ref="D1:D2"/>
    <mergeCell ref="E1:E2"/>
    <mergeCell ref="F1:F2"/>
    <mergeCell ref="A1:A2"/>
    <mergeCell ref="B1:B2"/>
    <mergeCell ref="I1:I2"/>
    <mergeCell ref="O1:Q1"/>
    <mergeCell ref="G1:G2"/>
    <mergeCell ref="H1:H2"/>
    <mergeCell ref="K1:M1"/>
    <mergeCell ref="Q3:Q8"/>
    <mergeCell ref="A15:A20"/>
    <mergeCell ref="B15:B20"/>
    <mergeCell ref="Q15:Q20"/>
    <mergeCell ref="R57:R62"/>
    <mergeCell ref="A27:A32"/>
    <mergeCell ref="B27:B32"/>
    <mergeCell ref="Q27:Q32"/>
    <mergeCell ref="A21:A26"/>
    <mergeCell ref="B21:B26"/>
    <mergeCell ref="Q21:Q26"/>
    <mergeCell ref="J21:J26"/>
    <mergeCell ref="J27:J32"/>
    <mergeCell ref="A9:A14"/>
    <mergeCell ref="B9:B14"/>
    <mergeCell ref="Q9:Q14"/>
    <mergeCell ref="J1:J2"/>
    <mergeCell ref="J3:J8"/>
    <mergeCell ref="J9:J14"/>
    <mergeCell ref="J15:J20"/>
    <mergeCell ref="R63:R68"/>
    <mergeCell ref="R87:R92"/>
    <mergeCell ref="R69:R74"/>
    <mergeCell ref="R75:R80"/>
    <mergeCell ref="R81:R86"/>
    <mergeCell ref="R1:R2"/>
    <mergeCell ref="R3:R8"/>
    <mergeCell ref="R9:R14"/>
    <mergeCell ref="R15:R20"/>
    <mergeCell ref="R21:R26"/>
    <mergeCell ref="R27:R32"/>
    <mergeCell ref="R33:R38"/>
    <mergeCell ref="R39:R44"/>
    <mergeCell ref="R45:R50"/>
    <mergeCell ref="R51:R56"/>
    <mergeCell ref="AN33:AN38"/>
    <mergeCell ref="AO33:AO38"/>
    <mergeCell ref="AN39:AN44"/>
    <mergeCell ref="AO39:AO44"/>
    <mergeCell ref="AN45:AN50"/>
    <mergeCell ref="AO45:AO50"/>
    <mergeCell ref="AN51:AN56"/>
    <mergeCell ref="AO51:AO56"/>
    <mergeCell ref="AN57:AN62"/>
    <mergeCell ref="AO57:AO62"/>
    <mergeCell ref="AN3:AN8"/>
    <mergeCell ref="AO3:AO8"/>
    <mergeCell ref="AN9:AN14"/>
    <mergeCell ref="AO9:AO14"/>
    <mergeCell ref="AN15:AN20"/>
    <mergeCell ref="AO15:AO20"/>
    <mergeCell ref="AN21:AN26"/>
    <mergeCell ref="AO21:AO26"/>
    <mergeCell ref="AN27:AN32"/>
    <mergeCell ref="AO27:AO32"/>
    <mergeCell ref="AN93:AN98"/>
    <mergeCell ref="AO93:AO98"/>
    <mergeCell ref="AN63:AN68"/>
    <mergeCell ref="AO63:AO68"/>
    <mergeCell ref="AN87:AN92"/>
    <mergeCell ref="AO87:AO92"/>
    <mergeCell ref="AN69:AN74"/>
    <mergeCell ref="AO69:AO74"/>
    <mergeCell ref="AN75:AN80"/>
    <mergeCell ref="AO75:AO80"/>
    <mergeCell ref="AN81:AN86"/>
    <mergeCell ref="AO81:AO86"/>
  </mergeCells>
  <phoneticPr fontId="24"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68927D-542C-4580-9210-DE0ED5CBF3C3}">
  <sheetPr>
    <tabColor rgb="FF00B0F0"/>
  </sheetPr>
  <dimension ref="A1:T46"/>
  <sheetViews>
    <sheetView tabSelected="1" zoomScale="40" zoomScaleNormal="40" workbookViewId="0">
      <selection activeCell="AA11" sqref="AA11"/>
    </sheetView>
  </sheetViews>
  <sheetFormatPr baseColWidth="10" defaultRowHeight="14.5"/>
  <cols>
    <col min="2" max="2" width="33.26953125" customWidth="1"/>
    <col min="7" max="7" width="15" customWidth="1"/>
    <col min="10" max="10" width="17.26953125" customWidth="1"/>
    <col min="11" max="11" width="13.453125" customWidth="1"/>
    <col min="12" max="12" width="17" customWidth="1"/>
    <col min="13" max="13" width="14.08984375" customWidth="1"/>
    <col min="14" max="14" width="22.54296875" customWidth="1"/>
    <col min="15" max="15" width="17.26953125" customWidth="1"/>
    <col min="16" max="16" width="15.7265625" customWidth="1"/>
    <col min="17" max="17" width="18" customWidth="1"/>
    <col min="18" max="18" width="16.6328125" customWidth="1"/>
    <col min="19" max="19" width="16.36328125" customWidth="1"/>
    <col min="20" max="20" width="24.7265625" customWidth="1"/>
  </cols>
  <sheetData>
    <row r="1" spans="1:20" ht="100" customHeight="1">
      <c r="A1" s="434" t="str">
        <f>"CONCURSO DE MÉRITOS ABIERTO No. "&amp;NOMPROC</f>
        <v xml:space="preserve">CONCURSO DE MÉRITOS ABIERTO No. VJ-VEJ-CM-002-2026 </v>
      </c>
      <c r="B1" s="435"/>
      <c r="C1" s="435"/>
      <c r="D1" s="435"/>
      <c r="E1" s="435"/>
      <c r="F1" s="435"/>
      <c r="G1" s="435"/>
      <c r="H1" s="435"/>
      <c r="I1" s="435"/>
      <c r="J1" s="435"/>
      <c r="K1" s="435"/>
      <c r="L1" s="435"/>
      <c r="M1" s="435"/>
      <c r="N1" s="435"/>
      <c r="O1" s="435"/>
      <c r="P1" s="435"/>
      <c r="Q1" s="435"/>
      <c r="R1" s="435"/>
      <c r="S1" s="435"/>
      <c r="T1" s="436"/>
    </row>
    <row r="2" spans="1:20" ht="55" customHeight="1">
      <c r="A2" s="437" t="s">
        <v>1386</v>
      </c>
      <c r="B2" s="438"/>
      <c r="C2" s="438"/>
      <c r="D2" s="438"/>
      <c r="E2" s="438"/>
      <c r="F2" s="438"/>
      <c r="G2" s="438"/>
      <c r="H2" s="438"/>
      <c r="I2" s="438"/>
      <c r="J2" s="438"/>
      <c r="K2" s="438"/>
      <c r="L2" s="438"/>
      <c r="M2" s="438"/>
      <c r="N2" s="438"/>
      <c r="O2" s="438"/>
      <c r="P2" s="438"/>
      <c r="Q2" s="438"/>
      <c r="R2" s="438"/>
      <c r="S2" s="438"/>
      <c r="T2" s="439"/>
    </row>
    <row r="3" spans="1:20">
      <c r="A3" s="440" t="s">
        <v>17</v>
      </c>
      <c r="B3" s="442" t="s">
        <v>18</v>
      </c>
      <c r="C3" s="444" t="s">
        <v>55</v>
      </c>
      <c r="D3" s="445"/>
      <c r="E3" s="445"/>
      <c r="F3" s="445"/>
      <c r="G3" s="445"/>
      <c r="H3" s="445"/>
      <c r="I3" s="446"/>
      <c r="J3" s="444" t="s">
        <v>56</v>
      </c>
      <c r="K3" s="445"/>
      <c r="L3" s="445"/>
      <c r="M3" s="445"/>
      <c r="N3" s="445"/>
      <c r="O3" s="445"/>
      <c r="P3" s="445"/>
      <c r="Q3" s="445"/>
      <c r="R3" s="445"/>
      <c r="S3" s="445"/>
      <c r="T3" s="447"/>
    </row>
    <row r="4" spans="1:20" ht="159.5">
      <c r="A4" s="441"/>
      <c r="B4" s="443"/>
      <c r="C4" s="57" t="s">
        <v>57</v>
      </c>
      <c r="D4" s="57" t="s">
        <v>58</v>
      </c>
      <c r="E4" s="57" t="s">
        <v>59</v>
      </c>
      <c r="F4" s="57" t="s">
        <v>153</v>
      </c>
      <c r="G4" s="57" t="s">
        <v>570</v>
      </c>
      <c r="H4" s="57" t="s">
        <v>573</v>
      </c>
      <c r="I4" s="57" t="s">
        <v>116</v>
      </c>
      <c r="J4" s="57" t="s">
        <v>165</v>
      </c>
      <c r="K4" s="57" t="s">
        <v>588</v>
      </c>
      <c r="L4" s="57" t="s">
        <v>158</v>
      </c>
      <c r="M4" s="57" t="s">
        <v>159</v>
      </c>
      <c r="N4" s="57" t="s">
        <v>162</v>
      </c>
      <c r="O4" s="58" t="s">
        <v>163</v>
      </c>
      <c r="P4" s="58" t="s">
        <v>164</v>
      </c>
      <c r="Q4" s="58" t="s">
        <v>160</v>
      </c>
      <c r="R4" s="58" t="s">
        <v>169</v>
      </c>
      <c r="S4" s="58" t="s">
        <v>168</v>
      </c>
      <c r="T4" s="59" t="s">
        <v>60</v>
      </c>
    </row>
    <row r="5" spans="1:20" ht="15" thickBot="1">
      <c r="A5" s="92"/>
      <c r="B5" s="93"/>
      <c r="C5" s="93"/>
      <c r="D5" s="93"/>
      <c r="E5" s="93"/>
      <c r="F5" s="93"/>
      <c r="G5" s="93"/>
      <c r="H5" s="93"/>
      <c r="I5" s="93"/>
      <c r="J5" s="93"/>
      <c r="K5" s="93"/>
      <c r="L5" s="93"/>
      <c r="M5" s="93"/>
      <c r="N5" s="93"/>
      <c r="O5" s="93"/>
      <c r="P5" s="93"/>
      <c r="Q5" s="93"/>
      <c r="R5" s="93"/>
      <c r="S5" s="93"/>
      <c r="T5" s="93"/>
    </row>
    <row r="6" spans="1:20" ht="75" customHeight="1">
      <c r="A6" s="418" t="s">
        <v>133</v>
      </c>
      <c r="B6" s="419" t="s">
        <v>906</v>
      </c>
      <c r="C6" s="420" t="s">
        <v>77</v>
      </c>
      <c r="D6" s="420" t="s">
        <v>77</v>
      </c>
      <c r="E6" s="420" t="s">
        <v>77</v>
      </c>
      <c r="F6" s="420" t="s">
        <v>77</v>
      </c>
      <c r="G6" s="420" t="s">
        <v>77</v>
      </c>
      <c r="H6" s="420" t="s">
        <v>77</v>
      </c>
      <c r="I6" s="420" t="s">
        <v>77</v>
      </c>
      <c r="J6" s="421">
        <v>76.3530008375173</v>
      </c>
      <c r="K6" s="416">
        <v>10</v>
      </c>
      <c r="L6" s="416">
        <v>10</v>
      </c>
      <c r="M6" s="416">
        <v>1</v>
      </c>
      <c r="N6" s="416">
        <v>1</v>
      </c>
      <c r="O6" s="417">
        <v>0.25</v>
      </c>
      <c r="P6" s="417">
        <v>0.25</v>
      </c>
      <c r="Q6" s="421">
        <v>98.8530008375173</v>
      </c>
      <c r="R6" s="422"/>
      <c r="S6" s="422"/>
      <c r="T6" s="423">
        <v>98.8530008375173</v>
      </c>
    </row>
    <row r="7" spans="1:20" ht="55" customHeight="1">
      <c r="A7" s="60" t="s">
        <v>298</v>
      </c>
      <c r="B7" s="405" t="s">
        <v>654</v>
      </c>
      <c r="C7" s="61" t="s">
        <v>77</v>
      </c>
      <c r="D7" s="61" t="s">
        <v>77</v>
      </c>
      <c r="E7" s="61" t="s">
        <v>77</v>
      </c>
      <c r="F7" s="61" t="s">
        <v>77</v>
      </c>
      <c r="G7" s="61" t="s">
        <v>77</v>
      </c>
      <c r="H7" s="61" t="s">
        <v>77</v>
      </c>
      <c r="I7" s="61" t="s">
        <v>77</v>
      </c>
      <c r="J7" s="406">
        <v>75.920161012224753</v>
      </c>
      <c r="K7" s="404">
        <v>10</v>
      </c>
      <c r="L7" s="404">
        <v>10</v>
      </c>
      <c r="M7" s="404">
        <v>1</v>
      </c>
      <c r="N7" s="61">
        <v>1</v>
      </c>
      <c r="O7" s="403">
        <v>0.25</v>
      </c>
      <c r="P7" s="403">
        <v>0.25</v>
      </c>
      <c r="Q7" s="406">
        <v>98.420161012224753</v>
      </c>
      <c r="R7" s="407"/>
      <c r="S7" s="407"/>
      <c r="T7" s="408">
        <v>98.420161012224753</v>
      </c>
    </row>
    <row r="8" spans="1:20" ht="55" customHeight="1">
      <c r="A8" s="425" t="s">
        <v>297</v>
      </c>
      <c r="B8" s="426" t="s">
        <v>1215</v>
      </c>
      <c r="C8" s="427" t="s">
        <v>77</v>
      </c>
      <c r="D8" s="427" t="s">
        <v>77</v>
      </c>
      <c r="E8" s="427" t="s">
        <v>77</v>
      </c>
      <c r="F8" s="427" t="s">
        <v>77</v>
      </c>
      <c r="G8" s="427" t="s">
        <v>77</v>
      </c>
      <c r="H8" s="427" t="s">
        <v>77</v>
      </c>
      <c r="I8" s="427" t="s">
        <v>77</v>
      </c>
      <c r="J8" s="428">
        <v>74.742100896474952</v>
      </c>
      <c r="K8" s="429">
        <v>10</v>
      </c>
      <c r="L8" s="429">
        <v>10</v>
      </c>
      <c r="M8" s="429">
        <v>1</v>
      </c>
      <c r="N8" s="427">
        <v>1</v>
      </c>
      <c r="O8" s="430">
        <v>0.25</v>
      </c>
      <c r="P8" s="430">
        <v>0.25</v>
      </c>
      <c r="Q8" s="428">
        <v>97.242100896474952</v>
      </c>
      <c r="R8" s="431"/>
      <c r="S8" s="431"/>
      <c r="T8" s="432">
        <v>97.242100896474952</v>
      </c>
    </row>
    <row r="9" spans="1:20" ht="55" customHeight="1">
      <c r="A9" s="154" t="s">
        <v>124</v>
      </c>
      <c r="B9" s="155" t="s">
        <v>764</v>
      </c>
      <c r="C9" s="125" t="s">
        <v>77</v>
      </c>
      <c r="D9" s="125" t="s">
        <v>77</v>
      </c>
      <c r="E9" s="125" t="s">
        <v>77</v>
      </c>
      <c r="F9" s="125" t="s">
        <v>77</v>
      </c>
      <c r="G9" s="125" t="s">
        <v>77</v>
      </c>
      <c r="H9" s="125" t="s">
        <v>77</v>
      </c>
      <c r="I9" s="125" t="s">
        <v>77</v>
      </c>
      <c r="J9" s="192">
        <v>72.543788645885201</v>
      </c>
      <c r="K9" s="186">
        <v>10</v>
      </c>
      <c r="L9" s="186">
        <v>10</v>
      </c>
      <c r="M9" s="186">
        <v>1</v>
      </c>
      <c r="N9" s="186">
        <v>1</v>
      </c>
      <c r="O9" s="188">
        <v>0.25</v>
      </c>
      <c r="P9" s="188">
        <v>0.25</v>
      </c>
      <c r="Q9" s="192">
        <v>95.043788645885201</v>
      </c>
      <c r="R9" s="193"/>
      <c r="S9" s="193"/>
      <c r="T9" s="194">
        <v>95.043788645885201</v>
      </c>
    </row>
    <row r="10" spans="1:20" ht="55" customHeight="1">
      <c r="A10" s="154" t="s">
        <v>136</v>
      </c>
      <c r="B10" s="155" t="s">
        <v>917</v>
      </c>
      <c r="C10" s="125" t="s">
        <v>77</v>
      </c>
      <c r="D10" s="125" t="s">
        <v>77</v>
      </c>
      <c r="E10" s="125" t="s">
        <v>77</v>
      </c>
      <c r="F10" s="125" t="s">
        <v>77</v>
      </c>
      <c r="G10" s="125" t="s">
        <v>77</v>
      </c>
      <c r="H10" s="125" t="s">
        <v>77</v>
      </c>
      <c r="I10" s="125" t="s">
        <v>77</v>
      </c>
      <c r="J10" s="192">
        <v>64.465570433320096</v>
      </c>
      <c r="K10" s="229">
        <v>10</v>
      </c>
      <c r="L10" s="229">
        <v>10</v>
      </c>
      <c r="M10" s="186">
        <v>1</v>
      </c>
      <c r="N10" s="186">
        <v>1</v>
      </c>
      <c r="O10" s="188">
        <v>0.25</v>
      </c>
      <c r="P10" s="188">
        <v>0.25</v>
      </c>
      <c r="Q10" s="192">
        <v>86.965570433320096</v>
      </c>
      <c r="R10" s="193"/>
      <c r="S10" s="193"/>
      <c r="T10" s="194">
        <v>86.965570433320096</v>
      </c>
    </row>
    <row r="11" spans="1:20" ht="55" customHeight="1">
      <c r="A11" s="154" t="s">
        <v>126</v>
      </c>
      <c r="B11" s="155" t="s">
        <v>771</v>
      </c>
      <c r="C11" s="125" t="s">
        <v>77</v>
      </c>
      <c r="D11" s="125" t="s">
        <v>77</v>
      </c>
      <c r="E11" s="125" t="s">
        <v>77</v>
      </c>
      <c r="F11" s="125" t="s">
        <v>77</v>
      </c>
      <c r="G11" s="125" t="s">
        <v>77</v>
      </c>
      <c r="H11" s="125" t="s">
        <v>77</v>
      </c>
      <c r="I11" s="125" t="s">
        <v>77</v>
      </c>
      <c r="J11" s="192">
        <v>64.07905665847116</v>
      </c>
      <c r="K11" s="186">
        <v>10</v>
      </c>
      <c r="L11" s="125">
        <v>10</v>
      </c>
      <c r="M11" s="186">
        <v>1</v>
      </c>
      <c r="N11" s="186">
        <v>1</v>
      </c>
      <c r="O11" s="188">
        <v>0.25</v>
      </c>
      <c r="P11" s="188">
        <v>0.25</v>
      </c>
      <c r="Q11" s="192">
        <v>86.57905665847116</v>
      </c>
      <c r="R11" s="193"/>
      <c r="S11" s="193"/>
      <c r="T11" s="194">
        <v>86.57905665847116</v>
      </c>
    </row>
    <row r="12" spans="1:20" ht="55" customHeight="1">
      <c r="A12" s="154" t="s">
        <v>135</v>
      </c>
      <c r="B12" s="155" t="s">
        <v>913</v>
      </c>
      <c r="C12" s="125" t="s">
        <v>77</v>
      </c>
      <c r="D12" s="125" t="s">
        <v>77</v>
      </c>
      <c r="E12" s="125" t="s">
        <v>77</v>
      </c>
      <c r="F12" s="125" t="s">
        <v>77</v>
      </c>
      <c r="G12" s="125" t="s">
        <v>77</v>
      </c>
      <c r="H12" s="125" t="s">
        <v>77</v>
      </c>
      <c r="I12" s="125" t="s">
        <v>77</v>
      </c>
      <c r="J12" s="192">
        <v>62.432679007109172</v>
      </c>
      <c r="K12" s="229">
        <v>10</v>
      </c>
      <c r="L12" s="229">
        <v>10</v>
      </c>
      <c r="M12" s="186">
        <v>1</v>
      </c>
      <c r="N12" s="186">
        <v>1</v>
      </c>
      <c r="O12" s="188">
        <v>0.25</v>
      </c>
      <c r="P12" s="188">
        <v>0.25</v>
      </c>
      <c r="Q12" s="192">
        <v>84.932679007109172</v>
      </c>
      <c r="R12" s="193"/>
      <c r="S12" s="193"/>
      <c r="T12" s="194">
        <v>84.932679007109172</v>
      </c>
    </row>
    <row r="13" spans="1:20" ht="55" customHeight="1">
      <c r="A13" s="154" t="s">
        <v>137</v>
      </c>
      <c r="B13" s="155" t="s">
        <v>920</v>
      </c>
      <c r="C13" s="125" t="s">
        <v>77</v>
      </c>
      <c r="D13" s="125" t="s">
        <v>77</v>
      </c>
      <c r="E13" s="125" t="s">
        <v>77</v>
      </c>
      <c r="F13" s="125" t="s">
        <v>77</v>
      </c>
      <c r="G13" s="125" t="s">
        <v>77</v>
      </c>
      <c r="H13" s="125" t="s">
        <v>77</v>
      </c>
      <c r="I13" s="125" t="s">
        <v>77</v>
      </c>
      <c r="J13" s="192">
        <v>62.288918642213673</v>
      </c>
      <c r="K13" s="229">
        <v>10</v>
      </c>
      <c r="L13" s="229">
        <v>10</v>
      </c>
      <c r="M13" s="186">
        <v>1</v>
      </c>
      <c r="N13" s="186">
        <v>1</v>
      </c>
      <c r="O13" s="188">
        <v>0.25</v>
      </c>
      <c r="P13" s="188">
        <v>0.25</v>
      </c>
      <c r="Q13" s="192">
        <v>84.788918642213673</v>
      </c>
      <c r="R13" s="193"/>
      <c r="S13" s="193"/>
      <c r="T13" s="194">
        <v>84.788918642213673</v>
      </c>
    </row>
    <row r="14" spans="1:20" ht="55" customHeight="1">
      <c r="A14" s="154" t="s">
        <v>134</v>
      </c>
      <c r="B14" s="155" t="s">
        <v>910</v>
      </c>
      <c r="C14" s="125" t="s">
        <v>77</v>
      </c>
      <c r="D14" s="125" t="s">
        <v>77</v>
      </c>
      <c r="E14" s="125" t="s">
        <v>77</v>
      </c>
      <c r="F14" s="125" t="s">
        <v>77</v>
      </c>
      <c r="G14" s="125" t="s">
        <v>77</v>
      </c>
      <c r="H14" s="125" t="s">
        <v>77</v>
      </c>
      <c r="I14" s="125" t="s">
        <v>77</v>
      </c>
      <c r="J14" s="192">
        <v>62.135285493343325</v>
      </c>
      <c r="K14" s="229">
        <v>10</v>
      </c>
      <c r="L14" s="229">
        <v>10</v>
      </c>
      <c r="M14" s="186">
        <v>1</v>
      </c>
      <c r="N14" s="186">
        <v>1</v>
      </c>
      <c r="O14" s="188">
        <v>0.25</v>
      </c>
      <c r="P14" s="188">
        <v>0.25</v>
      </c>
      <c r="Q14" s="192">
        <v>84.635285493343332</v>
      </c>
      <c r="R14" s="193"/>
      <c r="S14" s="193"/>
      <c r="T14" s="194">
        <v>84.635285493343332</v>
      </c>
    </row>
    <row r="15" spans="1:20" ht="55" customHeight="1">
      <c r="A15" s="154" t="s">
        <v>291</v>
      </c>
      <c r="B15" s="155" t="s">
        <v>1192</v>
      </c>
      <c r="C15" s="125" t="s">
        <v>77</v>
      </c>
      <c r="D15" s="125" t="s">
        <v>77</v>
      </c>
      <c r="E15" s="125" t="s">
        <v>77</v>
      </c>
      <c r="F15" s="125" t="s">
        <v>77</v>
      </c>
      <c r="G15" s="125" t="s">
        <v>77</v>
      </c>
      <c r="H15" s="125" t="s">
        <v>77</v>
      </c>
      <c r="I15" s="125" t="s">
        <v>77</v>
      </c>
      <c r="J15" s="192">
        <v>61.937633973099757</v>
      </c>
      <c r="K15" s="229">
        <v>10</v>
      </c>
      <c r="L15" s="229">
        <v>10</v>
      </c>
      <c r="M15" s="186">
        <v>1</v>
      </c>
      <c r="N15" s="3">
        <v>1</v>
      </c>
      <c r="O15" s="230">
        <v>0.25</v>
      </c>
      <c r="P15" s="230">
        <v>0.25</v>
      </c>
      <c r="Q15" s="192">
        <v>84.437633973099764</v>
      </c>
      <c r="R15" s="193"/>
      <c r="S15" s="193"/>
      <c r="T15" s="194">
        <v>84.437633973099764</v>
      </c>
    </row>
    <row r="16" spans="1:20" ht="55" customHeight="1">
      <c r="A16" s="154" t="s">
        <v>123</v>
      </c>
      <c r="B16" s="155" t="s">
        <v>760</v>
      </c>
      <c r="C16" s="125" t="s">
        <v>77</v>
      </c>
      <c r="D16" s="125" t="s">
        <v>77</v>
      </c>
      <c r="E16" s="125" t="s">
        <v>77</v>
      </c>
      <c r="F16" s="125" t="s">
        <v>77</v>
      </c>
      <c r="G16" s="125" t="s">
        <v>77</v>
      </c>
      <c r="H16" s="125" t="s">
        <v>77</v>
      </c>
      <c r="I16" s="125" t="s">
        <v>77</v>
      </c>
      <c r="J16" s="192">
        <v>59.751117171389659</v>
      </c>
      <c r="K16" s="186">
        <v>10</v>
      </c>
      <c r="L16" s="186">
        <v>10</v>
      </c>
      <c r="M16" s="186">
        <v>1</v>
      </c>
      <c r="N16" s="186">
        <v>1</v>
      </c>
      <c r="O16" s="188">
        <v>0.25</v>
      </c>
      <c r="P16" s="188">
        <v>0.25</v>
      </c>
      <c r="Q16" s="192">
        <v>82.251117171389666</v>
      </c>
      <c r="R16" s="193"/>
      <c r="S16" s="193"/>
      <c r="T16" s="194">
        <v>82.251117171389666</v>
      </c>
    </row>
    <row r="17" spans="1:20" ht="55" customHeight="1">
      <c r="A17" s="154" t="s">
        <v>295</v>
      </c>
      <c r="B17" s="155" t="s">
        <v>1207</v>
      </c>
      <c r="C17" s="125" t="s">
        <v>77</v>
      </c>
      <c r="D17" s="125" t="s">
        <v>77</v>
      </c>
      <c r="E17" s="125" t="s">
        <v>77</v>
      </c>
      <c r="F17" s="125" t="s">
        <v>77</v>
      </c>
      <c r="G17" s="125" t="s">
        <v>77</v>
      </c>
      <c r="H17" s="125" t="s">
        <v>77</v>
      </c>
      <c r="I17" s="125" t="s">
        <v>77</v>
      </c>
      <c r="J17" s="192">
        <v>57.937316307475747</v>
      </c>
      <c r="K17" s="229">
        <v>10</v>
      </c>
      <c r="L17" s="229">
        <v>10</v>
      </c>
      <c r="M17" s="186">
        <v>1</v>
      </c>
      <c r="N17" s="3">
        <v>1</v>
      </c>
      <c r="O17" s="230">
        <v>0.25</v>
      </c>
      <c r="P17" s="230">
        <v>0.25</v>
      </c>
      <c r="Q17" s="192">
        <v>80.437316307475754</v>
      </c>
      <c r="R17" s="193"/>
      <c r="S17" s="193"/>
      <c r="T17" s="194">
        <v>80.437316307475754</v>
      </c>
    </row>
    <row r="18" spans="1:20" ht="55" customHeight="1">
      <c r="A18" s="154" t="s">
        <v>287</v>
      </c>
      <c r="B18" s="155" t="s">
        <v>1077</v>
      </c>
      <c r="C18" s="125" t="s">
        <v>77</v>
      </c>
      <c r="D18" s="125" t="s">
        <v>77</v>
      </c>
      <c r="E18" s="125" t="s">
        <v>77</v>
      </c>
      <c r="F18" s="125" t="s">
        <v>77</v>
      </c>
      <c r="G18" s="125" t="s">
        <v>77</v>
      </c>
      <c r="H18" s="125" t="s">
        <v>77</v>
      </c>
      <c r="I18" s="125" t="s">
        <v>77</v>
      </c>
      <c r="J18" s="192">
        <v>56.529138700858091</v>
      </c>
      <c r="K18" s="186">
        <v>10</v>
      </c>
      <c r="L18" s="186">
        <v>10</v>
      </c>
      <c r="M18" s="229">
        <v>1</v>
      </c>
      <c r="N18" s="186">
        <v>1</v>
      </c>
      <c r="O18" s="188">
        <v>0.25</v>
      </c>
      <c r="P18" s="188">
        <v>0.25</v>
      </c>
      <c r="Q18" s="192">
        <v>79.029138700858084</v>
      </c>
      <c r="R18" s="193"/>
      <c r="S18" s="193"/>
      <c r="T18" s="194">
        <v>79.029138700858084</v>
      </c>
    </row>
    <row r="19" spans="1:20" ht="55" customHeight="1">
      <c r="A19" s="154" t="s">
        <v>131</v>
      </c>
      <c r="B19" s="155" t="s">
        <v>900</v>
      </c>
      <c r="C19" s="125" t="s">
        <v>77</v>
      </c>
      <c r="D19" s="125" t="s">
        <v>77</v>
      </c>
      <c r="E19" s="125" t="s">
        <v>77</v>
      </c>
      <c r="F19" s="125" t="s">
        <v>77</v>
      </c>
      <c r="G19" s="125" t="s">
        <v>77</v>
      </c>
      <c r="H19" s="125" t="s">
        <v>77</v>
      </c>
      <c r="I19" s="125" t="s">
        <v>77</v>
      </c>
      <c r="J19" s="192">
        <v>56.212063885036777</v>
      </c>
      <c r="K19" s="186">
        <v>10</v>
      </c>
      <c r="L19" s="125">
        <v>10</v>
      </c>
      <c r="M19" s="186">
        <v>1</v>
      </c>
      <c r="N19" s="125">
        <v>1</v>
      </c>
      <c r="O19" s="188">
        <v>0.25</v>
      </c>
      <c r="P19" s="188">
        <v>0.25</v>
      </c>
      <c r="Q19" s="192">
        <v>78.71206388503677</v>
      </c>
      <c r="R19" s="193"/>
      <c r="S19" s="193"/>
      <c r="T19" s="194">
        <v>78.71206388503677</v>
      </c>
    </row>
    <row r="20" spans="1:20" ht="55" customHeight="1">
      <c r="A20" s="213" t="s">
        <v>300</v>
      </c>
      <c r="B20" s="225" t="s">
        <v>695</v>
      </c>
      <c r="C20" s="3" t="s">
        <v>77</v>
      </c>
      <c r="D20" s="3" t="s">
        <v>77</v>
      </c>
      <c r="E20" s="3" t="s">
        <v>77</v>
      </c>
      <c r="F20" s="3" t="s">
        <v>77</v>
      </c>
      <c r="G20" s="3" t="s">
        <v>77</v>
      </c>
      <c r="H20" s="3" t="s">
        <v>77</v>
      </c>
      <c r="I20" s="3" t="s">
        <v>77</v>
      </c>
      <c r="J20" s="228">
        <v>56.065458556680518</v>
      </c>
      <c r="K20" s="229">
        <v>10</v>
      </c>
      <c r="L20" s="229">
        <v>10</v>
      </c>
      <c r="M20" s="229">
        <v>1</v>
      </c>
      <c r="N20" s="229">
        <v>1</v>
      </c>
      <c r="O20" s="230">
        <v>0.25</v>
      </c>
      <c r="P20" s="230">
        <v>0.25</v>
      </c>
      <c r="Q20" s="228">
        <v>78.565458556680511</v>
      </c>
      <c r="R20" s="231"/>
      <c r="S20" s="231"/>
      <c r="T20" s="232">
        <v>78.565458556680511</v>
      </c>
    </row>
    <row r="21" spans="1:20" ht="55" customHeight="1">
      <c r="A21" s="154" t="s">
        <v>285</v>
      </c>
      <c r="B21" s="155" t="s">
        <v>1070</v>
      </c>
      <c r="C21" s="125" t="s">
        <v>77</v>
      </c>
      <c r="D21" s="125" t="s">
        <v>77</v>
      </c>
      <c r="E21" s="125" t="s">
        <v>77</v>
      </c>
      <c r="F21" s="125" t="s">
        <v>77</v>
      </c>
      <c r="G21" s="125" t="s">
        <v>77</v>
      </c>
      <c r="H21" s="125" t="s">
        <v>77</v>
      </c>
      <c r="I21" s="125" t="s">
        <v>77</v>
      </c>
      <c r="J21" s="192">
        <v>55.82933141615775</v>
      </c>
      <c r="K21" s="186">
        <v>10</v>
      </c>
      <c r="L21" s="125">
        <v>10</v>
      </c>
      <c r="M21" s="229">
        <v>1</v>
      </c>
      <c r="N21" s="125">
        <v>1</v>
      </c>
      <c r="O21" s="188">
        <v>0.25</v>
      </c>
      <c r="P21" s="188">
        <v>0.25</v>
      </c>
      <c r="Q21" s="192">
        <v>78.329331416157743</v>
      </c>
      <c r="R21" s="193"/>
      <c r="S21" s="193"/>
      <c r="T21" s="194">
        <v>78.329331416157743</v>
      </c>
    </row>
    <row r="22" spans="1:20" ht="55" customHeight="1">
      <c r="A22" s="213" t="s">
        <v>132</v>
      </c>
      <c r="B22" s="225" t="s">
        <v>903</v>
      </c>
      <c r="C22" s="3" t="s">
        <v>77</v>
      </c>
      <c r="D22" s="3" t="s">
        <v>77</v>
      </c>
      <c r="E22" s="3" t="s">
        <v>77</v>
      </c>
      <c r="F22" s="3" t="s">
        <v>77</v>
      </c>
      <c r="G22" s="3" t="s">
        <v>77</v>
      </c>
      <c r="H22" s="3" t="s">
        <v>77</v>
      </c>
      <c r="I22" s="3" t="s">
        <v>77</v>
      </c>
      <c r="J22" s="228">
        <v>55.43508994556236</v>
      </c>
      <c r="K22" s="229">
        <v>10</v>
      </c>
      <c r="L22" s="229">
        <v>10</v>
      </c>
      <c r="M22" s="229">
        <v>1</v>
      </c>
      <c r="N22" s="229">
        <v>1</v>
      </c>
      <c r="O22" s="230">
        <v>0.25</v>
      </c>
      <c r="P22" s="230">
        <v>0.25</v>
      </c>
      <c r="Q22" s="228">
        <v>77.935089945562368</v>
      </c>
      <c r="R22" s="231"/>
      <c r="S22" s="231"/>
      <c r="T22" s="232">
        <v>77.935089945562368</v>
      </c>
    </row>
    <row r="23" spans="1:20" ht="55" customHeight="1">
      <c r="A23" s="154" t="s">
        <v>142</v>
      </c>
      <c r="B23" s="155" t="s">
        <v>1059</v>
      </c>
      <c r="C23" s="125" t="s">
        <v>77</v>
      </c>
      <c r="D23" s="125" t="s">
        <v>77</v>
      </c>
      <c r="E23" s="125" t="s">
        <v>77</v>
      </c>
      <c r="F23" s="125" t="s">
        <v>77</v>
      </c>
      <c r="G23" s="125" t="s">
        <v>77</v>
      </c>
      <c r="H23" s="125" t="s">
        <v>77</v>
      </c>
      <c r="I23" s="125" t="s">
        <v>77</v>
      </c>
      <c r="J23" s="192">
        <v>55.339911524950942</v>
      </c>
      <c r="K23" s="186">
        <v>10</v>
      </c>
      <c r="L23" s="125">
        <v>10</v>
      </c>
      <c r="M23" s="186">
        <v>1</v>
      </c>
      <c r="N23" s="125">
        <v>1</v>
      </c>
      <c r="O23" s="188">
        <v>0.25</v>
      </c>
      <c r="P23" s="188">
        <v>0.25</v>
      </c>
      <c r="Q23" s="192">
        <v>77.839911524950935</v>
      </c>
      <c r="R23" s="193"/>
      <c r="S23" s="193"/>
      <c r="T23" s="194">
        <v>77.839911524950935</v>
      </c>
    </row>
    <row r="24" spans="1:20" ht="55" customHeight="1">
      <c r="A24" s="154" t="s">
        <v>293</v>
      </c>
      <c r="B24" s="155" t="s">
        <v>1200</v>
      </c>
      <c r="C24" s="125" t="s">
        <v>77</v>
      </c>
      <c r="D24" s="125" t="s">
        <v>77</v>
      </c>
      <c r="E24" s="125" t="s">
        <v>77</v>
      </c>
      <c r="F24" s="125" t="s">
        <v>77</v>
      </c>
      <c r="G24" s="125" t="s">
        <v>77</v>
      </c>
      <c r="H24" s="125" t="s">
        <v>77</v>
      </c>
      <c r="I24" s="125" t="s">
        <v>77</v>
      </c>
      <c r="J24" s="192">
        <v>55.212212094115301</v>
      </c>
      <c r="K24" s="229">
        <v>10</v>
      </c>
      <c r="L24" s="229">
        <v>10</v>
      </c>
      <c r="M24" s="186">
        <v>1</v>
      </c>
      <c r="N24" s="3">
        <v>1</v>
      </c>
      <c r="O24" s="230">
        <v>0.25</v>
      </c>
      <c r="P24" s="230">
        <v>0.25</v>
      </c>
      <c r="Q24" s="192">
        <v>77.712212094115301</v>
      </c>
      <c r="R24" s="193"/>
      <c r="S24" s="193"/>
      <c r="T24" s="194">
        <v>77.712212094115301</v>
      </c>
    </row>
    <row r="25" spans="1:20" ht="55" customHeight="1">
      <c r="A25" s="213" t="s">
        <v>302</v>
      </c>
      <c r="B25" s="225" t="s">
        <v>721</v>
      </c>
      <c r="C25" s="3" t="s">
        <v>77</v>
      </c>
      <c r="D25" s="3" t="s">
        <v>77</v>
      </c>
      <c r="E25" s="3" t="s">
        <v>77</v>
      </c>
      <c r="F25" s="3" t="s">
        <v>77</v>
      </c>
      <c r="G25" s="3" t="s">
        <v>77</v>
      </c>
      <c r="H25" s="3" t="s">
        <v>77</v>
      </c>
      <c r="I25" s="3" t="s">
        <v>77</v>
      </c>
      <c r="J25" s="228">
        <v>55.001122851288841</v>
      </c>
      <c r="K25" s="229">
        <v>10</v>
      </c>
      <c r="L25" s="229">
        <v>10</v>
      </c>
      <c r="M25" s="229">
        <v>1</v>
      </c>
      <c r="N25" s="229">
        <v>1</v>
      </c>
      <c r="O25" s="230">
        <v>0.25</v>
      </c>
      <c r="P25" s="230">
        <v>0.25</v>
      </c>
      <c r="Q25" s="228">
        <v>77.501122851288841</v>
      </c>
      <c r="R25" s="231"/>
      <c r="S25" s="231"/>
      <c r="T25" s="232">
        <v>77.501122851288841</v>
      </c>
    </row>
    <row r="26" spans="1:20" ht="55" customHeight="1">
      <c r="A26" s="154" t="s">
        <v>139</v>
      </c>
      <c r="B26" s="155" t="s">
        <v>926</v>
      </c>
      <c r="C26" s="125" t="s">
        <v>77</v>
      </c>
      <c r="D26" s="125" t="s">
        <v>77</v>
      </c>
      <c r="E26" s="125" t="s">
        <v>77</v>
      </c>
      <c r="F26" s="125" t="s">
        <v>77</v>
      </c>
      <c r="G26" s="125" t="s">
        <v>77</v>
      </c>
      <c r="H26" s="125" t="s">
        <v>77</v>
      </c>
      <c r="I26" s="125" t="s">
        <v>77</v>
      </c>
      <c r="J26" s="192">
        <v>54.09132043048907</v>
      </c>
      <c r="K26" s="229">
        <v>10</v>
      </c>
      <c r="L26" s="229">
        <v>10</v>
      </c>
      <c r="M26" s="186">
        <v>1</v>
      </c>
      <c r="N26" s="125">
        <v>1</v>
      </c>
      <c r="O26" s="188">
        <v>0.25</v>
      </c>
      <c r="P26" s="188">
        <v>0.25</v>
      </c>
      <c r="Q26" s="192">
        <v>76.591320430489077</v>
      </c>
      <c r="R26" s="193"/>
      <c r="S26" s="193"/>
      <c r="T26" s="194">
        <v>76.591320430489077</v>
      </c>
    </row>
    <row r="27" spans="1:20" ht="55" customHeight="1">
      <c r="A27" s="154" t="s">
        <v>128</v>
      </c>
      <c r="B27" s="155" t="s">
        <v>780</v>
      </c>
      <c r="C27" s="125" t="s">
        <v>77</v>
      </c>
      <c r="D27" s="125" t="s">
        <v>77</v>
      </c>
      <c r="E27" s="125" t="s">
        <v>77</v>
      </c>
      <c r="F27" s="125" t="s">
        <v>77</v>
      </c>
      <c r="G27" s="125" t="s">
        <v>77</v>
      </c>
      <c r="H27" s="125" t="s">
        <v>77</v>
      </c>
      <c r="I27" s="125" t="s">
        <v>77</v>
      </c>
      <c r="J27" s="192">
        <v>54.022660300334181</v>
      </c>
      <c r="K27" s="186">
        <v>10</v>
      </c>
      <c r="L27" s="125">
        <v>10</v>
      </c>
      <c r="M27" s="186">
        <v>1</v>
      </c>
      <c r="N27" s="186">
        <v>1</v>
      </c>
      <c r="O27" s="188">
        <v>0.25</v>
      </c>
      <c r="P27" s="188">
        <v>0.25</v>
      </c>
      <c r="Q27" s="192">
        <v>76.522660300334181</v>
      </c>
      <c r="R27" s="193"/>
      <c r="S27" s="193"/>
      <c r="T27" s="194">
        <v>76.522660300334181</v>
      </c>
    </row>
    <row r="28" spans="1:20" ht="55" customHeight="1">
      <c r="A28" s="154" t="s">
        <v>294</v>
      </c>
      <c r="B28" s="155" t="s">
        <v>1204</v>
      </c>
      <c r="C28" s="125" t="s">
        <v>77</v>
      </c>
      <c r="D28" s="125" t="s">
        <v>77</v>
      </c>
      <c r="E28" s="125" t="s">
        <v>77</v>
      </c>
      <c r="F28" s="125" t="s">
        <v>77</v>
      </c>
      <c r="G28" s="125" t="s">
        <v>77</v>
      </c>
      <c r="H28" s="125" t="s">
        <v>77</v>
      </c>
      <c r="I28" s="125" t="s">
        <v>77</v>
      </c>
      <c r="J28" s="192">
        <v>52.775812166995827</v>
      </c>
      <c r="K28" s="229">
        <v>10</v>
      </c>
      <c r="L28" s="229">
        <v>10</v>
      </c>
      <c r="M28" s="186">
        <v>1</v>
      </c>
      <c r="N28" s="3">
        <v>1</v>
      </c>
      <c r="O28" s="230">
        <v>0.25</v>
      </c>
      <c r="P28" s="230">
        <v>0.25</v>
      </c>
      <c r="Q28" s="192">
        <v>75.27581216699582</v>
      </c>
      <c r="R28" s="193"/>
      <c r="S28" s="193"/>
      <c r="T28" s="194">
        <v>75.27581216699582</v>
      </c>
    </row>
    <row r="29" spans="1:20" ht="55" customHeight="1">
      <c r="A29" s="154" t="s">
        <v>30</v>
      </c>
      <c r="B29" s="155" t="s">
        <v>755</v>
      </c>
      <c r="C29" s="125" t="s">
        <v>77</v>
      </c>
      <c r="D29" s="125" t="s">
        <v>77</v>
      </c>
      <c r="E29" s="125" t="s">
        <v>77</v>
      </c>
      <c r="F29" s="125" t="s">
        <v>77</v>
      </c>
      <c r="G29" s="125" t="s">
        <v>77</v>
      </c>
      <c r="H29" s="125" t="s">
        <v>77</v>
      </c>
      <c r="I29" s="125" t="s">
        <v>77</v>
      </c>
      <c r="J29" s="192">
        <v>52.380245121130606</v>
      </c>
      <c r="K29" s="186">
        <v>10</v>
      </c>
      <c r="L29" s="186">
        <v>10</v>
      </c>
      <c r="M29" s="186">
        <v>1</v>
      </c>
      <c r="N29" s="186">
        <v>1</v>
      </c>
      <c r="O29" s="188">
        <v>0.25</v>
      </c>
      <c r="P29" s="188">
        <v>0.25</v>
      </c>
      <c r="Q29" s="192">
        <v>74.880245121130599</v>
      </c>
      <c r="R29" s="193"/>
      <c r="S29" s="193"/>
      <c r="T29" s="194">
        <v>74.880245121130599</v>
      </c>
    </row>
    <row r="30" spans="1:20" ht="55" customHeight="1">
      <c r="A30" s="154" t="s">
        <v>130</v>
      </c>
      <c r="B30" s="155" t="s">
        <v>787</v>
      </c>
      <c r="C30" s="125" t="s">
        <v>77</v>
      </c>
      <c r="D30" s="125" t="s">
        <v>77</v>
      </c>
      <c r="E30" s="125" t="s">
        <v>77</v>
      </c>
      <c r="F30" s="125" t="s">
        <v>77</v>
      </c>
      <c r="G30" s="125" t="s">
        <v>77</v>
      </c>
      <c r="H30" s="125" t="s">
        <v>77</v>
      </c>
      <c r="I30" s="125" t="s">
        <v>77</v>
      </c>
      <c r="J30" s="192">
        <v>50.699000139138242</v>
      </c>
      <c r="K30" s="186">
        <v>10</v>
      </c>
      <c r="L30" s="125">
        <v>10</v>
      </c>
      <c r="M30" s="186">
        <v>1</v>
      </c>
      <c r="N30" s="125">
        <v>1</v>
      </c>
      <c r="O30" s="188">
        <v>0.25</v>
      </c>
      <c r="P30" s="230">
        <v>0.25</v>
      </c>
      <c r="Q30" s="192">
        <v>73.199000139138235</v>
      </c>
      <c r="R30" s="193"/>
      <c r="S30" s="193"/>
      <c r="T30" s="194">
        <v>73.199000139138235</v>
      </c>
    </row>
    <row r="31" spans="1:20" ht="55" customHeight="1">
      <c r="A31" s="213" t="s">
        <v>299</v>
      </c>
      <c r="B31" s="225" t="s">
        <v>672</v>
      </c>
      <c r="C31" s="3" t="s">
        <v>77</v>
      </c>
      <c r="D31" s="3" t="s">
        <v>77</v>
      </c>
      <c r="E31" s="3" t="s">
        <v>77</v>
      </c>
      <c r="F31" s="3" t="s">
        <v>77</v>
      </c>
      <c r="G31" s="3" t="s">
        <v>77</v>
      </c>
      <c r="H31" s="3" t="s">
        <v>77</v>
      </c>
      <c r="I31" s="3" t="s">
        <v>77</v>
      </c>
      <c r="J31" s="228">
        <v>51.451102272222535</v>
      </c>
      <c r="K31" s="229">
        <v>10</v>
      </c>
      <c r="L31" s="3">
        <v>10</v>
      </c>
      <c r="M31" s="233">
        <v>0</v>
      </c>
      <c r="N31" s="3">
        <v>1</v>
      </c>
      <c r="O31" s="230">
        <v>0.25</v>
      </c>
      <c r="P31" s="230">
        <v>0.25</v>
      </c>
      <c r="Q31" s="228">
        <v>72.951102272222528</v>
      </c>
      <c r="R31" s="231"/>
      <c r="S31" s="231"/>
      <c r="T31" s="232">
        <v>72.951102272222528</v>
      </c>
    </row>
    <row r="32" spans="1:20" ht="55" customHeight="1">
      <c r="A32" s="154" t="s">
        <v>288</v>
      </c>
      <c r="B32" s="155" t="s">
        <v>1080</v>
      </c>
      <c r="C32" s="125" t="s">
        <v>77</v>
      </c>
      <c r="D32" s="125" t="s">
        <v>77</v>
      </c>
      <c r="E32" s="125" t="s">
        <v>77</v>
      </c>
      <c r="F32" s="125" t="s">
        <v>77</v>
      </c>
      <c r="G32" s="125" t="s">
        <v>77</v>
      </c>
      <c r="H32" s="125" t="s">
        <v>77</v>
      </c>
      <c r="I32" s="125" t="s">
        <v>77</v>
      </c>
      <c r="J32" s="192">
        <v>48.91276847612</v>
      </c>
      <c r="K32" s="186">
        <v>10</v>
      </c>
      <c r="L32" s="125">
        <v>10</v>
      </c>
      <c r="M32" s="229">
        <v>1</v>
      </c>
      <c r="N32" s="125">
        <v>1</v>
      </c>
      <c r="O32" s="188">
        <v>0.25</v>
      </c>
      <c r="P32" s="188">
        <v>0.25</v>
      </c>
      <c r="Q32" s="192">
        <v>71.412768476119993</v>
      </c>
      <c r="R32" s="193"/>
      <c r="S32" s="193"/>
      <c r="T32" s="194">
        <v>71.412768476119993</v>
      </c>
    </row>
    <row r="33" spans="1:20" ht="55" customHeight="1">
      <c r="A33" s="154" t="s">
        <v>141</v>
      </c>
      <c r="B33" s="155" t="s">
        <v>1054</v>
      </c>
      <c r="C33" s="125" t="s">
        <v>77</v>
      </c>
      <c r="D33" s="125" t="s">
        <v>77</v>
      </c>
      <c r="E33" s="125" t="s">
        <v>77</v>
      </c>
      <c r="F33" s="125" t="s">
        <v>77</v>
      </c>
      <c r="G33" s="125" t="s">
        <v>77</v>
      </c>
      <c r="H33" s="125" t="s">
        <v>77</v>
      </c>
      <c r="I33" s="125" t="s">
        <v>77</v>
      </c>
      <c r="J33" s="192">
        <v>46.360805067936482</v>
      </c>
      <c r="K33" s="186">
        <v>10</v>
      </c>
      <c r="L33" s="125">
        <v>10</v>
      </c>
      <c r="M33" s="186">
        <v>1</v>
      </c>
      <c r="N33" s="125">
        <v>1</v>
      </c>
      <c r="O33" s="188">
        <v>0.25</v>
      </c>
      <c r="P33" s="188">
        <v>0.25</v>
      </c>
      <c r="Q33" s="192">
        <v>68.860805067936482</v>
      </c>
      <c r="R33" s="193"/>
      <c r="S33" s="193"/>
      <c r="T33" s="194">
        <v>68.860805067936482</v>
      </c>
    </row>
    <row r="34" spans="1:20" ht="55" customHeight="1">
      <c r="A34" s="154" t="s">
        <v>140</v>
      </c>
      <c r="B34" s="155" t="s">
        <v>1051</v>
      </c>
      <c r="C34" s="125" t="s">
        <v>77</v>
      </c>
      <c r="D34" s="125" t="s">
        <v>77</v>
      </c>
      <c r="E34" s="125" t="s">
        <v>77</v>
      </c>
      <c r="F34" s="125" t="s">
        <v>77</v>
      </c>
      <c r="G34" s="125" t="s">
        <v>77</v>
      </c>
      <c r="H34" s="125" t="s">
        <v>77</v>
      </c>
      <c r="I34" s="125" t="s">
        <v>77</v>
      </c>
      <c r="J34" s="192">
        <v>45.001210392399223</v>
      </c>
      <c r="K34" s="186">
        <v>10</v>
      </c>
      <c r="L34" s="125">
        <v>10</v>
      </c>
      <c r="M34" s="229">
        <v>1</v>
      </c>
      <c r="N34" s="186">
        <v>1</v>
      </c>
      <c r="O34" s="188">
        <v>0.25</v>
      </c>
      <c r="P34" s="188">
        <v>0.25</v>
      </c>
      <c r="Q34" s="192">
        <v>67.50121039239923</v>
      </c>
      <c r="R34" s="193"/>
      <c r="S34" s="193"/>
      <c r="T34" s="194">
        <v>67.50121039239923</v>
      </c>
    </row>
    <row r="35" spans="1:20" ht="55" customHeight="1">
      <c r="A35" s="154" t="s">
        <v>125</v>
      </c>
      <c r="B35" s="155" t="s">
        <v>767</v>
      </c>
      <c r="C35" s="125" t="s">
        <v>77</v>
      </c>
      <c r="D35" s="125" t="s">
        <v>77</v>
      </c>
      <c r="E35" s="125" t="s">
        <v>77</v>
      </c>
      <c r="F35" s="125" t="s">
        <v>77</v>
      </c>
      <c r="G35" s="125" t="s">
        <v>77</v>
      </c>
      <c r="H35" s="125" t="s">
        <v>77</v>
      </c>
      <c r="I35" s="125" t="s">
        <v>77</v>
      </c>
      <c r="J35" s="192">
        <v>43.027901417191032</v>
      </c>
      <c r="K35" s="186">
        <v>10</v>
      </c>
      <c r="L35" s="186">
        <v>10</v>
      </c>
      <c r="M35" s="186">
        <v>1</v>
      </c>
      <c r="N35" s="186">
        <v>1</v>
      </c>
      <c r="O35" s="188">
        <v>0.25</v>
      </c>
      <c r="P35" s="188">
        <v>0.25</v>
      </c>
      <c r="Q35" s="192">
        <v>65.527901417191032</v>
      </c>
      <c r="R35" s="193"/>
      <c r="S35" s="193"/>
      <c r="T35" s="194">
        <v>65.527901417191032</v>
      </c>
    </row>
    <row r="36" spans="1:20" ht="55" customHeight="1">
      <c r="A36" s="154" t="s">
        <v>138</v>
      </c>
      <c r="B36" s="155" t="s">
        <v>923</v>
      </c>
      <c r="C36" s="125" t="s">
        <v>77</v>
      </c>
      <c r="D36" s="125" t="s">
        <v>77</v>
      </c>
      <c r="E36" s="125" t="s">
        <v>77</v>
      </c>
      <c r="F36" s="125" t="s">
        <v>77</v>
      </c>
      <c r="G36" s="125" t="s">
        <v>77</v>
      </c>
      <c r="H36" s="125" t="s">
        <v>77</v>
      </c>
      <c r="I36" s="125" t="s">
        <v>77</v>
      </c>
      <c r="J36" s="192">
        <v>43.127327937526161</v>
      </c>
      <c r="K36" s="229">
        <v>10</v>
      </c>
      <c r="L36" s="229">
        <v>10</v>
      </c>
      <c r="M36" s="229">
        <v>1</v>
      </c>
      <c r="N36" s="186">
        <v>1</v>
      </c>
      <c r="O36" s="188">
        <v>0.25</v>
      </c>
      <c r="P36" s="251">
        <v>0</v>
      </c>
      <c r="Q36" s="192">
        <v>65.377327937526161</v>
      </c>
      <c r="R36" s="193"/>
      <c r="S36" s="193"/>
      <c r="T36" s="194">
        <v>65.377327937526161</v>
      </c>
    </row>
    <row r="37" spans="1:20" ht="55" customHeight="1">
      <c r="A37" s="154" t="s">
        <v>283</v>
      </c>
      <c r="B37" s="155" t="s">
        <v>1063</v>
      </c>
      <c r="C37" s="125" t="s">
        <v>77</v>
      </c>
      <c r="D37" s="125" t="s">
        <v>77</v>
      </c>
      <c r="E37" s="125" t="s">
        <v>77</v>
      </c>
      <c r="F37" s="125" t="s">
        <v>77</v>
      </c>
      <c r="G37" s="125" t="s">
        <v>77</v>
      </c>
      <c r="H37" s="125" t="s">
        <v>77</v>
      </c>
      <c r="I37" s="125" t="s">
        <v>77</v>
      </c>
      <c r="J37" s="192">
        <v>39.388448340529578</v>
      </c>
      <c r="K37" s="186">
        <v>10</v>
      </c>
      <c r="L37" s="186">
        <v>10</v>
      </c>
      <c r="M37" s="229">
        <v>1</v>
      </c>
      <c r="N37" s="186">
        <v>1</v>
      </c>
      <c r="O37" s="188">
        <v>0.25</v>
      </c>
      <c r="P37" s="188">
        <v>0.25</v>
      </c>
      <c r="Q37" s="192">
        <v>61.888448340529578</v>
      </c>
      <c r="R37" s="193"/>
      <c r="S37" s="193"/>
      <c r="T37" s="194">
        <v>61.888448340529578</v>
      </c>
    </row>
    <row r="38" spans="1:20" ht="55" customHeight="1">
      <c r="A38" s="154" t="s">
        <v>290</v>
      </c>
      <c r="B38" s="155" t="s">
        <v>1188</v>
      </c>
      <c r="C38" s="125" t="s">
        <v>77</v>
      </c>
      <c r="D38" s="125" t="s">
        <v>77</v>
      </c>
      <c r="E38" s="125" t="s">
        <v>77</v>
      </c>
      <c r="F38" s="125" t="s">
        <v>77</v>
      </c>
      <c r="G38" s="125" t="s">
        <v>77</v>
      </c>
      <c r="H38" s="125" t="s">
        <v>77</v>
      </c>
      <c r="I38" s="125" t="s">
        <v>77</v>
      </c>
      <c r="J38" s="192">
        <v>36.912773493130274</v>
      </c>
      <c r="K38" s="229">
        <v>10</v>
      </c>
      <c r="L38" s="229">
        <v>10</v>
      </c>
      <c r="M38" s="186">
        <v>1</v>
      </c>
      <c r="N38" s="3">
        <v>1</v>
      </c>
      <c r="O38" s="230">
        <v>0.25</v>
      </c>
      <c r="P38" s="230">
        <v>0.25</v>
      </c>
      <c r="Q38" s="192">
        <v>59.412773493130274</v>
      </c>
      <c r="R38" s="193"/>
      <c r="S38" s="193"/>
      <c r="T38" s="194">
        <v>59.412773493130274</v>
      </c>
    </row>
    <row r="39" spans="1:20" ht="55" customHeight="1">
      <c r="A39" s="395" t="s">
        <v>127</v>
      </c>
      <c r="B39" s="396" t="s">
        <v>774</v>
      </c>
      <c r="C39" s="397" t="s">
        <v>80</v>
      </c>
      <c r="D39" s="397" t="s">
        <v>77</v>
      </c>
      <c r="E39" s="397" t="s">
        <v>77</v>
      </c>
      <c r="F39" s="397" t="s">
        <v>77</v>
      </c>
      <c r="G39" s="397" t="s">
        <v>77</v>
      </c>
      <c r="H39" s="397" t="s">
        <v>77</v>
      </c>
      <c r="I39" s="397" t="s">
        <v>80</v>
      </c>
      <c r="J39" s="398">
        <v>0</v>
      </c>
      <c r="K39" s="399"/>
      <c r="L39" s="399"/>
      <c r="M39" s="399"/>
      <c r="N39" s="399"/>
      <c r="O39" s="400"/>
      <c r="P39" s="400"/>
      <c r="Q39" s="398">
        <v>0</v>
      </c>
      <c r="R39" s="401"/>
      <c r="S39" s="401"/>
      <c r="T39" s="402">
        <v>0</v>
      </c>
    </row>
    <row r="40" spans="1:20" ht="55" customHeight="1">
      <c r="A40" s="395" t="s">
        <v>129</v>
      </c>
      <c r="B40" s="396" t="s">
        <v>783</v>
      </c>
      <c r="C40" s="397" t="s">
        <v>77</v>
      </c>
      <c r="D40" s="397" t="s">
        <v>80</v>
      </c>
      <c r="E40" s="397" t="s">
        <v>77</v>
      </c>
      <c r="F40" s="397" t="s">
        <v>77</v>
      </c>
      <c r="G40" s="397" t="s">
        <v>77</v>
      </c>
      <c r="H40" s="397" t="s">
        <v>77</v>
      </c>
      <c r="I40" s="397" t="s">
        <v>80</v>
      </c>
      <c r="J40" s="398">
        <v>0</v>
      </c>
      <c r="K40" s="399"/>
      <c r="L40" s="399"/>
      <c r="M40" s="399"/>
      <c r="N40" s="399"/>
      <c r="O40" s="400"/>
      <c r="P40" s="400"/>
      <c r="Q40" s="398">
        <v>0</v>
      </c>
      <c r="R40" s="401"/>
      <c r="S40" s="401"/>
      <c r="T40" s="402">
        <v>0</v>
      </c>
    </row>
    <row r="41" spans="1:20" ht="55" customHeight="1">
      <c r="A41" s="395" t="s">
        <v>284</v>
      </c>
      <c r="B41" s="396" t="s">
        <v>1067</v>
      </c>
      <c r="C41" s="397" t="s">
        <v>77</v>
      </c>
      <c r="D41" s="397" t="s">
        <v>80</v>
      </c>
      <c r="E41" s="397" t="s">
        <v>77</v>
      </c>
      <c r="F41" s="397" t="s">
        <v>77</v>
      </c>
      <c r="G41" s="397" t="s">
        <v>77</v>
      </c>
      <c r="H41" s="397" t="s">
        <v>77</v>
      </c>
      <c r="I41" s="397" t="s">
        <v>80</v>
      </c>
      <c r="J41" s="398">
        <v>0</v>
      </c>
      <c r="K41" s="399"/>
      <c r="L41" s="399"/>
      <c r="M41" s="399"/>
      <c r="N41" s="399"/>
      <c r="O41" s="400"/>
      <c r="P41" s="400"/>
      <c r="Q41" s="398">
        <v>0</v>
      </c>
      <c r="R41" s="401"/>
      <c r="S41" s="401"/>
      <c r="T41" s="402">
        <v>0</v>
      </c>
    </row>
    <row r="42" spans="1:20" ht="55" customHeight="1">
      <c r="A42" s="395" t="s">
        <v>286</v>
      </c>
      <c r="B42" s="396" t="s">
        <v>1074</v>
      </c>
      <c r="C42" s="397" t="s">
        <v>80</v>
      </c>
      <c r="D42" s="397" t="s">
        <v>77</v>
      </c>
      <c r="E42" s="397" t="s">
        <v>77</v>
      </c>
      <c r="F42" s="397" t="s">
        <v>77</v>
      </c>
      <c r="G42" s="397" t="s">
        <v>80</v>
      </c>
      <c r="H42" s="397" t="s">
        <v>77</v>
      </c>
      <c r="I42" s="397" t="s">
        <v>80</v>
      </c>
      <c r="J42" s="398">
        <v>0</v>
      </c>
      <c r="K42" s="399"/>
      <c r="L42" s="399"/>
      <c r="M42" s="399"/>
      <c r="N42" s="399"/>
      <c r="O42" s="400"/>
      <c r="P42" s="400"/>
      <c r="Q42" s="398">
        <v>0</v>
      </c>
      <c r="R42" s="401"/>
      <c r="S42" s="401"/>
      <c r="T42" s="402">
        <v>0</v>
      </c>
    </row>
    <row r="43" spans="1:20" ht="55" customHeight="1">
      <c r="A43" s="395" t="s">
        <v>289</v>
      </c>
      <c r="B43" s="396" t="s">
        <v>1184</v>
      </c>
      <c r="C43" s="397" t="s">
        <v>77</v>
      </c>
      <c r="D43" s="397" t="s">
        <v>80</v>
      </c>
      <c r="E43" s="397" t="s">
        <v>77</v>
      </c>
      <c r="F43" s="397" t="s">
        <v>77</v>
      </c>
      <c r="G43" s="397" t="s">
        <v>77</v>
      </c>
      <c r="H43" s="397" t="s">
        <v>77</v>
      </c>
      <c r="I43" s="125" t="s">
        <v>80</v>
      </c>
      <c r="J43" s="398">
        <v>0</v>
      </c>
      <c r="K43" s="399"/>
      <c r="L43" s="399"/>
      <c r="M43" s="399"/>
      <c r="N43" s="397"/>
      <c r="O43" s="400"/>
      <c r="P43" s="400"/>
      <c r="Q43" s="398">
        <v>0</v>
      </c>
      <c r="R43" s="401"/>
      <c r="S43" s="401"/>
      <c r="T43" s="402">
        <v>0</v>
      </c>
    </row>
    <row r="44" spans="1:20" ht="55" customHeight="1">
      <c r="A44" s="395" t="s">
        <v>292</v>
      </c>
      <c r="B44" s="396" t="s">
        <v>1196</v>
      </c>
      <c r="C44" s="397" t="s">
        <v>80</v>
      </c>
      <c r="D44" s="397" t="s">
        <v>77</v>
      </c>
      <c r="E44" s="397" t="s">
        <v>77</v>
      </c>
      <c r="F44" s="397" t="s">
        <v>77</v>
      </c>
      <c r="G44" s="397" t="s">
        <v>77</v>
      </c>
      <c r="H44" s="397" t="s">
        <v>77</v>
      </c>
      <c r="I44" s="397" t="s">
        <v>80</v>
      </c>
      <c r="J44" s="398">
        <v>0</v>
      </c>
      <c r="K44" s="399"/>
      <c r="L44" s="399"/>
      <c r="M44" s="399"/>
      <c r="N44" s="397"/>
      <c r="O44" s="400"/>
      <c r="P44" s="400"/>
      <c r="Q44" s="398">
        <v>0</v>
      </c>
      <c r="R44" s="401"/>
      <c r="S44" s="401"/>
      <c r="T44" s="402">
        <v>0</v>
      </c>
    </row>
    <row r="45" spans="1:20" ht="55" customHeight="1">
      <c r="A45" s="395" t="s">
        <v>296</v>
      </c>
      <c r="B45" s="396" t="s">
        <v>1211</v>
      </c>
      <c r="C45" s="397" t="s">
        <v>80</v>
      </c>
      <c r="D45" s="397" t="s">
        <v>80</v>
      </c>
      <c r="E45" s="397" t="s">
        <v>77</v>
      </c>
      <c r="F45" s="397" t="s">
        <v>77</v>
      </c>
      <c r="G45" s="397" t="s">
        <v>77</v>
      </c>
      <c r="H45" s="397" t="s">
        <v>77</v>
      </c>
      <c r="I45" s="397" t="s">
        <v>80</v>
      </c>
      <c r="J45" s="398">
        <v>0</v>
      </c>
      <c r="K45" s="399"/>
      <c r="L45" s="399"/>
      <c r="M45" s="399"/>
      <c r="N45" s="397"/>
      <c r="O45" s="400"/>
      <c r="P45" s="400"/>
      <c r="Q45" s="398">
        <v>0</v>
      </c>
      <c r="R45" s="401"/>
      <c r="S45" s="401"/>
      <c r="T45" s="402">
        <v>0</v>
      </c>
    </row>
    <row r="46" spans="1:20" ht="55" customHeight="1">
      <c r="A46" s="395" t="s">
        <v>301</v>
      </c>
      <c r="B46" s="396" t="s">
        <v>712</v>
      </c>
      <c r="C46" s="397" t="s">
        <v>80</v>
      </c>
      <c r="D46" s="397" t="s">
        <v>77</v>
      </c>
      <c r="E46" s="397" t="s">
        <v>77</v>
      </c>
      <c r="F46" s="397" t="s">
        <v>80</v>
      </c>
      <c r="G46" s="397" t="s">
        <v>77</v>
      </c>
      <c r="H46" s="397" t="s">
        <v>80</v>
      </c>
      <c r="I46" s="397" t="s">
        <v>80</v>
      </c>
      <c r="J46" s="398">
        <v>0</v>
      </c>
      <c r="K46" s="399"/>
      <c r="L46" s="399"/>
      <c r="M46" s="399"/>
      <c r="N46" s="399"/>
      <c r="O46" s="400"/>
      <c r="P46" s="400"/>
      <c r="Q46" s="398">
        <v>0</v>
      </c>
      <c r="R46" s="401"/>
      <c r="S46" s="401"/>
      <c r="T46" s="402">
        <v>0</v>
      </c>
    </row>
  </sheetData>
  <sortState xmlns:xlrd2="http://schemas.microsoft.com/office/spreadsheetml/2017/richdata2" ref="A6:T46">
    <sortCondition descending="1" ref="T6:T46"/>
  </sortState>
  <mergeCells count="6">
    <mergeCell ref="A1:T1"/>
    <mergeCell ref="A2:T2"/>
    <mergeCell ref="A3:A4"/>
    <mergeCell ref="B3:B4"/>
    <mergeCell ref="C3:I3"/>
    <mergeCell ref="J3:T3"/>
  </mergeCells>
  <conditionalFormatting sqref="C6:I46">
    <cfRule type="cellIs" dxfId="2" priority="1" operator="equal">
      <formula>"NO HÁBIL"</formula>
    </cfRule>
    <cfRule type="cellIs" dxfId="1" priority="2" operator="equal">
      <formula>"PENDIENTE"</formula>
    </cfRule>
    <cfRule type="cellIs" dxfId="0" priority="3" operator="equal">
      <formula>"RECHAZADO"</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tabColor theme="8" tint="0.79998168889431442"/>
  </sheetPr>
  <dimension ref="A1:H34"/>
  <sheetViews>
    <sheetView workbookViewId="0"/>
  </sheetViews>
  <sheetFormatPr baseColWidth="10" defaultColWidth="11.453125" defaultRowHeight="14.5"/>
  <cols>
    <col min="1" max="2" width="14.6328125" style="1" customWidth="1"/>
    <col min="3" max="3" width="2.6328125" style="1" customWidth="1"/>
    <col min="4" max="4" width="20.6328125" style="1" customWidth="1"/>
    <col min="5" max="5" width="2.6328125" style="1" customWidth="1"/>
    <col min="6" max="6" width="20.6328125" style="1" customWidth="1"/>
    <col min="7" max="7" width="2.6328125" style="1" customWidth="1"/>
    <col min="8" max="8" width="29.81640625" style="1" customWidth="1"/>
    <col min="9" max="16384" width="11.453125" style="1"/>
  </cols>
  <sheetData>
    <row r="1" spans="1:8" ht="15" thickBot="1">
      <c r="A1" s="14" t="s">
        <v>15</v>
      </c>
      <c r="B1" s="15" t="s">
        <v>16</v>
      </c>
      <c r="D1" s="26" t="s">
        <v>73</v>
      </c>
      <c r="F1" s="28" t="s">
        <v>76</v>
      </c>
      <c r="H1" s="30" t="s">
        <v>86</v>
      </c>
    </row>
    <row r="2" spans="1:8">
      <c r="A2" s="13">
        <v>1990</v>
      </c>
      <c r="B2" s="16">
        <v>41025</v>
      </c>
      <c r="D2" s="27" t="s">
        <v>74</v>
      </c>
      <c r="F2" s="27" t="s">
        <v>77</v>
      </c>
      <c r="H2" s="27" t="s">
        <v>87</v>
      </c>
    </row>
    <row r="3" spans="1:8">
      <c r="A3" s="11">
        <v>1991</v>
      </c>
      <c r="B3" s="17">
        <v>51716</v>
      </c>
      <c r="D3" s="27" t="s">
        <v>75</v>
      </c>
      <c r="F3" s="27" t="s">
        <v>78</v>
      </c>
      <c r="H3" s="27" t="s">
        <v>88</v>
      </c>
    </row>
    <row r="4" spans="1:8">
      <c r="A4" s="11">
        <v>1992</v>
      </c>
      <c r="B4" s="17">
        <v>65190</v>
      </c>
      <c r="F4" s="27" t="s">
        <v>79</v>
      </c>
      <c r="H4" s="27" t="s">
        <v>90</v>
      </c>
    </row>
    <row r="5" spans="1:8">
      <c r="A5" s="11">
        <v>1993</v>
      </c>
      <c r="B5" s="17">
        <v>81510</v>
      </c>
      <c r="F5" s="27" t="s">
        <v>80</v>
      </c>
      <c r="H5" s="27" t="s">
        <v>89</v>
      </c>
    </row>
    <row r="6" spans="1:8">
      <c r="A6" s="11">
        <v>1994</v>
      </c>
      <c r="B6" s="17">
        <v>98700</v>
      </c>
      <c r="H6" s="27" t="s">
        <v>108</v>
      </c>
    </row>
    <row r="7" spans="1:8">
      <c r="A7" s="11">
        <v>1995</v>
      </c>
      <c r="B7" s="17">
        <v>118933.5</v>
      </c>
    </row>
    <row r="8" spans="1:8">
      <c r="A8" s="11">
        <v>1996</v>
      </c>
      <c r="B8" s="17">
        <v>142125</v>
      </c>
    </row>
    <row r="9" spans="1:8">
      <c r="A9" s="11">
        <v>1997</v>
      </c>
      <c r="B9" s="17">
        <v>172005</v>
      </c>
    </row>
    <row r="10" spans="1:8">
      <c r="A10" s="11">
        <v>1998</v>
      </c>
      <c r="B10" s="17">
        <v>203826</v>
      </c>
    </row>
    <row r="11" spans="1:8">
      <c r="A11" s="11">
        <v>1999</v>
      </c>
      <c r="B11" s="17">
        <v>236460</v>
      </c>
    </row>
    <row r="12" spans="1:8">
      <c r="A12" s="11">
        <v>2000</v>
      </c>
      <c r="B12" s="17">
        <v>260100</v>
      </c>
    </row>
    <row r="13" spans="1:8">
      <c r="A13" s="11">
        <v>2001</v>
      </c>
      <c r="B13" s="17">
        <v>286000</v>
      </c>
    </row>
    <row r="14" spans="1:8">
      <c r="A14" s="11">
        <v>2002</v>
      </c>
      <c r="B14" s="17">
        <v>309000</v>
      </c>
    </row>
    <row r="15" spans="1:8">
      <c r="A15" s="11">
        <v>2003</v>
      </c>
      <c r="B15" s="17">
        <v>332000</v>
      </c>
    </row>
    <row r="16" spans="1:8">
      <c r="A16" s="11">
        <v>2004</v>
      </c>
      <c r="B16" s="17">
        <v>358000</v>
      </c>
    </row>
    <row r="17" spans="1:2">
      <c r="A17" s="11">
        <v>2005</v>
      </c>
      <c r="B17" s="17">
        <v>381500</v>
      </c>
    </row>
    <row r="18" spans="1:2">
      <c r="A18" s="11">
        <v>2006</v>
      </c>
      <c r="B18" s="17">
        <v>408000</v>
      </c>
    </row>
    <row r="19" spans="1:2">
      <c r="A19" s="11">
        <v>2007</v>
      </c>
      <c r="B19" s="17">
        <v>433700</v>
      </c>
    </row>
    <row r="20" spans="1:2">
      <c r="A20" s="11">
        <v>2008</v>
      </c>
      <c r="B20" s="17">
        <v>461500</v>
      </c>
    </row>
    <row r="21" spans="1:2">
      <c r="A21" s="11">
        <v>2009</v>
      </c>
      <c r="B21" s="17">
        <v>496900</v>
      </c>
    </row>
    <row r="22" spans="1:2">
      <c r="A22" s="11">
        <v>2010</v>
      </c>
      <c r="B22" s="17">
        <v>515000</v>
      </c>
    </row>
    <row r="23" spans="1:2">
      <c r="A23" s="11">
        <v>2011</v>
      </c>
      <c r="B23" s="17">
        <v>535600</v>
      </c>
    </row>
    <row r="24" spans="1:2">
      <c r="A24" s="11">
        <v>2012</v>
      </c>
      <c r="B24" s="17">
        <v>566700</v>
      </c>
    </row>
    <row r="25" spans="1:2">
      <c r="A25" s="11">
        <v>2013</v>
      </c>
      <c r="B25" s="17">
        <v>589500</v>
      </c>
    </row>
    <row r="26" spans="1:2">
      <c r="A26" s="11">
        <v>2014</v>
      </c>
      <c r="B26" s="17">
        <v>616000</v>
      </c>
    </row>
    <row r="27" spans="1:2">
      <c r="A27" s="11">
        <v>2015</v>
      </c>
      <c r="B27" s="17">
        <v>644350</v>
      </c>
    </row>
    <row r="28" spans="1:2">
      <c r="A28" s="11">
        <v>2016</v>
      </c>
      <c r="B28" s="17">
        <v>689455</v>
      </c>
    </row>
    <row r="29" spans="1:2">
      <c r="A29" s="11">
        <v>2017</v>
      </c>
      <c r="B29" s="17">
        <v>737717</v>
      </c>
    </row>
    <row r="30" spans="1:2">
      <c r="A30" s="11">
        <v>2018</v>
      </c>
      <c r="B30" s="17">
        <v>781242</v>
      </c>
    </row>
    <row r="31" spans="1:2">
      <c r="A31" s="11">
        <v>2019</v>
      </c>
      <c r="B31" s="17">
        <v>828116</v>
      </c>
    </row>
    <row r="32" spans="1:2">
      <c r="A32" s="11">
        <v>2020</v>
      </c>
      <c r="B32" s="17">
        <v>877803</v>
      </c>
    </row>
    <row r="33" spans="1:2">
      <c r="A33" s="50">
        <v>2021</v>
      </c>
      <c r="B33" s="51">
        <v>908526</v>
      </c>
    </row>
    <row r="34" spans="1:2" ht="15" thickBot="1">
      <c r="A34" s="12">
        <v>2022</v>
      </c>
      <c r="B34" s="18">
        <v>1000000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12</vt:i4>
      </vt:variant>
    </vt:vector>
  </HeadingPairs>
  <TitlesOfParts>
    <vt:vector size="18" baseType="lpstr">
      <vt:lpstr>PARÁMETROS</vt:lpstr>
      <vt:lpstr>EXPERIENCIA </vt:lpstr>
      <vt:lpstr>PONDERACIÓN </vt:lpstr>
      <vt:lpstr>CONSOLIDADO</vt:lpstr>
      <vt:lpstr>DESEMPATE Y DISCAPACIDAD</vt:lpstr>
      <vt:lpstr>O.E</vt:lpstr>
      <vt:lpstr>CALIFICACIONPROP</vt:lpstr>
      <vt:lpstr>CMEM1</vt:lpstr>
      <vt:lpstr>CMEM2</vt:lpstr>
      <vt:lpstr>CMEMM1</vt:lpstr>
      <vt:lpstr>CMEMM2</vt:lpstr>
      <vt:lpstr>CMLM1</vt:lpstr>
      <vt:lpstr>CMLM2</vt:lpstr>
      <vt:lpstr>METPONDERACION</vt:lpstr>
      <vt:lpstr>NOMPROC</vt:lpstr>
      <vt:lpstr>PDMI</vt:lpstr>
      <vt:lpstr>PDMII</vt:lpstr>
      <vt:lpstr>VALIDACION</vt:lpstr>
    </vt:vector>
  </TitlesOfParts>
  <Company>DAlexRC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 2022</dc:creator>
  <cp:lastModifiedBy>Jesus David Quintero Saker</cp:lastModifiedBy>
  <dcterms:created xsi:type="dcterms:W3CDTF">2021-06-15T18:29:10Z</dcterms:created>
  <dcterms:modified xsi:type="dcterms:W3CDTF">2026-04-14T02:10:06Z</dcterms:modified>
</cp:coreProperties>
</file>