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MEDICAMENTOS" sheetId="1" r:id="rId1"/>
    <sheet name="INSUMOS " sheetId="4" r:id="rId2"/>
  </sheets>
  <definedNames>
    <definedName name="_xlnm._FilterDatabase" localSheetId="1" hidden="1">'INSUMOS '!$A$2:$C$1062</definedName>
    <definedName name="_xlnm._FilterDatabase" localSheetId="0" hidden="1">MEDICAMENTOS!$A$2:$J$564</definedName>
  </definedNames>
  <calcPr calcId="144525"/>
</workbook>
</file>

<file path=xl/calcChain.xml><?xml version="1.0" encoding="utf-8"?>
<calcChain xmlns="http://schemas.openxmlformats.org/spreadsheetml/2006/main">
  <c r="B987" i="4" l="1"/>
  <c r="A987" i="4"/>
  <c r="B986" i="4"/>
  <c r="A986" i="4"/>
  <c r="B974" i="4"/>
  <c r="A974" i="4"/>
  <c r="B977" i="4"/>
  <c r="A977" i="4"/>
  <c r="B959" i="4"/>
  <c r="A959" i="4"/>
  <c r="B958" i="4"/>
  <c r="A958" i="4"/>
  <c r="B950" i="4"/>
  <c r="A950" i="4"/>
  <c r="B949" i="4"/>
  <c r="A949" i="4"/>
  <c r="B948" i="4"/>
  <c r="A948" i="4"/>
  <c r="B947" i="4"/>
  <c r="A947" i="4"/>
  <c r="B943" i="4"/>
  <c r="A943" i="4"/>
  <c r="B749" i="4"/>
  <c r="A749" i="4"/>
  <c r="B12" i="4"/>
  <c r="A12" i="4"/>
  <c r="B11" i="4"/>
  <c r="A11" i="4"/>
  <c r="B1024" i="4"/>
  <c r="A1024" i="4"/>
  <c r="B998" i="4"/>
  <c r="A998" i="4"/>
  <c r="B997" i="4"/>
  <c r="A997" i="4"/>
  <c r="B996" i="4"/>
  <c r="A996" i="4"/>
  <c r="B995" i="4"/>
  <c r="A995" i="4"/>
  <c r="B946" i="4"/>
  <c r="A946" i="4"/>
  <c r="B945" i="4"/>
  <c r="A945" i="4"/>
  <c r="B683" i="4"/>
  <c r="A683" i="4"/>
  <c r="B682" i="4"/>
  <c r="A682" i="4"/>
  <c r="B681" i="4"/>
  <c r="A681" i="4"/>
  <c r="B677" i="4"/>
  <c r="A677" i="4"/>
  <c r="B676" i="4"/>
  <c r="A676" i="4"/>
  <c r="B472" i="4"/>
  <c r="A472" i="4"/>
  <c r="B775" i="4"/>
  <c r="A775" i="4"/>
  <c r="B774" i="4"/>
  <c r="A774" i="4"/>
  <c r="B730" i="4"/>
  <c r="A730" i="4"/>
  <c r="B444" i="4"/>
  <c r="A444" i="4"/>
  <c r="B358" i="4"/>
  <c r="A358" i="4"/>
  <c r="B357" i="4"/>
  <c r="A357" i="4"/>
  <c r="B375" i="4"/>
  <c r="A375" i="4"/>
  <c r="B366" i="4"/>
  <c r="A366" i="4"/>
  <c r="B361" i="4"/>
  <c r="A361" i="4"/>
  <c r="B360" i="4"/>
  <c r="A360" i="4"/>
  <c r="B359" i="4"/>
  <c r="A359" i="4"/>
  <c r="B418" i="4"/>
  <c r="A418" i="4"/>
  <c r="B420" i="4"/>
  <c r="A420" i="4"/>
  <c r="B419" i="4"/>
  <c r="A419" i="4"/>
  <c r="B417" i="4"/>
  <c r="A417" i="4"/>
  <c r="B416" i="4"/>
  <c r="A416" i="4"/>
  <c r="B356" i="4"/>
  <c r="A356" i="4"/>
  <c r="B384" i="4"/>
  <c r="A384" i="4"/>
  <c r="B904" i="4"/>
  <c r="A904" i="4"/>
  <c r="B343" i="4"/>
  <c r="A343" i="4"/>
  <c r="B1054" i="4"/>
  <c r="A1054" i="4"/>
  <c r="B1052" i="4"/>
  <c r="A1052" i="4"/>
  <c r="A1048" i="4"/>
  <c r="B994" i="4"/>
  <c r="A994" i="4"/>
  <c r="B993" i="4"/>
  <c r="A993" i="4"/>
  <c r="B992" i="4"/>
  <c r="A992" i="4"/>
  <c r="B921" i="4"/>
  <c r="A921" i="4"/>
  <c r="B425" i="4"/>
  <c r="A425" i="4"/>
  <c r="B793" i="4"/>
  <c r="A793" i="4"/>
  <c r="B339" i="4"/>
  <c r="A339" i="4"/>
  <c r="B326" i="4"/>
  <c r="A326" i="4"/>
  <c r="B345" i="4"/>
  <c r="A345" i="4"/>
  <c r="B259" i="4"/>
  <c r="A259" i="4"/>
  <c r="B254" i="4"/>
  <c r="A254" i="4"/>
  <c r="B253" i="4"/>
  <c r="A253" i="4"/>
  <c r="B252" i="4"/>
  <c r="A252" i="4"/>
  <c r="B251" i="4"/>
  <c r="A251" i="4"/>
  <c r="B250" i="4"/>
  <c r="A250" i="4"/>
  <c r="B249" i="4"/>
  <c r="A249" i="4"/>
  <c r="B248" i="4"/>
  <c r="A248" i="4"/>
  <c r="B247" i="4"/>
  <c r="A247" i="4"/>
  <c r="B246" i="4"/>
  <c r="A246" i="4"/>
  <c r="B245" i="4"/>
  <c r="A245" i="4"/>
  <c r="B244" i="4"/>
  <c r="A244" i="4"/>
  <c r="B243" i="4"/>
  <c r="A243" i="4"/>
  <c r="B397" i="4"/>
  <c r="A397" i="4"/>
  <c r="B421" i="4"/>
  <c r="A421" i="4"/>
  <c r="B415" i="4"/>
  <c r="A415" i="4"/>
  <c r="B414" i="4"/>
  <c r="A414" i="4"/>
  <c r="B299" i="4"/>
  <c r="A299" i="4"/>
  <c r="B298" i="4"/>
  <c r="A298" i="4"/>
  <c r="B297" i="4"/>
  <c r="A297" i="4"/>
  <c r="B296" i="4"/>
  <c r="A296" i="4"/>
  <c r="B144" i="4"/>
  <c r="A144" i="4"/>
  <c r="B286" i="4"/>
  <c r="A286" i="4"/>
  <c r="B285" i="4"/>
  <c r="A285" i="4"/>
  <c r="B284" i="4"/>
  <c r="A284" i="4"/>
  <c r="B369" i="4"/>
  <c r="A369" i="4"/>
  <c r="B368" i="4"/>
  <c r="A368" i="4"/>
  <c r="B355" i="4"/>
  <c r="A355" i="4"/>
  <c r="B351" i="4"/>
  <c r="A351" i="4"/>
  <c r="B348" i="4"/>
  <c r="A348" i="4"/>
  <c r="B280" i="4"/>
  <c r="A280" i="4"/>
  <c r="B279" i="4"/>
  <c r="A279" i="4"/>
  <c r="B278" i="4"/>
  <c r="A278" i="4"/>
  <c r="B1062" i="4"/>
  <c r="A1062" i="4"/>
  <c r="B1061" i="4"/>
  <c r="A1061" i="4"/>
  <c r="B1060" i="4"/>
  <c r="A1060" i="4"/>
  <c r="B1053" i="4"/>
  <c r="A1053" i="4"/>
  <c r="A1015" i="4"/>
  <c r="B1006" i="4"/>
  <c r="A1006" i="4"/>
  <c r="B1010" i="4"/>
  <c r="A1010" i="4"/>
  <c r="B1009" i="4"/>
  <c r="A1009" i="4"/>
  <c r="B1008" i="4"/>
  <c r="A1008" i="4"/>
  <c r="B1007" i="4"/>
  <c r="A1007" i="4"/>
  <c r="B1005" i="4"/>
  <c r="A1005" i="4"/>
  <c r="B1004" i="4"/>
  <c r="A1004" i="4"/>
  <c r="B1003" i="4"/>
  <c r="A1003" i="4"/>
  <c r="B1002" i="4"/>
  <c r="A1002" i="4"/>
  <c r="B1001" i="4"/>
  <c r="A1001" i="4"/>
  <c r="B1000" i="4"/>
  <c r="A1000" i="4"/>
  <c r="B988" i="4"/>
  <c r="A988" i="4"/>
  <c r="B991" i="4"/>
  <c r="A991" i="4"/>
  <c r="B990" i="4"/>
  <c r="A990" i="4"/>
  <c r="B989" i="4"/>
  <c r="A989" i="4"/>
  <c r="A983" i="4"/>
  <c r="B984" i="4"/>
  <c r="A984" i="4"/>
  <c r="B982" i="4"/>
  <c r="A982" i="4"/>
  <c r="B981" i="4"/>
  <c r="A981" i="4"/>
  <c r="B980" i="4"/>
  <c r="A980" i="4"/>
  <c r="B979" i="4"/>
  <c r="A979" i="4"/>
  <c r="B978" i="4"/>
  <c r="A978" i="4"/>
  <c r="B975" i="4"/>
  <c r="A975" i="4"/>
  <c r="B972" i="4"/>
  <c r="A972" i="4"/>
  <c r="B971" i="4"/>
  <c r="A971" i="4"/>
  <c r="B969" i="4"/>
  <c r="A969" i="4"/>
  <c r="B966" i="4"/>
  <c r="A966" i="4"/>
  <c r="B965" i="4"/>
  <c r="A965" i="4"/>
  <c r="B964" i="4"/>
  <c r="A964" i="4"/>
  <c r="B963" i="4"/>
  <c r="A963" i="4"/>
  <c r="B961" i="4"/>
  <c r="A961" i="4"/>
  <c r="B960" i="4"/>
  <c r="A960" i="4"/>
  <c r="B942" i="4"/>
  <c r="A942" i="4"/>
  <c r="B939" i="4"/>
  <c r="A939" i="4"/>
  <c r="B937" i="4"/>
  <c r="A937" i="4"/>
  <c r="B935" i="4"/>
  <c r="A935" i="4"/>
  <c r="B934" i="4"/>
  <c r="A934" i="4"/>
  <c r="B933" i="4"/>
  <c r="A933" i="4"/>
  <c r="B932" i="4"/>
  <c r="A932" i="4"/>
  <c r="B931" i="4"/>
  <c r="A931" i="4"/>
  <c r="B929" i="4"/>
  <c r="A929" i="4"/>
  <c r="B925" i="4"/>
  <c r="A925" i="4"/>
  <c r="B924" i="4"/>
  <c r="A924" i="4"/>
  <c r="B920" i="4"/>
  <c r="A920" i="4"/>
  <c r="B918" i="4"/>
  <c r="A918" i="4"/>
  <c r="B917" i="4"/>
  <c r="A917" i="4"/>
  <c r="B916" i="4"/>
  <c r="A916" i="4"/>
  <c r="B915" i="4"/>
  <c r="A915" i="4"/>
  <c r="B913" i="4"/>
  <c r="A913" i="4"/>
  <c r="B912" i="4"/>
  <c r="A912" i="4"/>
  <c r="B911" i="4"/>
  <c r="A911" i="4"/>
  <c r="B910" i="4"/>
  <c r="A910" i="4"/>
  <c r="B909" i="4"/>
  <c r="A909" i="4"/>
  <c r="B908" i="4"/>
  <c r="A908" i="4"/>
  <c r="B907" i="4"/>
  <c r="A907" i="4"/>
  <c r="B906" i="4"/>
  <c r="A906" i="4"/>
  <c r="B905" i="4"/>
  <c r="A905" i="4"/>
  <c r="B715" i="4"/>
  <c r="A715" i="4"/>
  <c r="B701" i="4"/>
  <c r="A701" i="4"/>
  <c r="B699" i="4"/>
  <c r="A699" i="4"/>
  <c r="B697" i="4"/>
  <c r="A697" i="4"/>
  <c r="B696" i="4"/>
  <c r="A696" i="4"/>
  <c r="B721" i="4"/>
  <c r="A721" i="4"/>
  <c r="B691" i="4"/>
  <c r="A691" i="4"/>
  <c r="B675" i="4"/>
  <c r="A675" i="4"/>
  <c r="B672" i="4"/>
  <c r="A672" i="4"/>
  <c r="B665" i="4"/>
  <c r="A665" i="4"/>
  <c r="B661" i="4"/>
  <c r="A661" i="4"/>
  <c r="B660" i="4"/>
  <c r="A660" i="4"/>
  <c r="B474" i="4"/>
  <c r="A474" i="4"/>
  <c r="B470" i="4"/>
  <c r="A470" i="4"/>
  <c r="B645" i="4"/>
  <c r="A645" i="4"/>
  <c r="B639" i="4"/>
  <c r="A639" i="4"/>
  <c r="B636" i="4"/>
  <c r="A636" i="4"/>
  <c r="B632" i="4"/>
  <c r="A632" i="4"/>
  <c r="B630" i="4"/>
  <c r="A630" i="4"/>
  <c r="B626" i="4"/>
  <c r="A626" i="4"/>
  <c r="B610" i="4"/>
  <c r="A610" i="4"/>
  <c r="B605" i="4"/>
  <c r="A605" i="4"/>
  <c r="B902" i="4"/>
  <c r="A902" i="4"/>
  <c r="B901" i="4"/>
  <c r="A901" i="4"/>
  <c r="B897" i="4"/>
  <c r="A897" i="4"/>
  <c r="B891" i="4"/>
  <c r="A891" i="4"/>
  <c r="B881" i="4"/>
  <c r="A881" i="4"/>
  <c r="B877" i="4"/>
  <c r="A877" i="4"/>
  <c r="B874" i="4"/>
  <c r="A874" i="4"/>
  <c r="B856" i="4"/>
  <c r="A856" i="4"/>
  <c r="B855" i="4"/>
  <c r="A855" i="4"/>
  <c r="B854" i="4"/>
  <c r="A854" i="4"/>
  <c r="B825" i="4"/>
  <c r="A825" i="4"/>
  <c r="B824" i="4"/>
  <c r="A824" i="4"/>
  <c r="B823" i="4"/>
  <c r="A823" i="4"/>
  <c r="B821" i="4"/>
  <c r="A821" i="4"/>
  <c r="B820" i="4"/>
  <c r="A820" i="4"/>
  <c r="B816" i="4"/>
  <c r="A816" i="4"/>
  <c r="B780" i="4"/>
  <c r="A780" i="4"/>
  <c r="B779" i="4"/>
  <c r="A779" i="4"/>
  <c r="B777" i="4"/>
  <c r="A777" i="4"/>
  <c r="B773" i="4"/>
  <c r="A773" i="4"/>
  <c r="B770" i="4"/>
  <c r="A770" i="4"/>
  <c r="B769" i="4"/>
  <c r="A769" i="4"/>
  <c r="B468" i="4"/>
  <c r="A468" i="4"/>
  <c r="B752" i="4"/>
  <c r="A752" i="4"/>
  <c r="B750" i="4"/>
  <c r="A750" i="4"/>
  <c r="B746" i="4"/>
  <c r="A746" i="4"/>
  <c r="B743" i="4"/>
  <c r="A743" i="4"/>
  <c r="B742" i="4"/>
  <c r="A742" i="4"/>
  <c r="B741" i="4"/>
  <c r="A741" i="4"/>
  <c r="B740" i="4"/>
  <c r="A740" i="4"/>
  <c r="B739" i="4"/>
  <c r="A739" i="4"/>
  <c r="B738" i="4"/>
  <c r="A738" i="4"/>
  <c r="B737" i="4"/>
  <c r="A737" i="4"/>
  <c r="B734" i="4"/>
  <c r="A734" i="4"/>
  <c r="B666" i="4"/>
  <c r="A666" i="4"/>
  <c r="B589" i="4"/>
  <c r="A589" i="4"/>
  <c r="B662" i="4"/>
  <c r="A662" i="4"/>
  <c r="B544" i="4"/>
  <c r="A544" i="4"/>
  <c r="B543" i="4"/>
  <c r="A543" i="4"/>
  <c r="B542" i="4"/>
  <c r="A542" i="4"/>
  <c r="B725" i="4"/>
  <c r="A725" i="4"/>
  <c r="B729" i="4"/>
  <c r="A729" i="4"/>
  <c r="B728" i="4"/>
  <c r="A728" i="4"/>
  <c r="B727" i="4"/>
  <c r="A727" i="4"/>
  <c r="B726" i="4"/>
  <c r="A726" i="4"/>
  <c r="B588" i="4"/>
  <c r="A588" i="4"/>
  <c r="B587" i="4"/>
  <c r="A587" i="4"/>
  <c r="B586" i="4"/>
  <c r="A586" i="4"/>
  <c r="B585" i="4"/>
  <c r="A585" i="4"/>
  <c r="B584" i="4"/>
  <c r="A584" i="4"/>
  <c r="B583" i="4"/>
  <c r="A583" i="4"/>
  <c r="B582" i="4"/>
  <c r="A582" i="4"/>
  <c r="B581" i="4"/>
  <c r="A581" i="4"/>
  <c r="B580" i="4"/>
  <c r="A580" i="4"/>
  <c r="B579" i="4"/>
  <c r="A579" i="4"/>
  <c r="B578" i="4"/>
  <c r="A578" i="4"/>
  <c r="B577" i="4"/>
  <c r="A577" i="4"/>
  <c r="B576" i="4"/>
  <c r="A576" i="4"/>
  <c r="B575" i="4"/>
  <c r="A575" i="4"/>
  <c r="B574" i="4"/>
  <c r="A574" i="4"/>
  <c r="B573" i="4"/>
  <c r="A573" i="4"/>
  <c r="B572" i="4"/>
  <c r="A572" i="4"/>
  <c r="B571" i="4"/>
  <c r="A571" i="4"/>
  <c r="B570" i="4"/>
  <c r="A570" i="4"/>
  <c r="B569" i="4"/>
  <c r="A569" i="4"/>
  <c r="B568" i="4"/>
  <c r="A568" i="4"/>
  <c r="B567" i="4"/>
  <c r="A567" i="4"/>
  <c r="B566" i="4"/>
  <c r="A566" i="4"/>
  <c r="B565" i="4"/>
  <c r="A565" i="4"/>
  <c r="B564" i="4"/>
  <c r="A564" i="4"/>
  <c r="B563" i="4"/>
  <c r="A563" i="4"/>
  <c r="B562" i="4"/>
  <c r="A562" i="4"/>
  <c r="B561" i="4"/>
  <c r="A561" i="4"/>
  <c r="B560" i="4"/>
  <c r="A560" i="4"/>
  <c r="B559" i="4"/>
  <c r="A559" i="4"/>
  <c r="B558" i="4"/>
  <c r="A558" i="4"/>
  <c r="B557" i="4"/>
  <c r="A557" i="4"/>
  <c r="B556" i="4"/>
  <c r="A556" i="4"/>
  <c r="B555" i="4"/>
  <c r="A555" i="4"/>
  <c r="B554" i="4"/>
  <c r="A554" i="4"/>
  <c r="B553" i="4"/>
  <c r="A553" i="4"/>
  <c r="B552" i="4"/>
  <c r="A552" i="4"/>
  <c r="B551" i="4"/>
  <c r="A551" i="4"/>
  <c r="B550" i="4"/>
  <c r="A550" i="4"/>
  <c r="B549" i="4"/>
  <c r="A549" i="4"/>
  <c r="B548" i="4"/>
  <c r="A548" i="4"/>
  <c r="B547" i="4"/>
  <c r="A547" i="4"/>
  <c r="B546" i="4"/>
  <c r="A546" i="4"/>
  <c r="B545" i="4"/>
  <c r="A545" i="4"/>
  <c r="B541" i="4"/>
  <c r="A541" i="4"/>
  <c r="B540" i="4"/>
  <c r="A540" i="4"/>
  <c r="B539" i="4"/>
  <c r="A539" i="4"/>
  <c r="B538" i="4"/>
  <c r="A538" i="4"/>
  <c r="B537" i="4"/>
  <c r="A537" i="4"/>
  <c r="B536" i="4"/>
  <c r="A536" i="4"/>
  <c r="B535" i="4"/>
  <c r="A535" i="4"/>
  <c r="B534" i="4"/>
  <c r="A534" i="4"/>
  <c r="B533" i="4"/>
  <c r="A533" i="4"/>
  <c r="B532" i="4"/>
  <c r="A532" i="4"/>
  <c r="B531" i="4"/>
  <c r="A531" i="4"/>
  <c r="B530" i="4"/>
  <c r="A530" i="4"/>
  <c r="B529" i="4"/>
  <c r="A529" i="4"/>
  <c r="B528" i="4"/>
  <c r="A528" i="4"/>
  <c r="B527" i="4"/>
  <c r="A527" i="4"/>
  <c r="B526" i="4"/>
  <c r="A526" i="4"/>
  <c r="B525" i="4"/>
  <c r="A525" i="4"/>
  <c r="B524" i="4"/>
  <c r="A524" i="4"/>
  <c r="B523" i="4"/>
  <c r="A523" i="4"/>
  <c r="B522" i="4"/>
  <c r="A522" i="4"/>
  <c r="B521" i="4"/>
  <c r="A521" i="4"/>
  <c r="B520" i="4"/>
  <c r="A520" i="4"/>
  <c r="B519" i="4"/>
  <c r="A519" i="4"/>
  <c r="B518" i="4"/>
  <c r="A518" i="4"/>
  <c r="B517" i="4"/>
  <c r="A517" i="4"/>
  <c r="B516" i="4"/>
  <c r="A516" i="4"/>
  <c r="B515" i="4"/>
  <c r="A515" i="4"/>
  <c r="B514" i="4"/>
  <c r="A514" i="4"/>
  <c r="B513" i="4"/>
  <c r="A513" i="4"/>
  <c r="B512" i="4"/>
  <c r="A512" i="4"/>
  <c r="B511" i="4"/>
  <c r="A511" i="4"/>
  <c r="B510" i="4"/>
  <c r="A510" i="4"/>
  <c r="B509" i="4"/>
  <c r="A509" i="4"/>
  <c r="B508" i="4"/>
  <c r="A508" i="4"/>
  <c r="B507" i="4"/>
  <c r="A507" i="4"/>
  <c r="B506" i="4"/>
  <c r="A506" i="4"/>
  <c r="B505" i="4"/>
  <c r="A505" i="4"/>
  <c r="B504" i="4"/>
  <c r="A504" i="4"/>
  <c r="B503" i="4"/>
  <c r="A503" i="4"/>
  <c r="B502" i="4"/>
  <c r="A502" i="4"/>
  <c r="B501" i="4"/>
  <c r="A501" i="4"/>
  <c r="B500" i="4"/>
  <c r="A500" i="4"/>
  <c r="B499" i="4"/>
  <c r="A499" i="4"/>
  <c r="B498" i="4"/>
  <c r="A498" i="4"/>
  <c r="B497" i="4"/>
  <c r="A497" i="4"/>
  <c r="B496" i="4"/>
  <c r="A496" i="4"/>
  <c r="B495" i="4"/>
  <c r="A495" i="4"/>
  <c r="B494" i="4"/>
  <c r="A494" i="4"/>
  <c r="B493" i="4"/>
  <c r="A493" i="4"/>
  <c r="B492" i="4"/>
  <c r="A492" i="4"/>
  <c r="B491" i="4"/>
  <c r="A491" i="4"/>
  <c r="B490" i="4"/>
  <c r="A490" i="4"/>
  <c r="B489" i="4"/>
  <c r="A489" i="4"/>
  <c r="B488" i="4"/>
  <c r="A488" i="4"/>
  <c r="B487" i="4"/>
  <c r="A487" i="4"/>
  <c r="B486" i="4"/>
  <c r="A486" i="4"/>
  <c r="B485" i="4"/>
  <c r="A485" i="4"/>
  <c r="B484" i="4"/>
  <c r="A484" i="4"/>
  <c r="B483" i="4"/>
  <c r="A483" i="4"/>
  <c r="B482" i="4"/>
  <c r="A482" i="4"/>
  <c r="B481" i="4"/>
  <c r="A481" i="4"/>
  <c r="B480" i="4"/>
  <c r="A480" i="4"/>
  <c r="B479" i="4"/>
  <c r="A479" i="4"/>
  <c r="B478" i="4"/>
  <c r="A478" i="4"/>
  <c r="B477" i="4"/>
  <c r="A477" i="4"/>
  <c r="B476" i="4"/>
  <c r="A476" i="4"/>
  <c r="B273" i="4"/>
  <c r="A273" i="4"/>
  <c r="B269" i="4"/>
  <c r="A269" i="4"/>
  <c r="B331" i="4"/>
  <c r="A331" i="4"/>
  <c r="B320" i="4"/>
  <c r="A320" i="4"/>
  <c r="B237" i="4"/>
  <c r="A237" i="4"/>
  <c r="B236" i="4"/>
  <c r="A236" i="4"/>
  <c r="B233" i="4"/>
  <c r="A233" i="4"/>
  <c r="B232" i="4"/>
  <c r="A232" i="4"/>
  <c r="B87" i="4"/>
  <c r="A87" i="4"/>
  <c r="B321" i="4"/>
  <c r="A321" i="4"/>
  <c r="B268" i="4"/>
  <c r="A268" i="4"/>
  <c r="B88" i="4"/>
  <c r="A88" i="4"/>
  <c r="B405" i="4"/>
  <c r="A405" i="4"/>
  <c r="B389" i="4"/>
  <c r="A389" i="4"/>
  <c r="B381" i="4"/>
  <c r="A381" i="4"/>
  <c r="B367" i="4"/>
  <c r="A367" i="4"/>
  <c r="B340" i="4"/>
  <c r="A340" i="4"/>
  <c r="B264" i="4"/>
  <c r="A264" i="4"/>
  <c r="B363" i="4"/>
  <c r="A363" i="4"/>
  <c r="B312" i="4"/>
  <c r="A312" i="4"/>
  <c r="B311" i="4"/>
  <c r="A311" i="4"/>
  <c r="B310" i="4"/>
  <c r="A310" i="4"/>
  <c r="B309" i="4"/>
  <c r="A309" i="4"/>
  <c r="B308" i="4"/>
  <c r="A308" i="4"/>
  <c r="B307" i="4"/>
  <c r="A307" i="4"/>
  <c r="B306" i="4"/>
  <c r="A306" i="4"/>
  <c r="B305" i="4"/>
  <c r="A305" i="4"/>
  <c r="B304" i="4"/>
  <c r="A304" i="4"/>
  <c r="B303" i="4"/>
  <c r="A303" i="4"/>
  <c r="B302" i="4"/>
  <c r="A302" i="4"/>
  <c r="B301" i="4"/>
  <c r="A301" i="4"/>
  <c r="B300" i="4"/>
  <c r="A300" i="4"/>
  <c r="B277" i="4"/>
  <c r="A277" i="4"/>
  <c r="B276" i="4"/>
  <c r="A276" i="4"/>
  <c r="B262" i="4"/>
  <c r="A262" i="4"/>
  <c r="B453" i="4"/>
  <c r="A453" i="4"/>
  <c r="B412" i="4"/>
  <c r="A412" i="4"/>
  <c r="B409" i="4"/>
  <c r="A409" i="4"/>
  <c r="B465" i="4"/>
  <c r="A465" i="4"/>
  <c r="B392" i="4"/>
  <c r="A392" i="4"/>
  <c r="B391" i="4"/>
  <c r="A391" i="4"/>
  <c r="B341" i="4"/>
  <c r="A341" i="4"/>
  <c r="B283" i="4"/>
  <c r="A283" i="4"/>
  <c r="B282" i="4"/>
  <c r="A282" i="4"/>
  <c r="B803" i="4"/>
  <c r="A803" i="4"/>
  <c r="B802" i="4"/>
  <c r="A802" i="4"/>
  <c r="B801" i="4"/>
  <c r="A801" i="4"/>
  <c r="B800" i="4"/>
  <c r="A800" i="4"/>
  <c r="B799" i="4"/>
  <c r="A799" i="4"/>
  <c r="B450" i="4"/>
  <c r="A450" i="4"/>
  <c r="B449" i="4"/>
  <c r="A449" i="4"/>
  <c r="B390" i="4"/>
  <c r="A390" i="4"/>
  <c r="B380" i="4"/>
  <c r="A380" i="4"/>
  <c r="B373" i="4"/>
  <c r="A373" i="4"/>
  <c r="B350" i="4"/>
  <c r="A350" i="4"/>
  <c r="B349" i="4"/>
  <c r="A349" i="4"/>
  <c r="B347" i="4"/>
  <c r="A347" i="4"/>
  <c r="B242" i="4"/>
  <c r="A242" i="4"/>
  <c r="B241" i="4"/>
  <c r="A241" i="4"/>
  <c r="B240" i="4"/>
  <c r="A240" i="4"/>
  <c r="B239" i="4"/>
  <c r="A239" i="4"/>
  <c r="B238" i="4"/>
  <c r="A238" i="4"/>
  <c r="B221" i="4"/>
  <c r="A221" i="4"/>
  <c r="B220" i="4"/>
  <c r="A220" i="4"/>
  <c r="B219" i="4"/>
  <c r="A219" i="4"/>
  <c r="B228" i="4"/>
  <c r="A228" i="4"/>
  <c r="B227" i="4"/>
  <c r="A227" i="4"/>
  <c r="B226" i="4"/>
  <c r="A226" i="4"/>
  <c r="B225" i="4"/>
  <c r="A225" i="4"/>
  <c r="B223" i="4"/>
  <c r="A223" i="4"/>
  <c r="B222" i="4"/>
  <c r="A222" i="4"/>
  <c r="B108" i="4"/>
  <c r="A108" i="4"/>
  <c r="B107" i="4"/>
  <c r="A107" i="4"/>
  <c r="B106" i="4"/>
  <c r="A106" i="4"/>
  <c r="B105" i="4"/>
  <c r="A105" i="4"/>
  <c r="B104" i="4"/>
  <c r="A104" i="4"/>
  <c r="B103" i="4"/>
  <c r="A103" i="4"/>
  <c r="B102" i="4"/>
  <c r="A102" i="4"/>
  <c r="B100" i="4"/>
  <c r="A100" i="4"/>
  <c r="B99" i="4"/>
  <c r="A99" i="4"/>
  <c r="B98" i="4"/>
  <c r="A98" i="4"/>
  <c r="B97" i="4"/>
  <c r="A97" i="4"/>
  <c r="B96" i="4"/>
  <c r="A96" i="4"/>
  <c r="B95" i="4"/>
  <c r="A95" i="4"/>
  <c r="B94" i="4"/>
  <c r="A94" i="4"/>
  <c r="B93" i="4"/>
  <c r="A93" i="4"/>
  <c r="B92" i="4"/>
  <c r="A92" i="4"/>
  <c r="B91" i="4"/>
  <c r="A91" i="4"/>
  <c r="B90" i="4"/>
  <c r="A90" i="4"/>
  <c r="B89" i="4"/>
  <c r="A89" i="4"/>
  <c r="B440" i="4"/>
  <c r="A440" i="4"/>
  <c r="B439" i="4"/>
  <c r="A439" i="4"/>
  <c r="B435" i="4"/>
  <c r="A435" i="4"/>
  <c r="B434" i="4"/>
  <c r="A434" i="4"/>
  <c r="B433" i="4"/>
  <c r="A433" i="4"/>
  <c r="B432" i="4"/>
  <c r="A432" i="4"/>
  <c r="B431" i="4"/>
  <c r="A431" i="4"/>
  <c r="B430" i="4"/>
  <c r="A430" i="4"/>
  <c r="B424" i="4"/>
  <c r="A424" i="4"/>
  <c r="B423" i="4"/>
  <c r="A423" i="4"/>
  <c r="B422" i="4"/>
  <c r="A422" i="4"/>
  <c r="B407" i="4"/>
  <c r="A407" i="4"/>
  <c r="B353" i="4"/>
  <c r="A353" i="4"/>
  <c r="B170" i="4"/>
  <c r="A170" i="4"/>
  <c r="B169" i="4"/>
  <c r="A169" i="4"/>
  <c r="B168" i="4"/>
  <c r="A168" i="4"/>
  <c r="B167" i="4"/>
  <c r="A167" i="4"/>
  <c r="B166" i="4"/>
  <c r="A166" i="4"/>
  <c r="B165" i="4"/>
  <c r="A165" i="4"/>
  <c r="B164" i="4"/>
  <c r="A164" i="4"/>
  <c r="B163" i="4"/>
  <c r="A163" i="4"/>
  <c r="B162" i="4"/>
  <c r="A162" i="4"/>
  <c r="B161" i="4"/>
  <c r="A161" i="4"/>
  <c r="B160" i="4"/>
  <c r="A160" i="4"/>
  <c r="B159" i="4"/>
  <c r="A159" i="4"/>
  <c r="B158" i="4"/>
  <c r="A158" i="4"/>
  <c r="B157" i="4"/>
  <c r="A157" i="4"/>
  <c r="B155" i="4"/>
  <c r="A155" i="4"/>
  <c r="B154" i="4"/>
  <c r="A154" i="4"/>
  <c r="B153" i="4"/>
  <c r="A153" i="4"/>
  <c r="B152" i="4"/>
  <c r="A152" i="4"/>
  <c r="B151" i="4"/>
  <c r="A151" i="4"/>
  <c r="B150" i="4"/>
  <c r="A150" i="4"/>
  <c r="B149" i="4"/>
  <c r="A149" i="4"/>
  <c r="B148" i="4"/>
  <c r="A148" i="4"/>
  <c r="B147" i="4"/>
  <c r="A147" i="4"/>
  <c r="B65" i="4"/>
  <c r="A65" i="4"/>
  <c r="B64" i="4"/>
  <c r="A64" i="4"/>
  <c r="B63" i="4"/>
  <c r="A63" i="4"/>
  <c r="B60" i="4"/>
  <c r="A60" i="4"/>
  <c r="B61" i="4"/>
  <c r="A61" i="4"/>
  <c r="B62" i="4"/>
  <c r="A62" i="4"/>
  <c r="B59" i="4"/>
  <c r="A59" i="4"/>
  <c r="B58" i="4"/>
  <c r="A58" i="4"/>
  <c r="B57" i="4"/>
  <c r="A57" i="4"/>
  <c r="B56" i="4"/>
  <c r="A56" i="4"/>
  <c r="B55" i="4"/>
  <c r="A55" i="4"/>
  <c r="B464" i="4"/>
  <c r="A464" i="4"/>
  <c r="B383" i="4"/>
  <c r="A383" i="4"/>
  <c r="B382" i="4"/>
  <c r="A382" i="4"/>
  <c r="B9" i="4"/>
  <c r="A9" i="4"/>
  <c r="B8" i="4"/>
  <c r="A8" i="4"/>
  <c r="B342" i="4"/>
  <c r="A342" i="4"/>
  <c r="B352" i="4"/>
  <c r="A352" i="4"/>
  <c r="B346" i="4"/>
  <c r="A346" i="4"/>
  <c r="B1059" i="4"/>
  <c r="A1059" i="4"/>
  <c r="B1058" i="4"/>
  <c r="A1058" i="4"/>
  <c r="B1057" i="4"/>
  <c r="A1057" i="4"/>
  <c r="B1056" i="4"/>
  <c r="A1056" i="4"/>
  <c r="B1055" i="4"/>
  <c r="A1055" i="4"/>
  <c r="A1050" i="4"/>
  <c r="B1051" i="4"/>
  <c r="A1051" i="4"/>
  <c r="B1011" i="4"/>
  <c r="A1011" i="4"/>
  <c r="B1049" i="4"/>
  <c r="A1049" i="4"/>
  <c r="B1047" i="4"/>
  <c r="A1047" i="4"/>
  <c r="B1046" i="4"/>
  <c r="A1046" i="4"/>
  <c r="B1045" i="4"/>
  <c r="A1045" i="4"/>
  <c r="B1044" i="4"/>
  <c r="A1044" i="4"/>
  <c r="B1043" i="4"/>
  <c r="A1043" i="4"/>
  <c r="B1042" i="4"/>
  <c r="A1042" i="4"/>
  <c r="B1041" i="4"/>
  <c r="A1041" i="4"/>
  <c r="B1040" i="4"/>
  <c r="A1040" i="4"/>
  <c r="B1039" i="4"/>
  <c r="A1039" i="4"/>
  <c r="B1038" i="4"/>
  <c r="A1038" i="4"/>
  <c r="B1037" i="4"/>
  <c r="A1037" i="4"/>
  <c r="B1034" i="4"/>
  <c r="A1034" i="4"/>
  <c r="B1033" i="4"/>
  <c r="A1033" i="4"/>
  <c r="B1032" i="4"/>
  <c r="A1032" i="4"/>
  <c r="B1031" i="4"/>
  <c r="A1031" i="4"/>
  <c r="B1030" i="4"/>
  <c r="A1030" i="4"/>
  <c r="B1029" i="4"/>
  <c r="A1029" i="4"/>
  <c r="B1028" i="4"/>
  <c r="A1028" i="4"/>
  <c r="B1036" i="4"/>
  <c r="A1036" i="4"/>
  <c r="B1035" i="4"/>
  <c r="A1035" i="4"/>
  <c r="B1027" i="4"/>
  <c r="A1027" i="4"/>
  <c r="B1026" i="4"/>
  <c r="A1026" i="4"/>
  <c r="B1025" i="4"/>
  <c r="A1025" i="4"/>
  <c r="B1023" i="4"/>
  <c r="A1023" i="4"/>
  <c r="B1022" i="4"/>
  <c r="A1022" i="4"/>
  <c r="B1021" i="4"/>
  <c r="A1021" i="4"/>
  <c r="B1020" i="4"/>
  <c r="A1020" i="4"/>
  <c r="B1019" i="4"/>
  <c r="A1019" i="4"/>
  <c r="B1018" i="4"/>
  <c r="A1018" i="4"/>
  <c r="B1017" i="4"/>
  <c r="A1017" i="4"/>
  <c r="B1016" i="4"/>
  <c r="A1016" i="4"/>
  <c r="A1014" i="4"/>
  <c r="A1013" i="4"/>
  <c r="A1012" i="4"/>
  <c r="B999" i="4"/>
  <c r="A999" i="4"/>
  <c r="B957" i="4"/>
  <c r="A957" i="4"/>
  <c r="B956" i="4"/>
  <c r="A956" i="4"/>
  <c r="B955" i="4"/>
  <c r="A955" i="4"/>
  <c r="B954" i="4"/>
  <c r="A954" i="4"/>
  <c r="B953" i="4"/>
  <c r="A953" i="4"/>
  <c r="A952" i="4"/>
  <c r="B951" i="4"/>
  <c r="A951" i="4"/>
  <c r="B944" i="4"/>
  <c r="A944" i="4"/>
  <c r="B354" i="4"/>
  <c r="A354" i="4"/>
  <c r="B372" i="4"/>
  <c r="A372" i="4"/>
  <c r="B322" i="4"/>
  <c r="A322" i="4"/>
  <c r="B20" i="4"/>
  <c r="A20" i="4"/>
  <c r="B19" i="4"/>
  <c r="A19" i="4"/>
  <c r="B335" i="4"/>
  <c r="A335" i="4"/>
  <c r="B334" i="4"/>
  <c r="A334" i="4"/>
  <c r="B333" i="4"/>
  <c r="A333" i="4"/>
  <c r="B332" i="4"/>
  <c r="A332" i="4"/>
  <c r="B10" i="4"/>
  <c r="A10" i="4"/>
  <c r="B436" i="4"/>
  <c r="A436" i="4"/>
  <c r="B399" i="4"/>
  <c r="A399" i="4"/>
  <c r="B398" i="4"/>
  <c r="A398" i="4"/>
  <c r="B374" i="4"/>
  <c r="A374" i="4"/>
  <c r="B323" i="4"/>
  <c r="A323" i="4"/>
  <c r="B266" i="4"/>
  <c r="A266" i="4"/>
  <c r="B265" i="4"/>
  <c r="A265" i="4"/>
  <c r="B76" i="4"/>
  <c r="A76" i="4"/>
  <c r="B74" i="4"/>
  <c r="A74" i="4"/>
  <c r="B101" i="4"/>
  <c r="A101" i="4"/>
  <c r="B442" i="4"/>
  <c r="A442" i="4"/>
  <c r="B441" i="4"/>
  <c r="A441" i="4"/>
  <c r="B438" i="4"/>
  <c r="A438" i="4"/>
  <c r="B437" i="4"/>
  <c r="A437" i="4"/>
  <c r="B394" i="4"/>
  <c r="A394" i="4"/>
  <c r="B385" i="4"/>
  <c r="A385" i="4"/>
  <c r="B338" i="4"/>
  <c r="A338" i="4"/>
  <c r="B156" i="4"/>
  <c r="A156" i="4"/>
  <c r="B319" i="4"/>
  <c r="A319" i="4"/>
  <c r="B44" i="4"/>
  <c r="A44" i="4"/>
  <c r="B43" i="4"/>
  <c r="A43" i="4"/>
  <c r="B42" i="4"/>
  <c r="A42" i="4"/>
  <c r="B41" i="4"/>
  <c r="A41" i="4"/>
  <c r="B40" i="4"/>
  <c r="A40" i="4"/>
  <c r="B39" i="4"/>
  <c r="A39" i="4"/>
  <c r="B38" i="4"/>
  <c r="A38" i="4"/>
  <c r="B37" i="4"/>
  <c r="A37" i="4"/>
  <c r="B36" i="4"/>
  <c r="A36" i="4"/>
  <c r="B35" i="4"/>
  <c r="A35" i="4"/>
  <c r="B34" i="4"/>
  <c r="A34" i="4"/>
  <c r="B33" i="4"/>
  <c r="A33" i="4"/>
  <c r="B32" i="4"/>
  <c r="A32" i="4"/>
  <c r="B31" i="4"/>
  <c r="A31" i="4"/>
  <c r="B30" i="4"/>
  <c r="A30" i="4"/>
  <c r="B29" i="4"/>
  <c r="A29" i="4"/>
  <c r="B129" i="4"/>
  <c r="A129" i="4"/>
  <c r="B209" i="4"/>
  <c r="A209" i="4"/>
  <c r="B208" i="4"/>
  <c r="A208" i="4"/>
  <c r="B207" i="4"/>
  <c r="A207" i="4"/>
  <c r="B206" i="4"/>
  <c r="A206" i="4"/>
  <c r="B205" i="4"/>
  <c r="A205" i="4"/>
  <c r="B204" i="4"/>
  <c r="A204" i="4"/>
  <c r="B203" i="4"/>
  <c r="A203" i="4"/>
  <c r="B202" i="4"/>
  <c r="A202" i="4"/>
  <c r="B201" i="4"/>
  <c r="A201" i="4"/>
  <c r="B200" i="4"/>
  <c r="A200" i="4"/>
  <c r="B199" i="4"/>
  <c r="A199" i="4"/>
  <c r="B84" i="4"/>
  <c r="A84" i="4"/>
  <c r="B83" i="4"/>
  <c r="A83" i="4"/>
  <c r="B82" i="4"/>
  <c r="A82" i="4"/>
  <c r="B81" i="4"/>
  <c r="A81" i="4"/>
  <c r="B80" i="4"/>
  <c r="A80" i="4"/>
  <c r="B79" i="4"/>
  <c r="A79" i="4"/>
  <c r="B78" i="4"/>
  <c r="A78" i="4"/>
  <c r="B16" i="4"/>
  <c r="A16" i="4"/>
  <c r="B15" i="4"/>
  <c r="A15" i="4"/>
  <c r="B14" i="4"/>
  <c r="A14" i="4"/>
  <c r="B13" i="4"/>
  <c r="A13" i="4"/>
  <c r="B281" i="4"/>
  <c r="A281" i="4"/>
  <c r="B122" i="4"/>
  <c r="A122" i="4"/>
  <c r="B121" i="4"/>
  <c r="A121" i="4"/>
  <c r="B120" i="4"/>
  <c r="A120" i="4"/>
  <c r="B119" i="4"/>
  <c r="A119" i="4"/>
  <c r="B118" i="4"/>
  <c r="A118" i="4"/>
  <c r="B117" i="4"/>
  <c r="A117" i="4"/>
  <c r="B116" i="4"/>
  <c r="A116" i="4"/>
  <c r="B115" i="4"/>
  <c r="A115" i="4"/>
  <c r="B337" i="4"/>
  <c r="A337" i="4"/>
  <c r="B235" i="4"/>
  <c r="A235" i="4"/>
  <c r="B234" i="4"/>
  <c r="A234" i="4"/>
  <c r="B231" i="4"/>
  <c r="A231" i="4"/>
  <c r="B230" i="4"/>
  <c r="A230" i="4"/>
  <c r="B229" i="4"/>
  <c r="A229" i="4"/>
  <c r="B224" i="4"/>
  <c r="A224" i="4"/>
  <c r="B185" i="4"/>
  <c r="A185" i="4"/>
  <c r="B270" i="4"/>
  <c r="A270" i="4"/>
  <c r="B218" i="4"/>
  <c r="A218" i="4"/>
  <c r="B217" i="4"/>
  <c r="A217" i="4"/>
  <c r="B216" i="4"/>
  <c r="A216" i="4"/>
  <c r="B215" i="4"/>
  <c r="A215" i="4"/>
  <c r="B214" i="4"/>
  <c r="A214" i="4"/>
  <c r="B213" i="4"/>
  <c r="A213" i="4"/>
  <c r="B212" i="4"/>
  <c r="A212" i="4"/>
  <c r="B211" i="4"/>
  <c r="A211" i="4"/>
  <c r="B210" i="4"/>
  <c r="A210" i="4"/>
  <c r="B198" i="4"/>
  <c r="A198" i="4"/>
  <c r="B197" i="4"/>
  <c r="A197" i="4"/>
  <c r="B196" i="4"/>
  <c r="A196" i="4"/>
  <c r="B195" i="4"/>
  <c r="A195" i="4"/>
  <c r="B194" i="4"/>
  <c r="A194" i="4"/>
  <c r="B193" i="4"/>
  <c r="A193" i="4"/>
  <c r="B192" i="4"/>
  <c r="A192" i="4"/>
  <c r="B191" i="4"/>
  <c r="A191" i="4"/>
  <c r="B190" i="4"/>
  <c r="A190" i="4"/>
  <c r="B189" i="4"/>
  <c r="A189" i="4"/>
  <c r="B188" i="4"/>
  <c r="A188" i="4"/>
  <c r="B187" i="4"/>
  <c r="A187" i="4"/>
  <c r="B186" i="4"/>
  <c r="A186" i="4"/>
  <c r="B184" i="4"/>
  <c r="A184" i="4"/>
  <c r="B183" i="4"/>
  <c r="A183" i="4"/>
  <c r="B182" i="4"/>
  <c r="A182" i="4"/>
  <c r="B181" i="4"/>
  <c r="A181" i="4"/>
  <c r="B180" i="4"/>
  <c r="A180" i="4"/>
  <c r="B179" i="4"/>
  <c r="A179" i="4"/>
  <c r="B178" i="4"/>
  <c r="A178" i="4"/>
  <c r="B177" i="4"/>
  <c r="A177" i="4"/>
  <c r="B176" i="4"/>
  <c r="A176" i="4"/>
  <c r="B175" i="4"/>
  <c r="A175" i="4"/>
  <c r="B174" i="4"/>
  <c r="A174" i="4"/>
  <c r="B173" i="4"/>
  <c r="A173" i="4"/>
  <c r="B172" i="4"/>
  <c r="A172" i="4"/>
  <c r="B146" i="4"/>
  <c r="A146" i="4"/>
  <c r="B145" i="4"/>
  <c r="A145" i="4"/>
  <c r="B143" i="4"/>
  <c r="A143" i="4"/>
  <c r="B142" i="4"/>
  <c r="A142" i="4"/>
  <c r="B54" i="4"/>
  <c r="A54" i="4"/>
  <c r="B53" i="4"/>
  <c r="A53" i="4"/>
  <c r="B28" i="4"/>
  <c r="A28" i="4"/>
  <c r="B27" i="4"/>
  <c r="A27" i="4"/>
  <c r="B26" i="4"/>
  <c r="A26" i="4"/>
  <c r="B25" i="4"/>
  <c r="A25" i="4"/>
  <c r="B24" i="4"/>
  <c r="A24" i="4"/>
  <c r="B365" i="4"/>
  <c r="A365" i="4"/>
  <c r="B364" i="4"/>
  <c r="A364" i="4"/>
  <c r="B114" i="4"/>
  <c r="A114" i="4"/>
  <c r="B113" i="4"/>
  <c r="A113" i="4"/>
  <c r="B112" i="4"/>
  <c r="A112" i="4"/>
  <c r="B111" i="4"/>
  <c r="A111" i="4"/>
  <c r="B110" i="4"/>
  <c r="A110" i="4"/>
  <c r="B109" i="4"/>
  <c r="A109" i="4"/>
  <c r="B85" i="4"/>
  <c r="A85" i="4"/>
  <c r="B467" i="4"/>
  <c r="A467" i="4"/>
  <c r="B637" i="4"/>
  <c r="A637" i="4"/>
  <c r="B379" i="4"/>
  <c r="A379" i="4"/>
  <c r="B72" i="4"/>
  <c r="A72" i="4"/>
  <c r="B71" i="4"/>
  <c r="A71" i="4"/>
  <c r="B275" i="4"/>
  <c r="A275" i="4"/>
  <c r="B274" i="4"/>
  <c r="A274" i="4"/>
  <c r="B271" i="4"/>
  <c r="A271" i="4"/>
  <c r="B267" i="4"/>
  <c r="A267" i="4"/>
  <c r="B329" i="4"/>
  <c r="A329" i="4"/>
  <c r="B371" i="4"/>
  <c r="A371" i="4"/>
  <c r="B370" i="4"/>
  <c r="A370" i="4"/>
  <c r="B985" i="4"/>
  <c r="A985" i="4"/>
  <c r="B936" i="4"/>
  <c r="A936" i="4"/>
  <c r="B930" i="4"/>
  <c r="A930" i="4"/>
  <c r="B928" i="4"/>
  <c r="A928" i="4"/>
  <c r="B927" i="4"/>
  <c r="A927" i="4"/>
  <c r="B926" i="4"/>
  <c r="A926" i="4"/>
  <c r="B919" i="4"/>
  <c r="A919" i="4"/>
  <c r="B429" i="4"/>
  <c r="A429" i="4"/>
  <c r="B428" i="4"/>
  <c r="A428" i="4"/>
  <c r="B466" i="4"/>
  <c r="A466" i="4"/>
  <c r="B674" i="4"/>
  <c r="A674" i="4"/>
  <c r="B473" i="4"/>
  <c r="A473" i="4"/>
  <c r="B471" i="4"/>
  <c r="A471" i="4"/>
  <c r="B631" i="4"/>
  <c r="A631" i="4"/>
  <c r="B593" i="4"/>
  <c r="A593" i="4"/>
  <c r="B898" i="4"/>
  <c r="A898" i="4"/>
  <c r="B893" i="4"/>
  <c r="A893" i="4"/>
  <c r="B887" i="4"/>
  <c r="A887" i="4"/>
  <c r="B408" i="4"/>
  <c r="A408" i="4"/>
  <c r="B884" i="4"/>
  <c r="A884" i="4"/>
  <c r="B883" i="4"/>
  <c r="A883" i="4"/>
  <c r="B879" i="4"/>
  <c r="A879" i="4"/>
  <c r="B876" i="4"/>
  <c r="A876" i="4"/>
  <c r="B875" i="4"/>
  <c r="A875" i="4"/>
  <c r="B873" i="4"/>
  <c r="A873" i="4"/>
  <c r="B872" i="4"/>
  <c r="A872" i="4"/>
  <c r="B871" i="4"/>
  <c r="A871" i="4"/>
  <c r="B870" i="4"/>
  <c r="A870" i="4"/>
  <c r="B869" i="4"/>
  <c r="A869" i="4"/>
  <c r="B868" i="4"/>
  <c r="A868" i="4"/>
  <c r="B867" i="4"/>
  <c r="A867" i="4"/>
  <c r="B866" i="4"/>
  <c r="A866" i="4"/>
  <c r="B865" i="4"/>
  <c r="A865" i="4"/>
  <c r="B864" i="4"/>
  <c r="A864" i="4"/>
  <c r="B863" i="4"/>
  <c r="A863" i="4"/>
  <c r="B862" i="4"/>
  <c r="A862" i="4"/>
  <c r="B861" i="4"/>
  <c r="A861" i="4"/>
  <c r="B860" i="4"/>
  <c r="A860" i="4"/>
  <c r="B859" i="4"/>
  <c r="A859" i="4"/>
  <c r="B858" i="4"/>
  <c r="A858" i="4"/>
  <c r="B857" i="4"/>
  <c r="A857" i="4"/>
  <c r="B826" i="4"/>
  <c r="A826" i="4"/>
  <c r="B822" i="4"/>
  <c r="A822" i="4"/>
  <c r="B815" i="4"/>
  <c r="A815" i="4"/>
  <c r="B814" i="4"/>
  <c r="A814" i="4"/>
  <c r="B813" i="4"/>
  <c r="A813" i="4"/>
  <c r="B812" i="4"/>
  <c r="A812" i="4"/>
  <c r="B811" i="4"/>
  <c r="A811" i="4"/>
  <c r="B810" i="4"/>
  <c r="A810" i="4"/>
  <c r="B809" i="4"/>
  <c r="A809" i="4"/>
  <c r="B808" i="4"/>
  <c r="A808" i="4"/>
  <c r="B806" i="4"/>
  <c r="A806" i="4"/>
  <c r="B807" i="4"/>
  <c r="A807" i="4"/>
  <c r="B393" i="4"/>
  <c r="A393" i="4"/>
  <c r="B783" i="4"/>
  <c r="A783" i="4"/>
  <c r="B782" i="4"/>
  <c r="A782" i="4"/>
  <c r="B781" i="4"/>
  <c r="A781" i="4"/>
  <c r="B673" i="4"/>
  <c r="A673" i="4"/>
  <c r="B776" i="4"/>
  <c r="A776" i="4"/>
  <c r="B772" i="4"/>
  <c r="A772" i="4"/>
  <c r="B768" i="4"/>
  <c r="A768" i="4"/>
  <c r="B678" i="4"/>
  <c r="A678" i="4"/>
  <c r="B591" i="4"/>
  <c r="A591" i="4"/>
  <c r="B767" i="4"/>
  <c r="A767" i="4"/>
  <c r="B766" i="4"/>
  <c r="A766" i="4"/>
  <c r="B765" i="4"/>
  <c r="A765" i="4"/>
  <c r="B764" i="4"/>
  <c r="A764" i="4"/>
  <c r="B763" i="4"/>
  <c r="A763" i="4"/>
  <c r="B762" i="4"/>
  <c r="A762" i="4"/>
  <c r="B761" i="4"/>
  <c r="A761" i="4"/>
  <c r="B760" i="4"/>
  <c r="A760" i="4"/>
  <c r="B759" i="4"/>
  <c r="A759" i="4"/>
  <c r="B758" i="4"/>
  <c r="A758" i="4"/>
  <c r="B757" i="4"/>
  <c r="A757" i="4"/>
  <c r="B692" i="4"/>
  <c r="A692" i="4"/>
  <c r="B378" i="4"/>
  <c r="A378" i="4"/>
  <c r="B714" i="4"/>
  <c r="A714" i="4"/>
  <c r="B671" i="4"/>
  <c r="A671" i="4"/>
  <c r="B755" i="4"/>
  <c r="A755" i="4"/>
  <c r="B754" i="4"/>
  <c r="A754" i="4"/>
  <c r="B798" i="4"/>
  <c r="A798" i="4"/>
  <c r="B702" i="4"/>
  <c r="A702" i="4"/>
  <c r="B751" i="4"/>
  <c r="A751" i="4"/>
  <c r="B690" i="4"/>
  <c r="A690" i="4"/>
  <c r="B748" i="4"/>
  <c r="A748" i="4"/>
  <c r="B713" i="4"/>
  <c r="A713" i="4"/>
  <c r="B796" i="4"/>
  <c r="A796" i="4"/>
  <c r="B642" i="4"/>
  <c r="A642" i="4"/>
  <c r="B747" i="4"/>
  <c r="A747" i="4"/>
  <c r="B744" i="4"/>
  <c r="A744" i="4"/>
  <c r="B704" i="4"/>
  <c r="A704" i="4"/>
  <c r="B724" i="4"/>
  <c r="A724" i="4"/>
  <c r="B797" i="4"/>
  <c r="A797" i="4"/>
  <c r="B698" i="4"/>
  <c r="A698" i="4"/>
  <c r="B680" i="4"/>
  <c r="A680" i="4"/>
  <c r="B711" i="4"/>
  <c r="A711" i="4"/>
  <c r="B703" i="4"/>
  <c r="A703" i="4"/>
  <c r="B685" i="4"/>
  <c r="A685" i="4"/>
  <c r="B657" i="4"/>
  <c r="A657" i="4"/>
  <c r="B722" i="4"/>
  <c r="A722" i="4"/>
  <c r="B736" i="4"/>
  <c r="A736" i="4"/>
  <c r="B735" i="4"/>
  <c r="A735" i="4"/>
  <c r="B656" i="4"/>
  <c r="A656" i="4"/>
  <c r="B655" i="4"/>
  <c r="A655" i="4"/>
  <c r="B654" i="4"/>
  <c r="A654" i="4"/>
  <c r="B653" i="4"/>
  <c r="A653" i="4"/>
  <c r="B652" i="4"/>
  <c r="A652" i="4"/>
  <c r="B651" i="4"/>
  <c r="A651" i="4"/>
  <c r="B650" i="4"/>
  <c r="A650" i="4"/>
  <c r="B649" i="4"/>
  <c r="A649" i="4"/>
  <c r="B648" i="4"/>
  <c r="A648" i="4"/>
  <c r="B646" i="4"/>
  <c r="A646" i="4"/>
  <c r="B794" i="4"/>
  <c r="A794" i="4"/>
  <c r="B795" i="4"/>
  <c r="A795" i="4"/>
  <c r="B733" i="4"/>
  <c r="A733" i="4"/>
  <c r="B688" i="4"/>
  <c r="A688" i="4"/>
  <c r="B712" i="4"/>
  <c r="A712" i="4"/>
  <c r="B706" i="4"/>
  <c r="A706" i="4"/>
  <c r="B705" i="4"/>
  <c r="A705" i="4"/>
  <c r="B716" i="4"/>
  <c r="A716" i="4"/>
  <c r="B700" i="4"/>
  <c r="A700" i="4"/>
  <c r="B732" i="4"/>
  <c r="A732" i="4"/>
  <c r="B684" i="4"/>
  <c r="A684" i="4"/>
  <c r="B643" i="4"/>
  <c r="A643" i="4"/>
  <c r="B708" i="4"/>
  <c r="A708" i="4"/>
  <c r="B644" i="4"/>
  <c r="A644" i="4"/>
  <c r="B723" i="4"/>
  <c r="A723" i="4"/>
  <c r="B707" i="4"/>
  <c r="A707" i="4"/>
  <c r="B695" i="4"/>
  <c r="A695" i="4"/>
  <c r="B694" i="4"/>
  <c r="A694" i="4"/>
  <c r="B658" i="4"/>
  <c r="A658" i="4"/>
  <c r="B647" i="4"/>
  <c r="A647" i="4"/>
  <c r="B731" i="4"/>
  <c r="A731" i="4"/>
  <c r="B679" i="4"/>
  <c r="A679" i="4"/>
  <c r="B689" i="4"/>
  <c r="A689" i="4"/>
  <c r="B686" i="4"/>
  <c r="A686" i="4"/>
  <c r="B687" i="4"/>
  <c r="A687" i="4"/>
  <c r="B664" i="4"/>
  <c r="A664" i="4"/>
  <c r="B663" i="4"/>
  <c r="A663" i="4"/>
  <c r="B669" i="4"/>
  <c r="A669" i="4"/>
  <c r="B670" i="4"/>
  <c r="A670" i="4"/>
  <c r="B693" i="4"/>
  <c r="A693" i="4"/>
  <c r="B667" i="4"/>
  <c r="A667" i="4"/>
  <c r="B668" i="4"/>
  <c r="A668" i="4"/>
  <c r="B710" i="4"/>
  <c r="A710" i="4"/>
  <c r="B709" i="4"/>
  <c r="A709" i="4"/>
  <c r="B641" i="4"/>
  <c r="A641" i="4"/>
  <c r="B640" i="4"/>
  <c r="A640" i="4"/>
  <c r="B463" i="4"/>
  <c r="A463" i="4"/>
  <c r="B462" i="4"/>
  <c r="A462" i="4"/>
  <c r="B461" i="4"/>
  <c r="A461" i="4"/>
  <c r="B460" i="4"/>
  <c r="A460" i="4"/>
  <c r="B459" i="4"/>
  <c r="A459" i="4"/>
  <c r="B458" i="4"/>
  <c r="A458" i="4"/>
  <c r="B328" i="4"/>
  <c r="A328" i="4"/>
  <c r="B260" i="4"/>
  <c r="A260" i="4"/>
  <c r="B261" i="4"/>
  <c r="A261" i="4"/>
  <c r="B258" i="4"/>
  <c r="A258" i="4"/>
  <c r="B257" i="4"/>
  <c r="A257" i="4"/>
  <c r="B256" i="4"/>
  <c r="A256" i="4"/>
  <c r="B255" i="4"/>
  <c r="A255" i="4"/>
  <c r="B457" i="4"/>
  <c r="A457" i="4"/>
  <c r="B456" i="4"/>
  <c r="A456" i="4"/>
  <c r="B455" i="4"/>
  <c r="A455" i="4"/>
  <c r="B318" i="4"/>
  <c r="A318" i="4"/>
  <c r="B317" i="4"/>
  <c r="A317" i="4"/>
  <c r="B316" i="4"/>
  <c r="A316" i="4"/>
  <c r="B315" i="4"/>
  <c r="A315" i="4"/>
  <c r="B314" i="4"/>
  <c r="A314" i="4"/>
  <c r="B313" i="4"/>
  <c r="A313" i="4"/>
  <c r="B293" i="4"/>
  <c r="A293" i="4"/>
  <c r="B292" i="4"/>
  <c r="A292" i="4"/>
  <c r="B291" i="4"/>
  <c r="A291" i="4"/>
  <c r="B290" i="4"/>
  <c r="A290" i="4"/>
  <c r="B289" i="4"/>
  <c r="A289" i="4"/>
  <c r="B288" i="4"/>
  <c r="A288" i="4"/>
  <c r="B287" i="4"/>
  <c r="A287" i="4"/>
  <c r="B52" i="4"/>
  <c r="A52" i="4"/>
  <c r="B51" i="4"/>
  <c r="A51" i="4"/>
  <c r="B50" i="4"/>
  <c r="A50" i="4"/>
  <c r="B49" i="4"/>
  <c r="A49" i="4"/>
  <c r="B48" i="4"/>
  <c r="A48" i="4"/>
  <c r="B47" i="4"/>
  <c r="A47" i="4"/>
  <c r="B46" i="4"/>
  <c r="A46" i="4"/>
  <c r="B45" i="4"/>
  <c r="A45" i="4"/>
  <c r="B23" i="4"/>
  <c r="A23" i="4"/>
  <c r="B22" i="4"/>
  <c r="A22" i="4"/>
  <c r="B21" i="4"/>
  <c r="A21" i="4"/>
  <c r="B396" i="4"/>
  <c r="A396" i="4"/>
  <c r="B395" i="4"/>
  <c r="A395" i="4"/>
  <c r="B336" i="4"/>
  <c r="A336" i="4"/>
  <c r="B272" i="4"/>
  <c r="A272" i="4"/>
  <c r="B411" i="4"/>
  <c r="A411" i="4"/>
  <c r="B404" i="4"/>
  <c r="A404" i="4"/>
  <c r="B403" i="4"/>
  <c r="A403" i="4"/>
  <c r="B402" i="4"/>
  <c r="A402" i="4"/>
  <c r="B401" i="4"/>
  <c r="A401" i="4"/>
  <c r="B400" i="4"/>
  <c r="A400" i="4"/>
  <c r="B446" i="4"/>
  <c r="A446" i="4"/>
  <c r="B427" i="4"/>
  <c r="A427" i="4"/>
  <c r="B426" i="4"/>
  <c r="A426" i="4"/>
  <c r="B452" i="4"/>
  <c r="A452" i="4"/>
  <c r="B448" i="4"/>
  <c r="A448" i="4"/>
  <c r="B447" i="4"/>
  <c r="A447" i="4"/>
  <c r="B445" i="4"/>
  <c r="A445" i="4"/>
  <c r="B344" i="4"/>
  <c r="A344" i="4"/>
  <c r="B7" i="4"/>
  <c r="A7" i="4"/>
  <c r="B6" i="4"/>
  <c r="A6" i="4"/>
  <c r="B5" i="4"/>
  <c r="A5" i="4"/>
  <c r="B4" i="4"/>
  <c r="A4" i="4"/>
  <c r="B3" i="4"/>
  <c r="A3" i="4"/>
  <c r="B330" i="4"/>
  <c r="A330" i="4"/>
  <c r="B451" i="4"/>
  <c r="A451" i="4"/>
  <c r="B410" i="4"/>
  <c r="A410" i="4"/>
  <c r="B377" i="4"/>
  <c r="A377" i="4"/>
  <c r="B376" i="4"/>
  <c r="A376" i="4"/>
  <c r="B362" i="4"/>
  <c r="A362" i="4"/>
  <c r="B327" i="4"/>
  <c r="A327" i="4"/>
  <c r="B325" i="4"/>
  <c r="A325" i="4"/>
  <c r="B324" i="4"/>
  <c r="A324" i="4"/>
  <c r="B141" i="4"/>
  <c r="A141" i="4"/>
  <c r="B295" i="4"/>
  <c r="A295" i="4"/>
  <c r="B294" i="4"/>
  <c r="A294" i="4"/>
  <c r="B263" i="4"/>
  <c r="A263" i="4"/>
  <c r="B70" i="4"/>
  <c r="A70" i="4"/>
  <c r="B69" i="4"/>
  <c r="A69" i="4"/>
  <c r="B68" i="4"/>
  <c r="A68" i="4"/>
  <c r="B67" i="4"/>
  <c r="A67" i="4"/>
  <c r="B66" i="4"/>
  <c r="A66" i="4"/>
  <c r="B171" i="4"/>
  <c r="A171" i="4"/>
  <c r="B140" i="4"/>
  <c r="A140" i="4"/>
  <c r="B139" i="4"/>
  <c r="A139" i="4"/>
  <c r="B138" i="4"/>
  <c r="A138" i="4"/>
  <c r="B137" i="4"/>
  <c r="A137" i="4"/>
  <c r="B136" i="4"/>
  <c r="A136" i="4"/>
  <c r="B135" i="4"/>
  <c r="A135" i="4"/>
  <c r="B134" i="4"/>
  <c r="A134" i="4"/>
  <c r="B133" i="4"/>
  <c r="A133" i="4"/>
  <c r="B132" i="4"/>
  <c r="A132" i="4"/>
  <c r="B131" i="4"/>
  <c r="A131" i="4"/>
  <c r="B130" i="4"/>
  <c r="A130" i="4"/>
  <c r="B128" i="4"/>
  <c r="A128" i="4"/>
  <c r="B127" i="4"/>
  <c r="A127" i="4"/>
  <c r="B126" i="4"/>
  <c r="A126" i="4"/>
  <c r="B125" i="4"/>
  <c r="A125" i="4"/>
  <c r="B124" i="4"/>
  <c r="A124" i="4"/>
  <c r="B123" i="4"/>
  <c r="A123" i="4"/>
  <c r="B86" i="4"/>
  <c r="A86" i="4"/>
  <c r="B77" i="4"/>
  <c r="A77" i="4"/>
  <c r="B75" i="4"/>
  <c r="A75" i="4"/>
  <c r="B73" i="4"/>
  <c r="A73" i="4"/>
  <c r="B18" i="4"/>
  <c r="A18" i="4"/>
  <c r="B17" i="4"/>
  <c r="A17" i="4"/>
  <c r="B443" i="4"/>
  <c r="A443" i="4"/>
  <c r="B454" i="4"/>
  <c r="A454" i="4"/>
  <c r="B976" i="4"/>
  <c r="A976" i="4"/>
  <c r="B973" i="4"/>
  <c r="A973" i="4"/>
  <c r="B968" i="4"/>
  <c r="A968" i="4"/>
  <c r="B962" i="4"/>
  <c r="A962" i="4"/>
  <c r="B941" i="4"/>
  <c r="A941" i="4"/>
  <c r="B940" i="4"/>
  <c r="A940" i="4"/>
  <c r="B938" i="4"/>
  <c r="A938" i="4"/>
  <c r="B923" i="4"/>
  <c r="A923" i="4"/>
  <c r="B922" i="4"/>
  <c r="A922" i="4"/>
  <c r="B914" i="4"/>
  <c r="A914" i="4"/>
  <c r="B903" i="4"/>
  <c r="A903" i="4"/>
  <c r="B659" i="4"/>
  <c r="A659" i="4"/>
  <c r="B469" i="4"/>
  <c r="A469" i="4"/>
  <c r="B638" i="4"/>
  <c r="A638" i="4"/>
  <c r="B635" i="4"/>
  <c r="A635" i="4"/>
  <c r="B634" i="4"/>
  <c r="A634" i="4"/>
  <c r="B633" i="4"/>
  <c r="A633" i="4"/>
  <c r="B609" i="4"/>
  <c r="A609" i="4"/>
  <c r="B900" i="4"/>
  <c r="A900" i="4"/>
  <c r="B899" i="4"/>
  <c r="A899" i="4"/>
  <c r="B896" i="4"/>
  <c r="A896" i="4"/>
  <c r="B895" i="4"/>
  <c r="A895" i="4"/>
  <c r="B894" i="4"/>
  <c r="A894" i="4"/>
  <c r="B892" i="4"/>
  <c r="A892" i="4"/>
  <c r="B890" i="4"/>
  <c r="A890" i="4"/>
  <c r="B889" i="4"/>
  <c r="A889" i="4"/>
  <c r="B888" i="4"/>
  <c r="A888" i="4"/>
  <c r="B886" i="4"/>
  <c r="A886" i="4"/>
  <c r="B885" i="4"/>
  <c r="A885" i="4"/>
  <c r="B882" i="4"/>
  <c r="A882" i="4"/>
  <c r="B880" i="4"/>
  <c r="A880" i="4"/>
  <c r="B878" i="4"/>
  <c r="A878" i="4"/>
  <c r="B406" i="4"/>
  <c r="A406" i="4"/>
  <c r="B853" i="4"/>
  <c r="A853" i="4"/>
  <c r="B852" i="4"/>
  <c r="A852" i="4"/>
  <c r="B851" i="4"/>
  <c r="A851" i="4"/>
  <c r="B850" i="4"/>
  <c r="A850" i="4"/>
  <c r="B849" i="4"/>
  <c r="A849" i="4"/>
  <c r="B848" i="4"/>
  <c r="A848" i="4"/>
  <c r="B847" i="4"/>
  <c r="A847" i="4"/>
  <c r="B846" i="4"/>
  <c r="A846" i="4"/>
  <c r="B845" i="4"/>
  <c r="A845" i="4"/>
  <c r="B844" i="4"/>
  <c r="A844" i="4"/>
  <c r="B843" i="4"/>
  <c r="A843" i="4"/>
  <c r="B842" i="4"/>
  <c r="A842" i="4"/>
  <c r="B841" i="4"/>
  <c r="A841" i="4"/>
  <c r="B840" i="4"/>
  <c r="A840" i="4"/>
  <c r="B839" i="4"/>
  <c r="A839" i="4"/>
  <c r="B838" i="4"/>
  <c r="A838" i="4"/>
  <c r="B837" i="4"/>
  <c r="A837" i="4"/>
  <c r="B836" i="4"/>
  <c r="A836" i="4"/>
  <c r="B835" i="4"/>
  <c r="A835" i="4"/>
  <c r="B834" i="4"/>
  <c r="A834" i="4"/>
  <c r="B833" i="4"/>
  <c r="A833" i="4"/>
  <c r="B832" i="4"/>
  <c r="A832" i="4"/>
  <c r="B831" i="4"/>
  <c r="A831" i="4"/>
  <c r="B830" i="4"/>
  <c r="A830" i="4"/>
  <c r="B829" i="4"/>
  <c r="A829" i="4"/>
  <c r="B828" i="4"/>
  <c r="A828" i="4"/>
  <c r="B827" i="4"/>
  <c r="A827" i="4"/>
  <c r="B819" i="4"/>
  <c r="A819" i="4"/>
  <c r="B818" i="4"/>
  <c r="A818" i="4"/>
  <c r="B817" i="4"/>
  <c r="A817" i="4"/>
  <c r="B805" i="4"/>
  <c r="A805" i="4"/>
  <c r="B786" i="4"/>
  <c r="A786" i="4"/>
  <c r="B785" i="4"/>
  <c r="A785" i="4"/>
  <c r="B784" i="4"/>
  <c r="A784" i="4"/>
  <c r="B778" i="4"/>
  <c r="A778" i="4"/>
  <c r="B771" i="4"/>
  <c r="A771" i="4"/>
  <c r="B756" i="4"/>
  <c r="A756" i="4"/>
  <c r="B753" i="4"/>
  <c r="A753" i="4"/>
  <c r="B594" i="4"/>
  <c r="A594" i="4"/>
  <c r="B745" i="4"/>
  <c r="A745" i="4"/>
  <c r="B792" i="4"/>
  <c r="A792" i="4"/>
  <c r="B791" i="4"/>
  <c r="A791" i="4"/>
  <c r="B629" i="4"/>
  <c r="A629" i="4"/>
  <c r="B627" i="4"/>
  <c r="A627" i="4"/>
  <c r="B625" i="4"/>
  <c r="A625" i="4"/>
  <c r="B624" i="4"/>
  <c r="A624" i="4"/>
  <c r="B608" i="4"/>
  <c r="A608" i="4"/>
  <c r="B606" i="4"/>
  <c r="A606" i="4"/>
  <c r="B623" i="4"/>
  <c r="A623" i="4"/>
  <c r="B598" i="4"/>
  <c r="A598" i="4"/>
  <c r="B597" i="4"/>
  <c r="A597" i="4"/>
  <c r="B790" i="4"/>
  <c r="A790" i="4"/>
  <c r="B789" i="4"/>
  <c r="A789" i="4"/>
  <c r="B788" i="4"/>
  <c r="A788" i="4"/>
  <c r="B601" i="4"/>
  <c r="A601" i="4"/>
  <c r="B596" i="4"/>
  <c r="A596" i="4"/>
  <c r="B595" i="4"/>
  <c r="A595" i="4"/>
  <c r="B590" i="4"/>
  <c r="A590" i="4"/>
  <c r="B717" i="4"/>
  <c r="A717" i="4"/>
  <c r="B628" i="4"/>
  <c r="A628" i="4"/>
  <c r="B622" i="4"/>
  <c r="A622" i="4"/>
  <c r="B804" i="4"/>
  <c r="A804" i="4"/>
  <c r="B602" i="4"/>
  <c r="A602" i="4"/>
  <c r="B607" i="4"/>
  <c r="A607" i="4"/>
  <c r="B787" i="4"/>
  <c r="A787" i="4"/>
  <c r="B599" i="4"/>
  <c r="A599" i="4"/>
  <c r="B600" i="4"/>
  <c r="A600" i="4"/>
  <c r="B720" i="4"/>
  <c r="A720" i="4"/>
  <c r="B719" i="4"/>
  <c r="A719" i="4"/>
  <c r="B603" i="4"/>
  <c r="A603" i="4"/>
  <c r="B604" i="4"/>
  <c r="A604" i="4"/>
  <c r="B718" i="4"/>
  <c r="A718" i="4"/>
  <c r="B592" i="4"/>
  <c r="A592" i="4"/>
  <c r="B621" i="4"/>
  <c r="A621" i="4"/>
  <c r="B620" i="4"/>
  <c r="A620" i="4"/>
  <c r="B619" i="4"/>
  <c r="A619" i="4"/>
  <c r="B618" i="4"/>
  <c r="A618" i="4"/>
  <c r="B617" i="4"/>
  <c r="A617" i="4"/>
  <c r="B616" i="4"/>
  <c r="A616" i="4"/>
  <c r="B615" i="4"/>
  <c r="A615" i="4"/>
  <c r="B614" i="4"/>
  <c r="A614" i="4"/>
  <c r="B613" i="4"/>
  <c r="A613" i="4"/>
  <c r="B612" i="4"/>
  <c r="A612" i="4"/>
  <c r="B611" i="4"/>
  <c r="A611" i="4"/>
  <c r="B970" i="4"/>
  <c r="A970" i="4"/>
  <c r="B967" i="4"/>
  <c r="A967" i="4"/>
  <c r="B413" i="4"/>
  <c r="A413" i="4"/>
  <c r="B388" i="4"/>
  <c r="A388" i="4"/>
  <c r="B387" i="4"/>
  <c r="A387" i="4"/>
  <c r="B386" i="4"/>
  <c r="A386" i="4"/>
  <c r="B475" i="4"/>
  <c r="A475" i="4"/>
  <c r="A3" i="1"/>
  <c r="B3" i="1"/>
  <c r="C3" i="1"/>
  <c r="D3" i="1"/>
  <c r="E3" i="1"/>
  <c r="F3" i="1"/>
  <c r="A4" i="1"/>
  <c r="B4" i="1"/>
  <c r="C4" i="1"/>
  <c r="D4" i="1"/>
  <c r="E4" i="1"/>
  <c r="F4" i="1"/>
  <c r="A5" i="1"/>
  <c r="B5" i="1"/>
  <c r="C5" i="1"/>
  <c r="D5" i="1"/>
  <c r="E5" i="1"/>
  <c r="F5" i="1"/>
  <c r="A6" i="1"/>
  <c r="B6" i="1"/>
  <c r="C6" i="1"/>
  <c r="D6" i="1"/>
  <c r="E6" i="1"/>
  <c r="F6" i="1"/>
  <c r="G6" i="1"/>
  <c r="A7" i="1"/>
  <c r="B7" i="1"/>
  <c r="C7" i="1"/>
  <c r="D7" i="1"/>
  <c r="E7" i="1"/>
  <c r="F7" i="1"/>
  <c r="A8" i="1"/>
  <c r="B8" i="1"/>
  <c r="C8" i="1"/>
  <c r="D8" i="1"/>
  <c r="E8" i="1"/>
  <c r="F8" i="1"/>
  <c r="A9" i="1"/>
  <c r="B9" i="1"/>
  <c r="C9" i="1"/>
  <c r="D9" i="1"/>
  <c r="E9" i="1"/>
  <c r="F9" i="1"/>
  <c r="G9" i="1"/>
  <c r="A10" i="1"/>
  <c r="B10" i="1"/>
  <c r="C10" i="1"/>
  <c r="D10" i="1"/>
  <c r="E10" i="1"/>
  <c r="F10" i="1"/>
  <c r="A11" i="1"/>
  <c r="B11" i="1"/>
  <c r="C11" i="1"/>
  <c r="D11" i="1"/>
  <c r="E11" i="1"/>
  <c r="F11" i="1"/>
  <c r="A12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F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D17" i="1"/>
  <c r="F17" i="1"/>
  <c r="A18" i="1"/>
  <c r="B18" i="1"/>
  <c r="C18" i="1"/>
  <c r="D18" i="1"/>
  <c r="E18" i="1"/>
  <c r="F18" i="1"/>
  <c r="A19" i="1"/>
  <c r="B19" i="1"/>
  <c r="C19" i="1"/>
  <c r="D19" i="1"/>
  <c r="E19" i="1"/>
  <c r="F19" i="1"/>
  <c r="A20" i="1"/>
  <c r="B20" i="1"/>
  <c r="C20" i="1"/>
  <c r="D20" i="1"/>
  <c r="E20" i="1"/>
  <c r="F20" i="1"/>
  <c r="A21" i="1"/>
  <c r="B21" i="1"/>
  <c r="C21" i="1"/>
  <c r="D21" i="1"/>
  <c r="E21" i="1"/>
  <c r="F21" i="1"/>
  <c r="G21" i="1"/>
  <c r="A22" i="1"/>
  <c r="B22" i="1"/>
  <c r="C22" i="1"/>
  <c r="D22" i="1"/>
  <c r="E22" i="1"/>
  <c r="F22" i="1"/>
  <c r="A23" i="1"/>
  <c r="B23" i="1"/>
  <c r="C23" i="1"/>
  <c r="D23" i="1"/>
  <c r="E23" i="1"/>
  <c r="F23" i="1"/>
  <c r="A24" i="1"/>
  <c r="B24" i="1"/>
  <c r="C24" i="1"/>
  <c r="D24" i="1"/>
  <c r="E24" i="1"/>
  <c r="F24" i="1"/>
  <c r="A25" i="1"/>
  <c r="B25" i="1"/>
  <c r="C25" i="1"/>
  <c r="D25" i="1"/>
  <c r="E25" i="1"/>
  <c r="F25" i="1"/>
  <c r="A26" i="1"/>
  <c r="B26" i="1"/>
  <c r="C26" i="1"/>
  <c r="D26" i="1"/>
  <c r="E26" i="1"/>
  <c r="F26" i="1"/>
  <c r="A27" i="1"/>
  <c r="B27" i="1"/>
  <c r="C27" i="1"/>
  <c r="D27" i="1"/>
  <c r="E27" i="1"/>
  <c r="F27" i="1"/>
  <c r="A28" i="1"/>
  <c r="B28" i="1"/>
  <c r="C28" i="1"/>
  <c r="D28" i="1"/>
  <c r="E28" i="1"/>
  <c r="F28" i="1"/>
  <c r="A29" i="1"/>
  <c r="B29" i="1"/>
  <c r="C29" i="1"/>
  <c r="D29" i="1"/>
  <c r="E29" i="1"/>
  <c r="F29" i="1"/>
  <c r="A30" i="1"/>
  <c r="B30" i="1"/>
  <c r="C30" i="1"/>
  <c r="D30" i="1"/>
  <c r="E30" i="1"/>
  <c r="F30" i="1"/>
  <c r="A31" i="1"/>
  <c r="B31" i="1"/>
  <c r="C31" i="1"/>
  <c r="D31" i="1"/>
  <c r="E31" i="1"/>
  <c r="F31" i="1"/>
  <c r="A32" i="1"/>
  <c r="B32" i="1"/>
  <c r="C32" i="1"/>
  <c r="D32" i="1"/>
  <c r="E32" i="1"/>
  <c r="F32" i="1"/>
  <c r="A33" i="1"/>
  <c r="B33" i="1"/>
  <c r="C33" i="1"/>
  <c r="D33" i="1"/>
  <c r="E33" i="1"/>
  <c r="F33" i="1"/>
  <c r="A34" i="1"/>
  <c r="B34" i="1"/>
  <c r="C34" i="1"/>
  <c r="D34" i="1"/>
  <c r="F34" i="1"/>
  <c r="B35" i="1"/>
  <c r="C35" i="1"/>
  <c r="D35" i="1"/>
  <c r="F35" i="1"/>
  <c r="B36" i="1"/>
  <c r="C36" i="1"/>
  <c r="D36" i="1"/>
  <c r="E36" i="1"/>
  <c r="F36" i="1"/>
  <c r="B37" i="1"/>
  <c r="C37" i="1"/>
  <c r="D37" i="1"/>
  <c r="E37" i="1"/>
  <c r="F37" i="1"/>
  <c r="A38" i="1"/>
  <c r="B38" i="1"/>
  <c r="C38" i="1"/>
  <c r="D38" i="1"/>
  <c r="F38" i="1"/>
  <c r="B39" i="1"/>
  <c r="C39" i="1"/>
  <c r="D39" i="1"/>
  <c r="E39" i="1"/>
  <c r="F39" i="1"/>
  <c r="B40" i="1"/>
  <c r="C40" i="1"/>
  <c r="D40" i="1"/>
  <c r="E40" i="1"/>
  <c r="F40" i="1"/>
  <c r="B41" i="1"/>
  <c r="D41" i="1"/>
  <c r="E41" i="1"/>
  <c r="F41" i="1"/>
  <c r="G41" i="1"/>
  <c r="A42" i="1"/>
  <c r="B42" i="1"/>
  <c r="C42" i="1"/>
  <c r="D42" i="1"/>
  <c r="E42" i="1"/>
  <c r="F42" i="1"/>
  <c r="G42" i="1"/>
  <c r="A43" i="1"/>
  <c r="B43" i="1"/>
  <c r="C43" i="1"/>
  <c r="D43" i="1"/>
  <c r="E43" i="1"/>
  <c r="F43" i="1"/>
  <c r="G43" i="1"/>
  <c r="A44" i="1"/>
  <c r="B44" i="1"/>
  <c r="C44" i="1"/>
  <c r="D44" i="1"/>
  <c r="E44" i="1"/>
  <c r="F44" i="1"/>
  <c r="A45" i="1"/>
  <c r="B45" i="1"/>
  <c r="C45" i="1"/>
  <c r="D45" i="1"/>
  <c r="E45" i="1"/>
  <c r="F45" i="1"/>
  <c r="A46" i="1"/>
  <c r="B46" i="1"/>
  <c r="C46" i="1"/>
  <c r="D46" i="1"/>
  <c r="E46" i="1"/>
  <c r="F46" i="1"/>
  <c r="A47" i="1"/>
  <c r="B47" i="1"/>
  <c r="C47" i="1"/>
  <c r="D47" i="1"/>
  <c r="E47" i="1"/>
  <c r="F47" i="1"/>
  <c r="A48" i="1"/>
  <c r="B48" i="1"/>
  <c r="C48" i="1"/>
  <c r="D48" i="1"/>
  <c r="E48" i="1"/>
  <c r="F48" i="1"/>
  <c r="A49" i="1"/>
  <c r="B49" i="1"/>
  <c r="C49" i="1"/>
  <c r="D49" i="1"/>
  <c r="E49" i="1"/>
  <c r="F49" i="1"/>
  <c r="A50" i="1"/>
  <c r="B50" i="1"/>
  <c r="C50" i="1"/>
  <c r="D50" i="1"/>
  <c r="E50" i="1"/>
  <c r="F50" i="1"/>
  <c r="A51" i="1"/>
  <c r="B51" i="1"/>
  <c r="C51" i="1"/>
  <c r="D51" i="1"/>
  <c r="E51" i="1"/>
  <c r="F51" i="1"/>
  <c r="A52" i="1"/>
  <c r="B52" i="1"/>
  <c r="C52" i="1"/>
  <c r="D52" i="1"/>
  <c r="E52" i="1"/>
  <c r="F52" i="1"/>
  <c r="A53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F55" i="1"/>
  <c r="A56" i="1"/>
  <c r="B56" i="1"/>
  <c r="C56" i="1"/>
  <c r="D56" i="1"/>
  <c r="E56" i="1"/>
  <c r="F56" i="1"/>
  <c r="A57" i="1"/>
  <c r="B57" i="1"/>
  <c r="C57" i="1"/>
  <c r="D57" i="1"/>
  <c r="E57" i="1"/>
  <c r="F57" i="1"/>
  <c r="A58" i="1"/>
  <c r="B58" i="1"/>
  <c r="C58" i="1"/>
  <c r="D58" i="1"/>
  <c r="E58" i="1"/>
  <c r="F58" i="1"/>
  <c r="G58" i="1"/>
  <c r="A59" i="1"/>
  <c r="B59" i="1"/>
  <c r="C59" i="1"/>
  <c r="D59" i="1"/>
  <c r="E59" i="1"/>
  <c r="F59" i="1"/>
  <c r="A60" i="1"/>
  <c r="B60" i="1"/>
  <c r="C60" i="1"/>
  <c r="D60" i="1"/>
  <c r="E60" i="1"/>
  <c r="F60" i="1"/>
  <c r="A61" i="1"/>
  <c r="B61" i="1"/>
  <c r="C61" i="1"/>
  <c r="D61" i="1"/>
  <c r="E61" i="1"/>
  <c r="F61" i="1"/>
  <c r="G61" i="1"/>
  <c r="A62" i="1"/>
  <c r="B62" i="1"/>
  <c r="C62" i="1"/>
  <c r="D62" i="1"/>
  <c r="E62" i="1"/>
  <c r="F62" i="1"/>
  <c r="A63" i="1"/>
  <c r="B63" i="1"/>
  <c r="C63" i="1"/>
  <c r="D63" i="1"/>
  <c r="E63" i="1"/>
  <c r="F63" i="1"/>
  <c r="A64" i="1"/>
  <c r="B64" i="1"/>
  <c r="C64" i="1"/>
  <c r="D64" i="1"/>
  <c r="E64" i="1"/>
  <c r="F64" i="1"/>
  <c r="A65" i="1"/>
  <c r="B65" i="1"/>
  <c r="C65" i="1"/>
  <c r="D65" i="1"/>
  <c r="E65" i="1"/>
  <c r="F65" i="1"/>
  <c r="A66" i="1"/>
  <c r="B66" i="1"/>
  <c r="C66" i="1"/>
  <c r="D66" i="1"/>
  <c r="E66" i="1"/>
  <c r="F66" i="1"/>
  <c r="A67" i="1"/>
  <c r="B67" i="1"/>
  <c r="C67" i="1"/>
  <c r="D67" i="1"/>
  <c r="E67" i="1"/>
  <c r="F67" i="1"/>
  <c r="A68" i="1"/>
  <c r="B68" i="1"/>
  <c r="C68" i="1"/>
  <c r="D68" i="1"/>
  <c r="E68" i="1"/>
  <c r="F68" i="1"/>
  <c r="A69" i="1"/>
  <c r="B69" i="1"/>
  <c r="C69" i="1"/>
  <c r="D69" i="1"/>
  <c r="E69" i="1"/>
  <c r="F69" i="1"/>
  <c r="G69" i="1"/>
  <c r="A70" i="1"/>
  <c r="B70" i="1"/>
  <c r="C70" i="1"/>
  <c r="D70" i="1"/>
  <c r="E70" i="1"/>
  <c r="F70" i="1"/>
  <c r="A71" i="1"/>
  <c r="B71" i="1"/>
  <c r="C71" i="1"/>
  <c r="D71" i="1"/>
  <c r="E71" i="1"/>
  <c r="F71" i="1"/>
  <c r="A72" i="1"/>
  <c r="B72" i="1"/>
  <c r="C72" i="1"/>
  <c r="D72" i="1"/>
  <c r="E72" i="1"/>
  <c r="F72" i="1"/>
  <c r="B73" i="1"/>
  <c r="C73" i="1"/>
  <c r="D73" i="1"/>
  <c r="F73" i="1"/>
  <c r="B74" i="1"/>
  <c r="C74" i="1"/>
  <c r="D74" i="1"/>
  <c r="E74" i="1"/>
  <c r="F74" i="1"/>
  <c r="B75" i="1"/>
  <c r="C75" i="1"/>
  <c r="D75" i="1"/>
  <c r="E75" i="1"/>
  <c r="F75" i="1"/>
  <c r="G75" i="1"/>
  <c r="B76" i="1"/>
  <c r="C76" i="1"/>
  <c r="D76" i="1"/>
  <c r="E76" i="1"/>
  <c r="F76" i="1"/>
  <c r="B77" i="1"/>
  <c r="D77" i="1"/>
  <c r="F77" i="1"/>
  <c r="A78" i="1"/>
  <c r="B78" i="1"/>
  <c r="C78" i="1"/>
  <c r="D78" i="1"/>
  <c r="E78" i="1"/>
  <c r="F78" i="1"/>
  <c r="A79" i="1"/>
  <c r="B79" i="1"/>
  <c r="C79" i="1"/>
  <c r="D79" i="1"/>
  <c r="E79" i="1"/>
  <c r="F79" i="1"/>
  <c r="A80" i="1"/>
  <c r="B80" i="1"/>
  <c r="C80" i="1"/>
  <c r="D80" i="1"/>
  <c r="E80" i="1"/>
  <c r="F80" i="1"/>
  <c r="G80" i="1"/>
  <c r="A81" i="1"/>
  <c r="B81" i="1"/>
  <c r="C81" i="1"/>
  <c r="D81" i="1"/>
  <c r="E81" i="1"/>
  <c r="F81" i="1"/>
  <c r="A82" i="1"/>
  <c r="B82" i="1"/>
  <c r="C82" i="1"/>
  <c r="D82" i="1"/>
  <c r="E82" i="1"/>
  <c r="F82" i="1"/>
  <c r="A83" i="1"/>
  <c r="B83" i="1"/>
  <c r="C83" i="1"/>
  <c r="D83" i="1"/>
  <c r="E83" i="1"/>
  <c r="F83" i="1"/>
  <c r="A84" i="1"/>
  <c r="B84" i="1"/>
  <c r="C84" i="1"/>
  <c r="D84" i="1"/>
  <c r="E84" i="1"/>
  <c r="F84" i="1"/>
  <c r="A85" i="1"/>
  <c r="B85" i="1"/>
  <c r="C85" i="1"/>
  <c r="D85" i="1"/>
  <c r="E85" i="1"/>
  <c r="F85" i="1"/>
  <c r="A86" i="1"/>
  <c r="B86" i="1"/>
  <c r="C86" i="1"/>
  <c r="D86" i="1"/>
  <c r="F86" i="1"/>
  <c r="B87" i="1"/>
  <c r="C87" i="1"/>
  <c r="D87" i="1"/>
  <c r="F87" i="1"/>
  <c r="B88" i="1"/>
  <c r="C88" i="1"/>
  <c r="D88" i="1"/>
  <c r="F88" i="1"/>
  <c r="B89" i="1"/>
  <c r="C89" i="1"/>
  <c r="D89" i="1"/>
  <c r="E89" i="1"/>
  <c r="F89" i="1"/>
  <c r="B90" i="1"/>
  <c r="D90" i="1"/>
  <c r="F90" i="1"/>
  <c r="A91" i="1"/>
  <c r="B91" i="1"/>
  <c r="C91" i="1"/>
  <c r="D91" i="1"/>
  <c r="E91" i="1"/>
  <c r="F91" i="1"/>
  <c r="A92" i="1"/>
  <c r="B92" i="1"/>
  <c r="C92" i="1"/>
  <c r="D92" i="1"/>
  <c r="E92" i="1"/>
  <c r="F92" i="1"/>
  <c r="A93" i="1"/>
  <c r="B93" i="1"/>
  <c r="C93" i="1"/>
  <c r="D93" i="1"/>
  <c r="E93" i="1"/>
  <c r="F93" i="1"/>
  <c r="A94" i="1"/>
  <c r="B94" i="1"/>
  <c r="C94" i="1"/>
  <c r="D94" i="1"/>
  <c r="E94" i="1"/>
  <c r="F94" i="1"/>
  <c r="A95" i="1"/>
  <c r="B95" i="1"/>
  <c r="C95" i="1"/>
  <c r="D95" i="1"/>
  <c r="E95" i="1"/>
  <c r="F95" i="1"/>
  <c r="A96" i="1"/>
  <c r="B96" i="1"/>
  <c r="C96" i="1"/>
  <c r="D96" i="1"/>
  <c r="E96" i="1"/>
  <c r="F96" i="1"/>
  <c r="A97" i="1"/>
  <c r="B97" i="1"/>
  <c r="C97" i="1"/>
  <c r="D97" i="1"/>
  <c r="E97" i="1"/>
  <c r="F97" i="1"/>
  <c r="B98" i="1"/>
  <c r="D98" i="1"/>
  <c r="F98" i="1"/>
  <c r="A99" i="1"/>
  <c r="B99" i="1"/>
  <c r="C99" i="1"/>
  <c r="D99" i="1"/>
  <c r="E99" i="1"/>
  <c r="F99" i="1"/>
  <c r="G99" i="1"/>
  <c r="A100" i="1"/>
  <c r="B100" i="1"/>
  <c r="C100" i="1"/>
  <c r="D100" i="1"/>
  <c r="E100" i="1"/>
  <c r="F100" i="1"/>
  <c r="A101" i="1"/>
  <c r="B101" i="1"/>
  <c r="C101" i="1"/>
  <c r="D101" i="1"/>
  <c r="E101" i="1"/>
  <c r="F101" i="1"/>
  <c r="A102" i="1"/>
  <c r="B102" i="1"/>
  <c r="C102" i="1"/>
  <c r="D102" i="1"/>
  <c r="E102" i="1"/>
  <c r="F102" i="1"/>
  <c r="A103" i="1"/>
  <c r="B103" i="1"/>
  <c r="C103" i="1"/>
  <c r="D103" i="1"/>
  <c r="E103" i="1"/>
  <c r="F103" i="1"/>
  <c r="A104" i="1"/>
  <c r="B104" i="1"/>
  <c r="C104" i="1"/>
  <c r="D104" i="1"/>
  <c r="E104" i="1"/>
  <c r="F104" i="1"/>
  <c r="B105" i="1"/>
  <c r="C105" i="1"/>
  <c r="D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G108" i="1"/>
  <c r="A109" i="1"/>
  <c r="B109" i="1"/>
  <c r="C109" i="1"/>
  <c r="D109" i="1"/>
  <c r="F109" i="1"/>
  <c r="B110" i="1"/>
  <c r="D110" i="1"/>
  <c r="F110" i="1"/>
  <c r="A111" i="1"/>
  <c r="B111" i="1"/>
  <c r="C111" i="1"/>
  <c r="D111" i="1"/>
  <c r="E111" i="1"/>
  <c r="F111" i="1"/>
  <c r="A112" i="1"/>
  <c r="B112" i="1"/>
  <c r="C112" i="1"/>
  <c r="D112" i="1"/>
  <c r="E112" i="1"/>
  <c r="F112" i="1"/>
  <c r="G112" i="1"/>
  <c r="A113" i="1"/>
  <c r="B113" i="1"/>
  <c r="C113" i="1"/>
  <c r="D113" i="1"/>
  <c r="E113" i="1"/>
  <c r="F113" i="1"/>
  <c r="G113" i="1"/>
  <c r="A114" i="1"/>
  <c r="B114" i="1"/>
  <c r="C114" i="1"/>
  <c r="D114" i="1"/>
  <c r="E114" i="1"/>
  <c r="F114" i="1"/>
  <c r="G114" i="1"/>
  <c r="A115" i="1"/>
  <c r="B115" i="1"/>
  <c r="C115" i="1"/>
  <c r="D115" i="1"/>
  <c r="E115" i="1"/>
  <c r="F115" i="1"/>
  <c r="A116" i="1"/>
  <c r="B116" i="1"/>
  <c r="C116" i="1"/>
  <c r="D116" i="1"/>
  <c r="E116" i="1"/>
  <c r="F116" i="1"/>
  <c r="G116" i="1"/>
  <c r="A117" i="1"/>
  <c r="B117" i="1"/>
  <c r="C117" i="1"/>
  <c r="D117" i="1"/>
  <c r="E117" i="1"/>
  <c r="F117" i="1"/>
  <c r="B118" i="1"/>
  <c r="D118" i="1"/>
  <c r="E118" i="1"/>
  <c r="F118" i="1"/>
  <c r="G118" i="1"/>
  <c r="A119" i="1"/>
  <c r="B119" i="1"/>
  <c r="C119" i="1"/>
  <c r="D119" i="1"/>
  <c r="E119" i="1"/>
  <c r="F119" i="1"/>
  <c r="A120" i="1"/>
  <c r="B120" i="1"/>
  <c r="C120" i="1"/>
  <c r="D120" i="1"/>
  <c r="E120" i="1"/>
  <c r="F120" i="1"/>
  <c r="A121" i="1"/>
  <c r="B121" i="1"/>
  <c r="C121" i="1"/>
  <c r="D121" i="1"/>
  <c r="E121" i="1"/>
  <c r="F121" i="1"/>
  <c r="A122" i="1"/>
  <c r="B122" i="1"/>
  <c r="C122" i="1"/>
  <c r="D122" i="1"/>
  <c r="F122" i="1"/>
  <c r="A123" i="1"/>
  <c r="B123" i="1"/>
  <c r="C123" i="1"/>
  <c r="D123" i="1"/>
  <c r="E123" i="1"/>
  <c r="F123" i="1"/>
  <c r="A124" i="1"/>
  <c r="B124" i="1"/>
  <c r="C124" i="1"/>
  <c r="D124" i="1"/>
  <c r="E124" i="1"/>
  <c r="F124" i="1"/>
  <c r="A125" i="1"/>
  <c r="B125" i="1"/>
  <c r="C125" i="1"/>
  <c r="D125" i="1"/>
  <c r="E125" i="1"/>
  <c r="F125" i="1"/>
  <c r="A126" i="1"/>
  <c r="B126" i="1"/>
  <c r="C126" i="1"/>
  <c r="D126" i="1"/>
  <c r="E126" i="1"/>
  <c r="F126" i="1"/>
  <c r="B127" i="1"/>
  <c r="C127" i="1"/>
  <c r="D127" i="1"/>
  <c r="E127" i="1"/>
  <c r="F127" i="1"/>
  <c r="A128" i="1"/>
  <c r="B128" i="1"/>
  <c r="C128" i="1"/>
  <c r="D128" i="1"/>
  <c r="E128" i="1"/>
  <c r="F128" i="1"/>
  <c r="A129" i="1"/>
  <c r="B129" i="1"/>
  <c r="C129" i="1"/>
  <c r="D129" i="1"/>
  <c r="E129" i="1"/>
  <c r="F129" i="1"/>
  <c r="A130" i="1"/>
  <c r="B130" i="1"/>
  <c r="C130" i="1"/>
  <c r="D130" i="1"/>
  <c r="E130" i="1"/>
  <c r="F130" i="1"/>
  <c r="G130" i="1"/>
  <c r="A131" i="1"/>
  <c r="B131" i="1"/>
  <c r="C131" i="1"/>
  <c r="D131" i="1"/>
  <c r="E131" i="1"/>
  <c r="F131" i="1"/>
  <c r="G131" i="1"/>
  <c r="B132" i="1"/>
  <c r="C132" i="1"/>
  <c r="D132" i="1"/>
  <c r="E132" i="1"/>
  <c r="F132" i="1"/>
  <c r="A133" i="1"/>
  <c r="B133" i="1"/>
  <c r="C133" i="1"/>
  <c r="D133" i="1"/>
  <c r="E133" i="1"/>
  <c r="F133" i="1"/>
  <c r="G133" i="1"/>
  <c r="A134" i="1"/>
  <c r="B134" i="1"/>
  <c r="C134" i="1"/>
  <c r="D134" i="1"/>
  <c r="E134" i="1"/>
  <c r="F134" i="1"/>
  <c r="A135" i="1"/>
  <c r="B135" i="1"/>
  <c r="C135" i="1"/>
  <c r="D135" i="1"/>
  <c r="E135" i="1"/>
  <c r="F135" i="1"/>
  <c r="A136" i="1"/>
  <c r="B136" i="1"/>
  <c r="C136" i="1"/>
  <c r="D136" i="1"/>
  <c r="E136" i="1"/>
  <c r="F136" i="1"/>
  <c r="A137" i="1"/>
  <c r="B137" i="1"/>
  <c r="C137" i="1"/>
  <c r="D137" i="1"/>
  <c r="E137" i="1"/>
  <c r="F137" i="1"/>
  <c r="A138" i="1"/>
  <c r="B138" i="1"/>
  <c r="C138" i="1"/>
  <c r="D138" i="1"/>
  <c r="E138" i="1"/>
  <c r="F138" i="1"/>
  <c r="A139" i="1"/>
  <c r="B139" i="1"/>
  <c r="C139" i="1"/>
  <c r="D139" i="1"/>
  <c r="E139" i="1"/>
  <c r="F139" i="1"/>
  <c r="A140" i="1"/>
  <c r="B140" i="1"/>
  <c r="C140" i="1"/>
  <c r="D140" i="1"/>
  <c r="F140" i="1"/>
  <c r="B141" i="1"/>
  <c r="C141" i="1"/>
  <c r="D141" i="1"/>
  <c r="E141" i="1"/>
  <c r="F141" i="1"/>
  <c r="A142" i="1"/>
  <c r="B142" i="1"/>
  <c r="C142" i="1"/>
  <c r="D142" i="1"/>
  <c r="E142" i="1"/>
  <c r="F142" i="1"/>
  <c r="G142" i="1"/>
  <c r="B143" i="1"/>
  <c r="C143" i="1"/>
  <c r="D143" i="1"/>
  <c r="F143" i="1"/>
  <c r="B144" i="1"/>
  <c r="D144" i="1"/>
  <c r="F144" i="1"/>
  <c r="A145" i="1"/>
  <c r="B145" i="1"/>
  <c r="C145" i="1"/>
  <c r="D145" i="1"/>
  <c r="E145" i="1"/>
  <c r="F145" i="1"/>
  <c r="G145" i="1"/>
  <c r="A146" i="1"/>
  <c r="B146" i="1"/>
  <c r="C146" i="1"/>
  <c r="D146" i="1"/>
  <c r="E146" i="1"/>
  <c r="F146" i="1"/>
  <c r="A147" i="1"/>
  <c r="B147" i="1"/>
  <c r="C147" i="1"/>
  <c r="D147" i="1"/>
  <c r="E147" i="1"/>
  <c r="F147" i="1"/>
  <c r="A148" i="1"/>
  <c r="B148" i="1"/>
  <c r="C148" i="1"/>
  <c r="D148" i="1"/>
  <c r="E148" i="1"/>
  <c r="F148" i="1"/>
  <c r="A149" i="1"/>
  <c r="B149" i="1"/>
  <c r="C149" i="1"/>
  <c r="D149" i="1"/>
  <c r="E149" i="1"/>
  <c r="F149" i="1"/>
  <c r="G149" i="1"/>
  <c r="A150" i="1"/>
  <c r="B150" i="1"/>
  <c r="C150" i="1"/>
  <c r="D150" i="1"/>
  <c r="E150" i="1"/>
  <c r="F150" i="1"/>
  <c r="A151" i="1"/>
  <c r="B151" i="1"/>
  <c r="C151" i="1"/>
  <c r="D151" i="1"/>
  <c r="E151" i="1"/>
  <c r="F151" i="1"/>
  <c r="G151" i="1"/>
  <c r="A152" i="1"/>
  <c r="B152" i="1"/>
  <c r="C152" i="1"/>
  <c r="D152" i="1"/>
  <c r="E152" i="1"/>
  <c r="F152" i="1"/>
  <c r="A153" i="1"/>
  <c r="B153" i="1"/>
  <c r="C153" i="1"/>
  <c r="D153" i="1"/>
  <c r="E153" i="1"/>
  <c r="F153" i="1"/>
  <c r="A154" i="1"/>
  <c r="B154" i="1"/>
  <c r="C154" i="1"/>
  <c r="D154" i="1"/>
  <c r="E154" i="1"/>
  <c r="F154" i="1"/>
  <c r="A155" i="1"/>
  <c r="B155" i="1"/>
  <c r="C155" i="1"/>
  <c r="D155" i="1"/>
  <c r="E155" i="1"/>
  <c r="F155" i="1"/>
  <c r="A156" i="1"/>
  <c r="B156" i="1"/>
  <c r="C156" i="1"/>
  <c r="D156" i="1"/>
  <c r="E156" i="1"/>
  <c r="F156" i="1"/>
  <c r="A157" i="1"/>
  <c r="B157" i="1"/>
  <c r="C157" i="1"/>
  <c r="D157" i="1"/>
  <c r="E157" i="1"/>
  <c r="F157" i="1"/>
  <c r="A158" i="1"/>
  <c r="B158" i="1"/>
  <c r="C158" i="1"/>
  <c r="D158" i="1"/>
  <c r="E158" i="1"/>
  <c r="F158" i="1"/>
  <c r="A159" i="1"/>
  <c r="B159" i="1"/>
  <c r="C159" i="1"/>
  <c r="D159" i="1"/>
  <c r="E159" i="1"/>
  <c r="F159" i="1"/>
  <c r="G159" i="1"/>
  <c r="A160" i="1"/>
  <c r="B160" i="1"/>
  <c r="C160" i="1"/>
  <c r="D160" i="1"/>
  <c r="E160" i="1"/>
  <c r="F160" i="1"/>
  <c r="A161" i="1"/>
  <c r="B161" i="1"/>
  <c r="C161" i="1"/>
  <c r="D161" i="1"/>
  <c r="E161" i="1"/>
  <c r="F161" i="1"/>
  <c r="G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68" i="1"/>
  <c r="C168" i="1"/>
  <c r="D168" i="1"/>
  <c r="F168" i="1"/>
  <c r="B169" i="1"/>
  <c r="D169" i="1"/>
  <c r="F169" i="1"/>
  <c r="B170" i="1"/>
  <c r="C170" i="1"/>
  <c r="D170" i="1"/>
  <c r="F170" i="1"/>
  <c r="A171" i="1"/>
  <c r="B171" i="1"/>
  <c r="C171" i="1"/>
  <c r="D171" i="1"/>
  <c r="E171" i="1"/>
  <c r="F171" i="1"/>
  <c r="G171" i="1"/>
  <c r="A172" i="1"/>
  <c r="B172" i="1"/>
  <c r="C172" i="1"/>
  <c r="D172" i="1"/>
  <c r="E172" i="1"/>
  <c r="F172" i="1"/>
  <c r="A173" i="1"/>
  <c r="B173" i="1"/>
  <c r="C173" i="1"/>
  <c r="D173" i="1"/>
  <c r="E173" i="1"/>
  <c r="F173" i="1"/>
  <c r="A174" i="1"/>
  <c r="B174" i="1"/>
  <c r="C174" i="1"/>
  <c r="D174" i="1"/>
  <c r="E174" i="1"/>
  <c r="F174" i="1"/>
  <c r="B175" i="1"/>
  <c r="C175" i="1"/>
  <c r="D175" i="1"/>
  <c r="E175" i="1"/>
  <c r="F175" i="1"/>
  <c r="A176" i="1"/>
  <c r="B176" i="1"/>
  <c r="C176" i="1"/>
  <c r="D176" i="1"/>
  <c r="E176" i="1"/>
  <c r="F176" i="1"/>
  <c r="G176" i="1"/>
  <c r="B177" i="1"/>
  <c r="D177" i="1"/>
  <c r="F177" i="1"/>
  <c r="A178" i="1"/>
  <c r="B178" i="1"/>
  <c r="C178" i="1"/>
  <c r="D178" i="1"/>
  <c r="E178" i="1"/>
  <c r="F178" i="1"/>
  <c r="G178" i="1"/>
  <c r="A179" i="1"/>
  <c r="B179" i="1"/>
  <c r="C179" i="1"/>
  <c r="D179" i="1"/>
  <c r="E179" i="1"/>
  <c r="F179" i="1"/>
  <c r="G179" i="1"/>
  <c r="A180" i="1"/>
  <c r="B180" i="1"/>
  <c r="C180" i="1"/>
  <c r="D180" i="1"/>
  <c r="E180" i="1"/>
  <c r="F180" i="1"/>
  <c r="A181" i="1"/>
  <c r="B181" i="1"/>
  <c r="C181" i="1"/>
  <c r="D181" i="1"/>
  <c r="E181" i="1"/>
  <c r="F181" i="1"/>
  <c r="A182" i="1"/>
  <c r="B182" i="1"/>
  <c r="C182" i="1"/>
  <c r="D182" i="1"/>
  <c r="E182" i="1"/>
  <c r="F182" i="1"/>
  <c r="G182" i="1"/>
  <c r="A183" i="1"/>
  <c r="B183" i="1"/>
  <c r="C183" i="1"/>
  <c r="D183" i="1"/>
  <c r="E183" i="1"/>
  <c r="F183" i="1"/>
  <c r="G183" i="1"/>
  <c r="A184" i="1"/>
  <c r="B184" i="1"/>
  <c r="C184" i="1"/>
  <c r="D184" i="1"/>
  <c r="E184" i="1"/>
  <c r="F184" i="1"/>
  <c r="G184" i="1"/>
  <c r="A185" i="1"/>
  <c r="B185" i="1"/>
  <c r="C185" i="1"/>
  <c r="D185" i="1"/>
  <c r="E185" i="1"/>
  <c r="F185" i="1"/>
  <c r="A186" i="1"/>
  <c r="B186" i="1"/>
  <c r="C186" i="1"/>
  <c r="D186" i="1"/>
  <c r="E186" i="1"/>
  <c r="F186" i="1"/>
  <c r="A187" i="1"/>
  <c r="B187" i="1"/>
  <c r="C187" i="1"/>
  <c r="D187" i="1"/>
  <c r="E187" i="1"/>
  <c r="F187" i="1"/>
  <c r="G187" i="1"/>
  <c r="A188" i="1"/>
  <c r="B188" i="1"/>
  <c r="C188" i="1"/>
  <c r="D188" i="1"/>
  <c r="E188" i="1"/>
  <c r="F188" i="1"/>
  <c r="A189" i="1"/>
  <c r="B189" i="1"/>
  <c r="C189" i="1"/>
  <c r="D189" i="1"/>
  <c r="E189" i="1"/>
  <c r="F189" i="1"/>
  <c r="A190" i="1"/>
  <c r="B190" i="1"/>
  <c r="C190" i="1"/>
  <c r="D190" i="1"/>
  <c r="E190" i="1"/>
  <c r="F190" i="1"/>
  <c r="A191" i="1"/>
  <c r="B191" i="1"/>
  <c r="C191" i="1"/>
  <c r="D191" i="1"/>
  <c r="E191" i="1"/>
  <c r="F191" i="1"/>
  <c r="A192" i="1"/>
  <c r="B192" i="1"/>
  <c r="C192" i="1"/>
  <c r="D192" i="1"/>
  <c r="E192" i="1"/>
  <c r="F192" i="1"/>
  <c r="A193" i="1"/>
  <c r="B193" i="1"/>
  <c r="C193" i="1"/>
  <c r="D193" i="1"/>
  <c r="E193" i="1"/>
  <c r="F193" i="1"/>
  <c r="A194" i="1"/>
  <c r="B194" i="1"/>
  <c r="C194" i="1"/>
  <c r="D194" i="1"/>
  <c r="E194" i="1"/>
  <c r="F194" i="1"/>
  <c r="B195" i="1"/>
  <c r="C195" i="1"/>
  <c r="D195" i="1"/>
  <c r="E195" i="1"/>
  <c r="F195" i="1"/>
  <c r="A196" i="1"/>
  <c r="B196" i="1"/>
  <c r="C196" i="1"/>
  <c r="D196" i="1"/>
  <c r="E196" i="1"/>
  <c r="F196" i="1"/>
  <c r="A197" i="1"/>
  <c r="B197" i="1"/>
  <c r="C197" i="1"/>
  <c r="D197" i="1"/>
  <c r="E197" i="1"/>
  <c r="F197" i="1"/>
  <c r="G197" i="1"/>
  <c r="B198" i="1"/>
  <c r="C198" i="1"/>
  <c r="D198" i="1"/>
  <c r="E198" i="1"/>
  <c r="F198" i="1"/>
  <c r="A199" i="1"/>
  <c r="B199" i="1"/>
  <c r="C199" i="1"/>
  <c r="D199" i="1"/>
  <c r="E199" i="1"/>
  <c r="F199" i="1"/>
  <c r="A200" i="1"/>
  <c r="B200" i="1"/>
  <c r="C200" i="1"/>
  <c r="D200" i="1"/>
  <c r="E200" i="1"/>
  <c r="F200" i="1"/>
  <c r="A201" i="1"/>
  <c r="B201" i="1"/>
  <c r="C201" i="1"/>
  <c r="D201" i="1"/>
  <c r="E201" i="1"/>
  <c r="F201" i="1"/>
  <c r="G201" i="1"/>
  <c r="A202" i="1"/>
  <c r="B202" i="1"/>
  <c r="C202" i="1"/>
  <c r="D202" i="1"/>
  <c r="E202" i="1"/>
  <c r="F202" i="1"/>
  <c r="A203" i="1"/>
  <c r="B203" i="1"/>
  <c r="C203" i="1"/>
  <c r="D203" i="1"/>
  <c r="E203" i="1"/>
  <c r="F203" i="1"/>
  <c r="A204" i="1"/>
  <c r="B204" i="1"/>
  <c r="C204" i="1"/>
  <c r="D204" i="1"/>
  <c r="E204" i="1"/>
  <c r="F204" i="1"/>
  <c r="G204" i="1"/>
  <c r="A205" i="1"/>
  <c r="B205" i="1"/>
  <c r="C205" i="1"/>
  <c r="D205" i="1"/>
  <c r="E205" i="1"/>
  <c r="F205" i="1"/>
  <c r="G205" i="1"/>
  <c r="A206" i="1"/>
  <c r="B206" i="1"/>
  <c r="C206" i="1"/>
  <c r="D206" i="1"/>
  <c r="E206" i="1"/>
  <c r="F206" i="1"/>
  <c r="G206" i="1"/>
  <c r="A207" i="1"/>
  <c r="B207" i="1"/>
  <c r="C207" i="1"/>
  <c r="D207" i="1"/>
  <c r="E207" i="1"/>
  <c r="F207" i="1"/>
  <c r="G207" i="1"/>
  <c r="A208" i="1"/>
  <c r="B208" i="1"/>
  <c r="C208" i="1"/>
  <c r="D208" i="1"/>
  <c r="E208" i="1"/>
  <c r="F208" i="1"/>
  <c r="B209" i="1"/>
  <c r="C209" i="1"/>
  <c r="D209" i="1"/>
  <c r="E209" i="1"/>
  <c r="F209" i="1"/>
  <c r="B210" i="1"/>
  <c r="D210" i="1"/>
  <c r="E210" i="1"/>
  <c r="F210" i="1"/>
  <c r="A211" i="1"/>
  <c r="B211" i="1"/>
  <c r="C211" i="1"/>
  <c r="D211" i="1"/>
  <c r="E211" i="1"/>
  <c r="F211" i="1"/>
  <c r="G211" i="1"/>
  <c r="A212" i="1"/>
  <c r="B212" i="1"/>
  <c r="C212" i="1"/>
  <c r="D212" i="1"/>
  <c r="E212" i="1"/>
  <c r="F212" i="1"/>
  <c r="A213" i="1"/>
  <c r="B213" i="1"/>
  <c r="C213" i="1"/>
  <c r="D213" i="1"/>
  <c r="E213" i="1"/>
  <c r="F213" i="1"/>
  <c r="A214" i="1"/>
  <c r="B214" i="1"/>
  <c r="C214" i="1"/>
  <c r="D214" i="1"/>
  <c r="E214" i="1"/>
  <c r="F214" i="1"/>
  <c r="A215" i="1"/>
  <c r="B215" i="1"/>
  <c r="C215" i="1"/>
  <c r="D215" i="1"/>
  <c r="F215" i="1"/>
  <c r="A216" i="1"/>
  <c r="B216" i="1"/>
  <c r="C216" i="1"/>
  <c r="D216" i="1"/>
  <c r="E216" i="1"/>
  <c r="F216" i="1"/>
  <c r="A217" i="1"/>
  <c r="B217" i="1"/>
  <c r="C217" i="1"/>
  <c r="D217" i="1"/>
  <c r="E217" i="1"/>
  <c r="F217" i="1"/>
  <c r="A218" i="1"/>
  <c r="B218" i="1"/>
  <c r="C218" i="1"/>
  <c r="D218" i="1"/>
  <c r="E218" i="1"/>
  <c r="F218" i="1"/>
  <c r="A219" i="1"/>
  <c r="B219" i="1"/>
  <c r="C219" i="1"/>
  <c r="D219" i="1"/>
  <c r="E219" i="1"/>
  <c r="F219" i="1"/>
  <c r="A220" i="1"/>
  <c r="B220" i="1"/>
  <c r="C220" i="1"/>
  <c r="D220" i="1"/>
  <c r="E220" i="1"/>
  <c r="F220" i="1"/>
  <c r="A221" i="1"/>
  <c r="B221" i="1"/>
  <c r="C221" i="1"/>
  <c r="D221" i="1"/>
  <c r="E221" i="1"/>
  <c r="F221" i="1"/>
  <c r="A222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F224" i="1"/>
  <c r="B225" i="1"/>
  <c r="C225" i="1"/>
  <c r="D225" i="1"/>
  <c r="F225" i="1"/>
  <c r="B226" i="1"/>
  <c r="D226" i="1"/>
  <c r="E226" i="1"/>
  <c r="F226" i="1"/>
  <c r="A227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F232" i="1"/>
  <c r="B233" i="1"/>
  <c r="C233" i="1"/>
  <c r="D233" i="1"/>
  <c r="F233" i="1"/>
  <c r="B234" i="1"/>
  <c r="C234" i="1"/>
  <c r="D234" i="1"/>
  <c r="F234" i="1"/>
  <c r="A235" i="1"/>
  <c r="B235" i="1"/>
  <c r="C235" i="1"/>
  <c r="D235" i="1"/>
  <c r="E235" i="1"/>
  <c r="F235" i="1"/>
  <c r="A236" i="1"/>
  <c r="B236" i="1"/>
  <c r="C236" i="1"/>
  <c r="D236" i="1"/>
  <c r="E236" i="1"/>
  <c r="F236" i="1"/>
  <c r="A237" i="1"/>
  <c r="B237" i="1"/>
  <c r="C237" i="1"/>
  <c r="D237" i="1"/>
  <c r="E237" i="1"/>
  <c r="F237" i="1"/>
  <c r="G237" i="1"/>
  <c r="A238" i="1"/>
  <c r="B238" i="1"/>
  <c r="C238" i="1"/>
  <c r="D238" i="1"/>
  <c r="E238" i="1"/>
  <c r="F238" i="1"/>
  <c r="A239" i="1"/>
  <c r="B239" i="1"/>
  <c r="C239" i="1"/>
  <c r="D239" i="1"/>
  <c r="E239" i="1"/>
  <c r="F239" i="1"/>
  <c r="A240" i="1"/>
  <c r="B240" i="1"/>
  <c r="C240" i="1"/>
  <c r="D240" i="1"/>
  <c r="E240" i="1"/>
  <c r="F240" i="1"/>
  <c r="A241" i="1"/>
  <c r="B241" i="1"/>
  <c r="C241" i="1"/>
  <c r="D241" i="1"/>
  <c r="F241" i="1"/>
  <c r="B242" i="1"/>
  <c r="C242" i="1"/>
  <c r="D242" i="1"/>
  <c r="F242" i="1"/>
  <c r="B243" i="1"/>
  <c r="C243" i="1"/>
  <c r="D243" i="1"/>
  <c r="E243" i="1"/>
  <c r="F243" i="1"/>
  <c r="B244" i="1"/>
  <c r="D244" i="1"/>
  <c r="E244" i="1"/>
  <c r="F244" i="1"/>
  <c r="A245" i="1"/>
  <c r="B245" i="1"/>
  <c r="C245" i="1"/>
  <c r="D245" i="1"/>
  <c r="E245" i="1"/>
  <c r="F245" i="1"/>
  <c r="G245" i="1"/>
  <c r="A246" i="1"/>
  <c r="B246" i="1"/>
  <c r="C246" i="1"/>
  <c r="D246" i="1"/>
  <c r="E246" i="1"/>
  <c r="F246" i="1"/>
  <c r="G246" i="1"/>
  <c r="A247" i="1"/>
  <c r="B247" i="1"/>
  <c r="C247" i="1"/>
  <c r="D247" i="1"/>
  <c r="E247" i="1"/>
  <c r="F247" i="1"/>
  <c r="G247" i="1"/>
  <c r="A248" i="1"/>
  <c r="B248" i="1"/>
  <c r="C248" i="1"/>
  <c r="D248" i="1"/>
  <c r="E248" i="1"/>
  <c r="F248" i="1"/>
  <c r="A249" i="1"/>
  <c r="B249" i="1"/>
  <c r="C249" i="1"/>
  <c r="D249" i="1"/>
  <c r="E249" i="1"/>
  <c r="F249" i="1"/>
  <c r="A250" i="1"/>
  <c r="B250" i="1"/>
  <c r="C250" i="1"/>
  <c r="D250" i="1"/>
  <c r="E250" i="1"/>
  <c r="F250" i="1"/>
  <c r="A251" i="1"/>
  <c r="B251" i="1"/>
  <c r="C251" i="1"/>
  <c r="D251" i="1"/>
  <c r="E251" i="1"/>
  <c r="F251" i="1"/>
  <c r="A252" i="1"/>
  <c r="B252" i="1"/>
  <c r="C252" i="1"/>
  <c r="D252" i="1"/>
  <c r="E252" i="1"/>
  <c r="F252" i="1"/>
  <c r="B253" i="1"/>
  <c r="C253" i="1"/>
  <c r="D253" i="1"/>
  <c r="E253" i="1"/>
  <c r="F253" i="1"/>
  <c r="G253" i="1"/>
  <c r="B254" i="1"/>
  <c r="D254" i="1"/>
  <c r="F254" i="1"/>
  <c r="A255" i="1"/>
  <c r="B255" i="1"/>
  <c r="C255" i="1"/>
  <c r="D255" i="1"/>
  <c r="E255" i="1"/>
  <c r="F255" i="1"/>
  <c r="A256" i="1"/>
  <c r="B256" i="1"/>
  <c r="C256" i="1"/>
  <c r="D256" i="1"/>
  <c r="E256" i="1"/>
  <c r="F256" i="1"/>
  <c r="G256" i="1"/>
  <c r="A257" i="1"/>
  <c r="B257" i="1"/>
  <c r="C257" i="1"/>
  <c r="D257" i="1"/>
  <c r="E257" i="1"/>
  <c r="F257" i="1"/>
  <c r="G257" i="1"/>
  <c r="A258" i="1"/>
  <c r="B258" i="1"/>
  <c r="C258" i="1"/>
  <c r="D258" i="1"/>
  <c r="E258" i="1"/>
  <c r="F258" i="1"/>
  <c r="A259" i="1"/>
  <c r="B259" i="1"/>
  <c r="C259" i="1"/>
  <c r="D259" i="1"/>
  <c r="E259" i="1"/>
  <c r="F259" i="1"/>
  <c r="A260" i="1"/>
  <c r="B260" i="1"/>
  <c r="C260" i="1"/>
  <c r="D260" i="1"/>
  <c r="E260" i="1"/>
  <c r="F260" i="1"/>
  <c r="G260" i="1"/>
  <c r="A261" i="1"/>
  <c r="B261" i="1"/>
  <c r="C261" i="1"/>
  <c r="D261" i="1"/>
  <c r="E261" i="1"/>
  <c r="F261" i="1"/>
  <c r="A262" i="1"/>
  <c r="B262" i="1"/>
  <c r="C262" i="1"/>
  <c r="D262" i="1"/>
  <c r="E262" i="1"/>
  <c r="F262" i="1"/>
  <c r="G262" i="1"/>
  <c r="A263" i="1"/>
  <c r="B263" i="1"/>
  <c r="C263" i="1"/>
  <c r="D263" i="1"/>
  <c r="E263" i="1"/>
  <c r="F263" i="1"/>
  <c r="G263" i="1"/>
  <c r="A264" i="1"/>
  <c r="B264" i="1"/>
  <c r="C264" i="1"/>
  <c r="D264" i="1"/>
  <c r="E264" i="1"/>
  <c r="F264" i="1"/>
  <c r="G264" i="1"/>
  <c r="A265" i="1"/>
  <c r="B265" i="1"/>
  <c r="C265" i="1"/>
  <c r="D265" i="1"/>
  <c r="E265" i="1"/>
  <c r="F265" i="1"/>
  <c r="A266" i="1"/>
  <c r="B266" i="1"/>
  <c r="C266" i="1"/>
  <c r="D266" i="1"/>
  <c r="E266" i="1"/>
  <c r="F266" i="1"/>
  <c r="A267" i="1"/>
  <c r="B267" i="1"/>
  <c r="C267" i="1"/>
  <c r="D267" i="1"/>
  <c r="E267" i="1"/>
  <c r="F267" i="1"/>
  <c r="G267" i="1"/>
  <c r="B268" i="1"/>
  <c r="C268" i="1"/>
  <c r="D268" i="1"/>
  <c r="F268" i="1"/>
  <c r="B269" i="1"/>
  <c r="C269" i="1"/>
  <c r="D269" i="1"/>
  <c r="E269" i="1"/>
  <c r="F269" i="1"/>
  <c r="A270" i="1"/>
  <c r="B270" i="1"/>
  <c r="C270" i="1"/>
  <c r="D270" i="1"/>
  <c r="E270" i="1"/>
  <c r="F270" i="1"/>
  <c r="A271" i="1"/>
  <c r="B271" i="1"/>
  <c r="C271" i="1"/>
  <c r="D271" i="1"/>
  <c r="E271" i="1"/>
  <c r="F271" i="1"/>
  <c r="A272" i="1"/>
  <c r="B272" i="1"/>
  <c r="C272" i="1"/>
  <c r="D272" i="1"/>
  <c r="E272" i="1"/>
  <c r="F272" i="1"/>
  <c r="A273" i="1"/>
  <c r="B273" i="1"/>
  <c r="C273" i="1"/>
  <c r="D273" i="1"/>
  <c r="E273" i="1"/>
  <c r="F273" i="1"/>
  <c r="G273" i="1"/>
  <c r="A274" i="1"/>
  <c r="B274" i="1"/>
  <c r="C274" i="1"/>
  <c r="D274" i="1"/>
  <c r="E274" i="1"/>
  <c r="F274" i="1"/>
  <c r="A275" i="1"/>
  <c r="B275" i="1"/>
  <c r="C275" i="1"/>
  <c r="D275" i="1"/>
  <c r="E275" i="1"/>
  <c r="F275" i="1"/>
  <c r="A276" i="1"/>
  <c r="B276" i="1"/>
  <c r="C276" i="1"/>
  <c r="D276" i="1"/>
  <c r="E276" i="1"/>
  <c r="F276" i="1"/>
  <c r="A277" i="1"/>
  <c r="B277" i="1"/>
  <c r="C277" i="1"/>
  <c r="D277" i="1"/>
  <c r="E277" i="1"/>
  <c r="F277" i="1"/>
  <c r="A278" i="1"/>
  <c r="B278" i="1"/>
  <c r="C278" i="1"/>
  <c r="D278" i="1"/>
  <c r="E278" i="1"/>
  <c r="F278" i="1"/>
  <c r="A279" i="1"/>
  <c r="B279" i="1"/>
  <c r="C279" i="1"/>
  <c r="D279" i="1"/>
  <c r="E279" i="1"/>
  <c r="F279" i="1"/>
  <c r="A280" i="1"/>
  <c r="B280" i="1"/>
  <c r="C280" i="1"/>
  <c r="D280" i="1"/>
  <c r="E280" i="1"/>
  <c r="F280" i="1"/>
  <c r="A281" i="1"/>
  <c r="B281" i="1"/>
  <c r="C281" i="1"/>
  <c r="D281" i="1"/>
  <c r="E281" i="1"/>
  <c r="F281" i="1"/>
  <c r="A282" i="1"/>
  <c r="B282" i="1"/>
  <c r="C282" i="1"/>
  <c r="D282" i="1"/>
  <c r="E282" i="1"/>
  <c r="F282" i="1"/>
  <c r="A283" i="1"/>
  <c r="B283" i="1"/>
  <c r="C283" i="1"/>
  <c r="D283" i="1"/>
  <c r="E283" i="1"/>
  <c r="F283" i="1"/>
  <c r="A284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F287" i="1"/>
  <c r="B288" i="1"/>
  <c r="C288" i="1"/>
  <c r="D288" i="1"/>
  <c r="F288" i="1"/>
  <c r="B289" i="1"/>
  <c r="C289" i="1"/>
  <c r="D289" i="1"/>
  <c r="E289" i="1"/>
  <c r="F289" i="1"/>
  <c r="G289" i="1"/>
  <c r="B290" i="1"/>
  <c r="D290" i="1"/>
  <c r="F290" i="1"/>
  <c r="A291" i="1"/>
  <c r="B291" i="1"/>
  <c r="C291" i="1"/>
  <c r="D291" i="1"/>
  <c r="E291" i="1"/>
  <c r="F291" i="1"/>
  <c r="A292" i="1"/>
  <c r="B292" i="1"/>
  <c r="C292" i="1"/>
  <c r="D292" i="1"/>
  <c r="E292" i="1"/>
  <c r="F292" i="1"/>
  <c r="G292" i="1"/>
  <c r="A293" i="1"/>
  <c r="B293" i="1"/>
  <c r="C293" i="1"/>
  <c r="D293" i="1"/>
  <c r="E293" i="1"/>
  <c r="F293" i="1"/>
  <c r="G293" i="1"/>
  <c r="A294" i="1"/>
  <c r="B294" i="1"/>
  <c r="C294" i="1"/>
  <c r="D294" i="1"/>
  <c r="E294" i="1"/>
  <c r="F294" i="1"/>
  <c r="G294" i="1"/>
  <c r="A295" i="1"/>
  <c r="B295" i="1"/>
  <c r="C295" i="1"/>
  <c r="D295" i="1"/>
  <c r="E295" i="1"/>
  <c r="F295" i="1"/>
  <c r="G295" i="1"/>
  <c r="A296" i="1"/>
  <c r="B296" i="1"/>
  <c r="C296" i="1"/>
  <c r="D296" i="1"/>
  <c r="E296" i="1"/>
  <c r="F296" i="1"/>
  <c r="G296" i="1"/>
  <c r="A297" i="1"/>
  <c r="B297" i="1"/>
  <c r="C297" i="1"/>
  <c r="D297" i="1"/>
  <c r="E297" i="1"/>
  <c r="F297" i="1"/>
  <c r="A298" i="1"/>
  <c r="B298" i="1"/>
  <c r="C298" i="1"/>
  <c r="D298" i="1"/>
  <c r="E298" i="1"/>
  <c r="F298" i="1"/>
  <c r="G298" i="1"/>
  <c r="A299" i="1"/>
  <c r="B299" i="1"/>
  <c r="C299" i="1"/>
  <c r="D299" i="1"/>
  <c r="E299" i="1"/>
  <c r="F299" i="1"/>
  <c r="G299" i="1"/>
  <c r="A300" i="1"/>
  <c r="B300" i="1"/>
  <c r="C300" i="1"/>
  <c r="D300" i="1"/>
  <c r="E300" i="1"/>
  <c r="F300" i="1"/>
  <c r="A301" i="1"/>
  <c r="B301" i="1"/>
  <c r="C301" i="1"/>
  <c r="D301" i="1"/>
  <c r="E301" i="1"/>
  <c r="F301" i="1"/>
  <c r="G301" i="1"/>
  <c r="A302" i="1"/>
  <c r="B302" i="1"/>
  <c r="C302" i="1"/>
  <c r="D302" i="1"/>
  <c r="E302" i="1"/>
  <c r="F302" i="1"/>
  <c r="G302" i="1"/>
  <c r="A303" i="1"/>
  <c r="B303" i="1"/>
  <c r="C303" i="1"/>
  <c r="D303" i="1"/>
  <c r="E303" i="1"/>
  <c r="F303" i="1"/>
  <c r="A304" i="1"/>
  <c r="B304" i="1"/>
  <c r="C304" i="1"/>
  <c r="D304" i="1"/>
  <c r="E304" i="1"/>
  <c r="F304" i="1"/>
  <c r="G304" i="1"/>
  <c r="A305" i="1"/>
  <c r="B305" i="1"/>
  <c r="C305" i="1"/>
  <c r="D305" i="1"/>
  <c r="E305" i="1"/>
  <c r="F305" i="1"/>
  <c r="G305" i="1"/>
  <c r="A306" i="1"/>
  <c r="B306" i="1"/>
  <c r="C306" i="1"/>
  <c r="D306" i="1"/>
  <c r="E306" i="1"/>
  <c r="F306" i="1"/>
  <c r="G306" i="1"/>
  <c r="A307" i="1"/>
  <c r="B307" i="1"/>
  <c r="C307" i="1"/>
  <c r="D307" i="1"/>
  <c r="E307" i="1"/>
  <c r="F307" i="1"/>
  <c r="G307" i="1"/>
  <c r="A308" i="1"/>
  <c r="B308" i="1"/>
  <c r="C308" i="1"/>
  <c r="D308" i="1"/>
  <c r="E308" i="1"/>
  <c r="F308" i="1"/>
  <c r="G308" i="1"/>
  <c r="A309" i="1"/>
  <c r="B309" i="1"/>
  <c r="C309" i="1"/>
  <c r="D309" i="1"/>
  <c r="E309" i="1"/>
  <c r="F309" i="1"/>
  <c r="G309" i="1"/>
  <c r="A310" i="1"/>
  <c r="B310" i="1"/>
  <c r="C310" i="1"/>
  <c r="D310" i="1"/>
  <c r="E310" i="1"/>
  <c r="F310" i="1"/>
  <c r="G310" i="1"/>
  <c r="A311" i="1"/>
  <c r="B311" i="1"/>
  <c r="C311" i="1"/>
  <c r="D311" i="1"/>
  <c r="E311" i="1"/>
  <c r="F311" i="1"/>
  <c r="A312" i="1"/>
  <c r="B312" i="1"/>
  <c r="C312" i="1"/>
  <c r="D312" i="1"/>
  <c r="E312" i="1"/>
  <c r="F312" i="1"/>
  <c r="G312" i="1"/>
  <c r="A313" i="1"/>
  <c r="B313" i="1"/>
  <c r="C313" i="1"/>
  <c r="D313" i="1"/>
  <c r="E313" i="1"/>
  <c r="F313" i="1"/>
  <c r="A314" i="1"/>
  <c r="B314" i="1"/>
  <c r="C314" i="1"/>
  <c r="D314" i="1"/>
  <c r="E314" i="1"/>
  <c r="F314" i="1"/>
  <c r="A315" i="1"/>
  <c r="B315" i="1"/>
  <c r="C315" i="1"/>
  <c r="D315" i="1"/>
  <c r="E315" i="1"/>
  <c r="F315" i="1"/>
  <c r="G315" i="1"/>
  <c r="A316" i="1"/>
  <c r="B316" i="1"/>
  <c r="C316" i="1"/>
  <c r="D316" i="1"/>
  <c r="E316" i="1"/>
  <c r="F316" i="1"/>
  <c r="A317" i="1"/>
  <c r="B317" i="1"/>
  <c r="C317" i="1"/>
  <c r="D317" i="1"/>
  <c r="E317" i="1"/>
  <c r="F317" i="1"/>
  <c r="A318" i="1"/>
  <c r="B318" i="1"/>
  <c r="C318" i="1"/>
  <c r="D318" i="1"/>
  <c r="E318" i="1"/>
  <c r="F318" i="1"/>
  <c r="A319" i="1"/>
  <c r="B319" i="1"/>
  <c r="C319" i="1"/>
  <c r="D319" i="1"/>
  <c r="E319" i="1"/>
  <c r="F319" i="1"/>
  <c r="G319" i="1"/>
  <c r="A320" i="1"/>
  <c r="B320" i="1"/>
  <c r="C320" i="1"/>
  <c r="D320" i="1"/>
  <c r="E320" i="1"/>
  <c r="F320" i="1"/>
  <c r="G320" i="1"/>
  <c r="A321" i="1"/>
  <c r="B321" i="1"/>
  <c r="C321" i="1"/>
  <c r="D321" i="1"/>
  <c r="E321" i="1"/>
  <c r="F321" i="1"/>
  <c r="A322" i="1"/>
  <c r="B322" i="1"/>
  <c r="C322" i="1"/>
  <c r="D322" i="1"/>
  <c r="E322" i="1"/>
  <c r="F322" i="1"/>
  <c r="A323" i="1"/>
  <c r="B323" i="1"/>
  <c r="C323" i="1"/>
  <c r="D323" i="1"/>
  <c r="E323" i="1"/>
  <c r="F323" i="1"/>
  <c r="A324" i="1"/>
  <c r="B324" i="1"/>
  <c r="C324" i="1"/>
  <c r="D324" i="1"/>
  <c r="E324" i="1"/>
  <c r="F324" i="1"/>
  <c r="G324" i="1"/>
  <c r="A325" i="1"/>
  <c r="B325" i="1"/>
  <c r="C325" i="1"/>
  <c r="D325" i="1"/>
  <c r="E325" i="1"/>
  <c r="F325" i="1"/>
  <c r="G325" i="1"/>
  <c r="A326" i="1"/>
  <c r="B326" i="1"/>
  <c r="C326" i="1"/>
  <c r="D326" i="1"/>
  <c r="E326" i="1"/>
  <c r="F326" i="1"/>
  <c r="G326" i="1"/>
  <c r="A327" i="1"/>
  <c r="B327" i="1"/>
  <c r="C327" i="1"/>
  <c r="D327" i="1"/>
  <c r="E327" i="1"/>
  <c r="F327" i="1"/>
  <c r="A328" i="1"/>
  <c r="B328" i="1"/>
  <c r="C328" i="1"/>
  <c r="D328" i="1"/>
  <c r="E328" i="1"/>
  <c r="F328" i="1"/>
  <c r="A329" i="1"/>
  <c r="B329" i="1"/>
  <c r="C329" i="1"/>
  <c r="D329" i="1"/>
  <c r="E329" i="1"/>
  <c r="F329" i="1"/>
  <c r="G329" i="1"/>
  <c r="A330" i="1"/>
  <c r="B330" i="1"/>
  <c r="C330" i="1"/>
  <c r="D330" i="1"/>
  <c r="F330" i="1"/>
  <c r="A331" i="1"/>
  <c r="B331" i="1"/>
  <c r="C331" i="1"/>
  <c r="D331" i="1"/>
  <c r="E331" i="1"/>
  <c r="F331" i="1"/>
  <c r="A332" i="1"/>
  <c r="B332" i="1"/>
  <c r="C332" i="1"/>
  <c r="D332" i="1"/>
  <c r="E332" i="1"/>
  <c r="F332" i="1"/>
  <c r="A333" i="1"/>
  <c r="B333" i="1"/>
  <c r="C333" i="1"/>
  <c r="D333" i="1"/>
  <c r="E333" i="1"/>
  <c r="F333" i="1"/>
  <c r="A334" i="1"/>
  <c r="B334" i="1"/>
  <c r="C334" i="1"/>
  <c r="D334" i="1"/>
  <c r="E334" i="1"/>
  <c r="F334" i="1"/>
  <c r="G334" i="1"/>
  <c r="A335" i="1"/>
  <c r="B335" i="1"/>
  <c r="C335" i="1"/>
  <c r="D335" i="1"/>
  <c r="E335" i="1"/>
  <c r="F335" i="1"/>
  <c r="A336" i="1"/>
  <c r="B336" i="1"/>
  <c r="C336" i="1"/>
  <c r="D336" i="1"/>
  <c r="E336" i="1"/>
  <c r="F336" i="1"/>
  <c r="A337" i="1"/>
  <c r="B337" i="1"/>
  <c r="C337" i="1"/>
  <c r="D337" i="1"/>
  <c r="E337" i="1"/>
  <c r="F337" i="1"/>
  <c r="A338" i="1"/>
  <c r="B338" i="1"/>
  <c r="C338" i="1"/>
  <c r="D338" i="1"/>
  <c r="E338" i="1"/>
  <c r="F338" i="1"/>
  <c r="A339" i="1"/>
  <c r="B339" i="1"/>
  <c r="C339" i="1"/>
  <c r="D339" i="1"/>
  <c r="E339" i="1"/>
  <c r="F339" i="1"/>
  <c r="G339" i="1"/>
  <c r="A340" i="1"/>
  <c r="B340" i="1"/>
  <c r="C340" i="1"/>
  <c r="D340" i="1"/>
  <c r="E340" i="1"/>
  <c r="F340" i="1"/>
  <c r="G340" i="1"/>
  <c r="A341" i="1"/>
  <c r="B341" i="1"/>
  <c r="C341" i="1"/>
  <c r="D341" i="1"/>
  <c r="E341" i="1"/>
  <c r="F341" i="1"/>
  <c r="G341" i="1"/>
  <c r="A342" i="1"/>
  <c r="B342" i="1"/>
  <c r="C342" i="1"/>
  <c r="D342" i="1"/>
  <c r="E342" i="1"/>
  <c r="F342" i="1"/>
  <c r="G342" i="1"/>
  <c r="A343" i="1"/>
  <c r="B343" i="1"/>
  <c r="C343" i="1"/>
  <c r="D343" i="1"/>
  <c r="E343" i="1"/>
  <c r="F343" i="1"/>
  <c r="A344" i="1"/>
  <c r="B344" i="1"/>
  <c r="C344" i="1"/>
  <c r="D344" i="1"/>
  <c r="E344" i="1"/>
  <c r="F344" i="1"/>
  <c r="A345" i="1"/>
  <c r="B345" i="1"/>
  <c r="C345" i="1"/>
  <c r="D345" i="1"/>
  <c r="E345" i="1"/>
  <c r="F345" i="1"/>
  <c r="A346" i="1"/>
  <c r="B346" i="1"/>
  <c r="C346" i="1"/>
  <c r="D346" i="1"/>
  <c r="E346" i="1"/>
  <c r="F346" i="1"/>
  <c r="A347" i="1"/>
  <c r="B347" i="1"/>
  <c r="C347" i="1"/>
  <c r="D347" i="1"/>
  <c r="E347" i="1"/>
  <c r="F347" i="1"/>
  <c r="G347" i="1"/>
  <c r="B348" i="1"/>
  <c r="C348" i="1"/>
  <c r="D348" i="1"/>
  <c r="E348" i="1"/>
  <c r="F348" i="1"/>
  <c r="A349" i="1"/>
  <c r="B349" i="1"/>
  <c r="C349" i="1"/>
  <c r="D349" i="1"/>
  <c r="E349" i="1"/>
  <c r="F349" i="1"/>
  <c r="A350" i="1"/>
  <c r="B350" i="1"/>
  <c r="C350" i="1"/>
  <c r="D350" i="1"/>
  <c r="E350" i="1"/>
  <c r="F350" i="1"/>
  <c r="G350" i="1"/>
  <c r="A351" i="1"/>
  <c r="B351" i="1"/>
  <c r="C351" i="1"/>
  <c r="D351" i="1"/>
  <c r="E351" i="1"/>
  <c r="F351" i="1"/>
  <c r="G351" i="1"/>
  <c r="A352" i="1"/>
  <c r="B352" i="1"/>
  <c r="C352" i="1"/>
  <c r="D352" i="1"/>
  <c r="E352" i="1"/>
  <c r="F352" i="1"/>
  <c r="A353" i="1"/>
  <c r="B353" i="1"/>
  <c r="C353" i="1"/>
  <c r="D353" i="1"/>
  <c r="E353" i="1"/>
  <c r="F353" i="1"/>
  <c r="A354" i="1"/>
  <c r="B354" i="1"/>
  <c r="C354" i="1"/>
  <c r="D354" i="1"/>
  <c r="E354" i="1"/>
  <c r="F354" i="1"/>
  <c r="A355" i="1"/>
  <c r="B355" i="1"/>
  <c r="C355" i="1"/>
  <c r="D355" i="1"/>
  <c r="E355" i="1"/>
  <c r="F355" i="1"/>
  <c r="A356" i="1"/>
  <c r="B356" i="1"/>
  <c r="C356" i="1"/>
  <c r="D356" i="1"/>
  <c r="E356" i="1"/>
  <c r="F356" i="1"/>
  <c r="G356" i="1"/>
  <c r="A357" i="1"/>
  <c r="B357" i="1"/>
  <c r="C357" i="1"/>
  <c r="D357" i="1"/>
  <c r="E357" i="1"/>
  <c r="F357" i="1"/>
  <c r="A358" i="1"/>
  <c r="B358" i="1"/>
  <c r="C358" i="1"/>
  <c r="D358" i="1"/>
  <c r="E358" i="1"/>
  <c r="F358" i="1"/>
  <c r="A359" i="1"/>
  <c r="B359" i="1"/>
  <c r="C359" i="1"/>
  <c r="D359" i="1"/>
  <c r="E359" i="1"/>
  <c r="F359" i="1"/>
  <c r="A360" i="1"/>
  <c r="B360" i="1"/>
  <c r="C360" i="1"/>
  <c r="D360" i="1"/>
  <c r="E360" i="1"/>
  <c r="F360" i="1"/>
  <c r="A361" i="1"/>
  <c r="B361" i="1"/>
  <c r="C361" i="1"/>
  <c r="D361" i="1"/>
  <c r="E361" i="1"/>
  <c r="F361" i="1"/>
  <c r="G361" i="1"/>
  <c r="B362" i="1"/>
  <c r="D362" i="1"/>
  <c r="F362" i="1"/>
  <c r="A363" i="1"/>
  <c r="B363" i="1"/>
  <c r="C363" i="1"/>
  <c r="D363" i="1"/>
  <c r="E363" i="1"/>
  <c r="F363" i="1"/>
  <c r="A364" i="1"/>
  <c r="B364" i="1"/>
  <c r="C364" i="1"/>
  <c r="D364" i="1"/>
  <c r="E364" i="1"/>
  <c r="F364" i="1"/>
  <c r="A365" i="1"/>
  <c r="B365" i="1"/>
  <c r="C365" i="1"/>
  <c r="D365" i="1"/>
  <c r="E365" i="1"/>
  <c r="F365" i="1"/>
  <c r="A366" i="1"/>
  <c r="B366" i="1"/>
  <c r="C366" i="1"/>
  <c r="D366" i="1"/>
  <c r="E366" i="1"/>
  <c r="F366" i="1"/>
  <c r="A367" i="1"/>
  <c r="B367" i="1"/>
  <c r="C367" i="1"/>
  <c r="D367" i="1"/>
  <c r="E367" i="1"/>
  <c r="F367" i="1"/>
  <c r="A368" i="1"/>
  <c r="B368" i="1"/>
  <c r="C368" i="1"/>
  <c r="D368" i="1"/>
  <c r="E368" i="1"/>
  <c r="F368" i="1"/>
  <c r="G368" i="1"/>
  <c r="B369" i="1"/>
  <c r="C369" i="1"/>
  <c r="D369" i="1"/>
  <c r="E369" i="1"/>
  <c r="F369" i="1"/>
  <c r="B370" i="1"/>
  <c r="C370" i="1"/>
  <c r="D370" i="1"/>
  <c r="E370" i="1"/>
  <c r="F370" i="1"/>
  <c r="G370" i="1"/>
  <c r="B371" i="1"/>
  <c r="C371" i="1"/>
  <c r="D371" i="1"/>
  <c r="E371" i="1"/>
  <c r="F371" i="1"/>
  <c r="A372" i="1"/>
  <c r="B372" i="1"/>
  <c r="C372" i="1"/>
  <c r="D372" i="1"/>
  <c r="E372" i="1"/>
  <c r="F372" i="1"/>
  <c r="A373" i="1"/>
  <c r="B373" i="1"/>
  <c r="C373" i="1"/>
  <c r="D373" i="1"/>
  <c r="E373" i="1"/>
  <c r="F373" i="1"/>
  <c r="G373" i="1"/>
  <c r="B374" i="1"/>
  <c r="C374" i="1"/>
  <c r="D374" i="1"/>
  <c r="F374" i="1"/>
  <c r="B375" i="1"/>
  <c r="C375" i="1"/>
  <c r="D375" i="1"/>
  <c r="F375" i="1"/>
  <c r="A376" i="1"/>
  <c r="B376" i="1"/>
  <c r="C376" i="1"/>
  <c r="D376" i="1"/>
  <c r="E376" i="1"/>
  <c r="F376" i="1"/>
  <c r="G376" i="1"/>
  <c r="A377" i="1"/>
  <c r="B377" i="1"/>
  <c r="C377" i="1"/>
  <c r="D377" i="1"/>
  <c r="E377" i="1"/>
  <c r="F377" i="1"/>
  <c r="B378" i="1"/>
  <c r="C378" i="1"/>
  <c r="D378" i="1"/>
  <c r="F378" i="1"/>
  <c r="B379" i="1"/>
  <c r="D379" i="1"/>
  <c r="E379" i="1"/>
  <c r="F379" i="1"/>
  <c r="G379" i="1"/>
  <c r="A380" i="1"/>
  <c r="B380" i="1"/>
  <c r="C380" i="1"/>
  <c r="D380" i="1"/>
  <c r="E380" i="1"/>
  <c r="F380" i="1"/>
  <c r="A381" i="1"/>
  <c r="B381" i="1"/>
  <c r="C381" i="1"/>
  <c r="D381" i="1"/>
  <c r="E381" i="1"/>
  <c r="F381" i="1"/>
  <c r="A382" i="1"/>
  <c r="B382" i="1"/>
  <c r="C382" i="1"/>
  <c r="D382" i="1"/>
  <c r="E382" i="1"/>
  <c r="F382" i="1"/>
  <c r="A383" i="1"/>
  <c r="B383" i="1"/>
  <c r="C383" i="1"/>
  <c r="D383" i="1"/>
  <c r="E383" i="1"/>
  <c r="F383" i="1"/>
  <c r="A384" i="1"/>
  <c r="B384" i="1"/>
  <c r="C384" i="1"/>
  <c r="D384" i="1"/>
  <c r="E384" i="1"/>
  <c r="F384" i="1"/>
  <c r="A385" i="1"/>
  <c r="B385" i="1"/>
  <c r="C385" i="1"/>
  <c r="D385" i="1"/>
  <c r="E385" i="1"/>
  <c r="F385" i="1"/>
  <c r="A386" i="1"/>
  <c r="B386" i="1"/>
  <c r="C386" i="1"/>
  <c r="D386" i="1"/>
  <c r="E386" i="1"/>
  <c r="F386" i="1"/>
  <c r="A387" i="1"/>
  <c r="B387" i="1"/>
  <c r="C387" i="1"/>
  <c r="D387" i="1"/>
  <c r="E387" i="1"/>
  <c r="F387" i="1"/>
  <c r="A388" i="1"/>
  <c r="B388" i="1"/>
  <c r="C388" i="1"/>
  <c r="D388" i="1"/>
  <c r="E388" i="1"/>
  <c r="F388" i="1"/>
  <c r="G388" i="1"/>
  <c r="A389" i="1"/>
  <c r="B389" i="1"/>
  <c r="C389" i="1"/>
  <c r="D389" i="1"/>
  <c r="E389" i="1"/>
  <c r="F389" i="1"/>
  <c r="G389" i="1"/>
  <c r="A390" i="1"/>
  <c r="B390" i="1"/>
  <c r="C390" i="1"/>
  <c r="D390" i="1"/>
  <c r="E390" i="1"/>
  <c r="F390" i="1"/>
  <c r="A391" i="1"/>
  <c r="B391" i="1"/>
  <c r="C391" i="1"/>
  <c r="D391" i="1"/>
  <c r="E391" i="1"/>
  <c r="F391" i="1"/>
  <c r="A392" i="1"/>
  <c r="B392" i="1"/>
  <c r="C392" i="1"/>
  <c r="D392" i="1"/>
  <c r="E392" i="1"/>
  <c r="F392" i="1"/>
  <c r="B393" i="1"/>
  <c r="C393" i="1"/>
  <c r="D393" i="1"/>
  <c r="E393" i="1"/>
  <c r="F393" i="1"/>
  <c r="G393" i="1"/>
  <c r="A394" i="1"/>
  <c r="B394" i="1"/>
  <c r="C394" i="1"/>
  <c r="D394" i="1"/>
  <c r="E394" i="1"/>
  <c r="F394" i="1"/>
  <c r="A395" i="1"/>
  <c r="B395" i="1"/>
  <c r="C395" i="1"/>
  <c r="D395" i="1"/>
  <c r="E395" i="1"/>
  <c r="F395" i="1"/>
  <c r="A396" i="1"/>
  <c r="B396" i="1"/>
  <c r="C396" i="1"/>
  <c r="D396" i="1"/>
  <c r="E396" i="1"/>
  <c r="F396" i="1"/>
  <c r="A397" i="1"/>
  <c r="B397" i="1"/>
  <c r="C397" i="1"/>
  <c r="D397" i="1"/>
  <c r="E397" i="1"/>
  <c r="F397" i="1"/>
  <c r="A398" i="1"/>
  <c r="B398" i="1"/>
  <c r="C398" i="1"/>
  <c r="D398" i="1"/>
  <c r="E398" i="1"/>
  <c r="F398" i="1"/>
  <c r="B399" i="1"/>
  <c r="C399" i="1"/>
  <c r="D399" i="1"/>
  <c r="F399" i="1"/>
  <c r="B400" i="1"/>
  <c r="C400" i="1"/>
  <c r="D400" i="1"/>
  <c r="F400" i="1"/>
  <c r="B401" i="1"/>
  <c r="C401" i="1"/>
  <c r="D401" i="1"/>
  <c r="F401" i="1"/>
  <c r="B402" i="1"/>
  <c r="C402" i="1"/>
  <c r="D402" i="1"/>
  <c r="F402" i="1"/>
  <c r="B403" i="1"/>
  <c r="C403" i="1"/>
  <c r="D403" i="1"/>
  <c r="F403" i="1"/>
  <c r="B404" i="1"/>
  <c r="C404" i="1"/>
  <c r="D404" i="1"/>
  <c r="F404" i="1"/>
  <c r="B405" i="1"/>
  <c r="C405" i="1"/>
  <c r="D405" i="1"/>
  <c r="F405" i="1"/>
  <c r="B406" i="1"/>
  <c r="C406" i="1"/>
  <c r="D406" i="1"/>
  <c r="F406" i="1"/>
  <c r="B407" i="1"/>
  <c r="C407" i="1"/>
  <c r="D407" i="1"/>
  <c r="F407" i="1"/>
  <c r="B408" i="1"/>
  <c r="C408" i="1"/>
  <c r="D408" i="1"/>
  <c r="F408" i="1"/>
  <c r="B409" i="1"/>
  <c r="C409" i="1"/>
  <c r="D409" i="1"/>
  <c r="F409" i="1"/>
  <c r="B410" i="1"/>
  <c r="C410" i="1"/>
  <c r="D410" i="1"/>
  <c r="F410" i="1"/>
  <c r="B411" i="1"/>
  <c r="C411" i="1"/>
  <c r="D411" i="1"/>
  <c r="F411" i="1"/>
  <c r="B412" i="1"/>
  <c r="C412" i="1"/>
  <c r="D412" i="1"/>
  <c r="F412" i="1"/>
  <c r="B413" i="1"/>
  <c r="C413" i="1"/>
  <c r="D413" i="1"/>
  <c r="F413" i="1"/>
  <c r="B414" i="1"/>
  <c r="C414" i="1"/>
  <c r="D414" i="1"/>
  <c r="F414" i="1"/>
  <c r="B415" i="1"/>
  <c r="C415" i="1"/>
  <c r="D415" i="1"/>
  <c r="E415" i="1"/>
  <c r="F415" i="1"/>
  <c r="G415" i="1"/>
  <c r="B416" i="1"/>
  <c r="C416" i="1"/>
  <c r="D416" i="1"/>
  <c r="E416" i="1"/>
  <c r="F416" i="1"/>
  <c r="G416" i="1"/>
  <c r="B417" i="1"/>
  <c r="D417" i="1"/>
  <c r="F417" i="1"/>
  <c r="A418" i="1"/>
  <c r="B418" i="1"/>
  <c r="C418" i="1"/>
  <c r="D418" i="1"/>
  <c r="E418" i="1"/>
  <c r="F418" i="1"/>
  <c r="A419" i="1"/>
  <c r="B419" i="1"/>
  <c r="C419" i="1"/>
  <c r="D419" i="1"/>
  <c r="E419" i="1"/>
  <c r="F419" i="1"/>
  <c r="A420" i="1"/>
  <c r="B420" i="1"/>
  <c r="C420" i="1"/>
  <c r="D420" i="1"/>
  <c r="E420" i="1"/>
  <c r="F420" i="1"/>
  <c r="G420" i="1"/>
  <c r="A421" i="1"/>
  <c r="B421" i="1"/>
  <c r="C421" i="1"/>
  <c r="D421" i="1"/>
  <c r="E421" i="1"/>
  <c r="F421" i="1"/>
  <c r="B422" i="1"/>
  <c r="C422" i="1"/>
  <c r="D422" i="1"/>
  <c r="F422" i="1"/>
  <c r="A423" i="1"/>
  <c r="B423" i="1"/>
  <c r="C423" i="1"/>
  <c r="D423" i="1"/>
  <c r="E423" i="1"/>
  <c r="F423" i="1"/>
  <c r="G423" i="1"/>
  <c r="A424" i="1"/>
  <c r="B424" i="1"/>
  <c r="C424" i="1"/>
  <c r="D424" i="1"/>
  <c r="E424" i="1"/>
  <c r="F424" i="1"/>
  <c r="A425" i="1"/>
  <c r="B425" i="1"/>
  <c r="C425" i="1"/>
  <c r="D425" i="1"/>
  <c r="E425" i="1"/>
  <c r="F425" i="1"/>
  <c r="A426" i="1"/>
  <c r="B426" i="1"/>
  <c r="C426" i="1"/>
  <c r="D426" i="1"/>
  <c r="E426" i="1"/>
  <c r="F426" i="1"/>
  <c r="G426" i="1"/>
  <c r="A427" i="1"/>
  <c r="B427" i="1"/>
  <c r="C427" i="1"/>
  <c r="D427" i="1"/>
  <c r="E427" i="1"/>
  <c r="F427" i="1"/>
  <c r="A428" i="1"/>
  <c r="B428" i="1"/>
  <c r="C428" i="1"/>
  <c r="D428" i="1"/>
  <c r="E428" i="1"/>
  <c r="F428" i="1"/>
  <c r="A429" i="1"/>
  <c r="B429" i="1"/>
  <c r="C429" i="1"/>
  <c r="D429" i="1"/>
  <c r="E429" i="1"/>
  <c r="F429" i="1"/>
  <c r="A430" i="1"/>
  <c r="B430" i="1"/>
  <c r="C430" i="1"/>
  <c r="D430" i="1"/>
  <c r="E430" i="1"/>
  <c r="F430" i="1"/>
  <c r="A431" i="1"/>
  <c r="B431" i="1"/>
  <c r="C431" i="1"/>
  <c r="D431" i="1"/>
  <c r="F431" i="1"/>
  <c r="B432" i="1"/>
  <c r="D432" i="1"/>
  <c r="F432" i="1"/>
  <c r="A433" i="1"/>
  <c r="B433" i="1"/>
  <c r="C433" i="1"/>
  <c r="D433" i="1"/>
  <c r="E433" i="1"/>
  <c r="F433" i="1"/>
  <c r="G433" i="1"/>
  <c r="A434" i="1"/>
  <c r="B434" i="1"/>
  <c r="C434" i="1"/>
  <c r="D434" i="1"/>
  <c r="E434" i="1"/>
  <c r="F434" i="1"/>
  <c r="G434" i="1"/>
  <c r="A435" i="1"/>
  <c r="B435" i="1"/>
  <c r="C435" i="1"/>
  <c r="D435" i="1"/>
  <c r="E435" i="1"/>
  <c r="F435" i="1"/>
  <c r="A436" i="1"/>
  <c r="B436" i="1"/>
  <c r="C436" i="1"/>
  <c r="D436" i="1"/>
  <c r="E436" i="1"/>
  <c r="F436" i="1"/>
  <c r="A437" i="1"/>
  <c r="B437" i="1"/>
  <c r="C437" i="1"/>
  <c r="D437" i="1"/>
  <c r="E437" i="1"/>
  <c r="F437" i="1"/>
  <c r="A438" i="1"/>
  <c r="B438" i="1"/>
  <c r="C438" i="1"/>
  <c r="D438" i="1"/>
  <c r="E438" i="1"/>
  <c r="F438" i="1"/>
  <c r="A439" i="1"/>
  <c r="B439" i="1"/>
  <c r="C439" i="1"/>
  <c r="D439" i="1"/>
  <c r="E439" i="1"/>
  <c r="F439" i="1"/>
  <c r="B440" i="1"/>
  <c r="C440" i="1"/>
  <c r="D440" i="1"/>
  <c r="E440" i="1"/>
  <c r="F440" i="1"/>
  <c r="A441" i="1"/>
  <c r="B441" i="1"/>
  <c r="C441" i="1"/>
  <c r="D441" i="1"/>
  <c r="E441" i="1"/>
  <c r="F441" i="1"/>
  <c r="A442" i="1"/>
  <c r="B442" i="1"/>
  <c r="C442" i="1"/>
  <c r="D442" i="1"/>
  <c r="E442" i="1"/>
  <c r="F442" i="1"/>
  <c r="A443" i="1"/>
  <c r="B443" i="1"/>
  <c r="C443" i="1"/>
  <c r="D443" i="1"/>
  <c r="E443" i="1"/>
  <c r="F443" i="1"/>
  <c r="A444" i="1"/>
  <c r="B444" i="1"/>
  <c r="C444" i="1"/>
  <c r="D444" i="1"/>
  <c r="E444" i="1"/>
  <c r="F444" i="1"/>
  <c r="A445" i="1"/>
  <c r="B445" i="1"/>
  <c r="C445" i="1"/>
  <c r="D445" i="1"/>
  <c r="E445" i="1"/>
  <c r="F445" i="1"/>
  <c r="A446" i="1"/>
  <c r="B446" i="1"/>
  <c r="C446" i="1"/>
  <c r="D446" i="1"/>
  <c r="E446" i="1"/>
  <c r="F446" i="1"/>
  <c r="B447" i="1"/>
  <c r="C447" i="1"/>
  <c r="D447" i="1"/>
  <c r="E447" i="1"/>
  <c r="F447" i="1"/>
  <c r="G447" i="1"/>
  <c r="A448" i="1"/>
  <c r="B448" i="1"/>
  <c r="C448" i="1"/>
  <c r="D448" i="1"/>
  <c r="E448" i="1"/>
  <c r="F448" i="1"/>
  <c r="A449" i="1"/>
  <c r="B449" i="1"/>
  <c r="C449" i="1"/>
  <c r="D449" i="1"/>
  <c r="E449" i="1"/>
  <c r="F449" i="1"/>
  <c r="A450" i="1"/>
  <c r="B450" i="1"/>
  <c r="C450" i="1"/>
  <c r="D450" i="1"/>
  <c r="E450" i="1"/>
  <c r="F450" i="1"/>
  <c r="A451" i="1"/>
  <c r="B451" i="1"/>
  <c r="C451" i="1"/>
  <c r="D451" i="1"/>
  <c r="E451" i="1"/>
  <c r="F451" i="1"/>
  <c r="G451" i="1"/>
  <c r="A452" i="1"/>
  <c r="B452" i="1"/>
  <c r="C452" i="1"/>
  <c r="D452" i="1"/>
  <c r="E452" i="1"/>
  <c r="F452" i="1"/>
  <c r="A453" i="1"/>
  <c r="B453" i="1"/>
  <c r="C453" i="1"/>
  <c r="D453" i="1"/>
  <c r="E453" i="1"/>
  <c r="F453" i="1"/>
  <c r="A454" i="1"/>
  <c r="B454" i="1"/>
  <c r="C454" i="1"/>
  <c r="D454" i="1"/>
  <c r="E454" i="1"/>
  <c r="F454" i="1"/>
  <c r="A455" i="1"/>
  <c r="B455" i="1"/>
  <c r="C455" i="1"/>
  <c r="D455" i="1"/>
  <c r="E455" i="1"/>
  <c r="F455" i="1"/>
  <c r="A456" i="1"/>
  <c r="B456" i="1"/>
  <c r="C456" i="1"/>
  <c r="D456" i="1"/>
  <c r="E456" i="1"/>
  <c r="F456" i="1"/>
  <c r="A457" i="1"/>
  <c r="B457" i="1"/>
  <c r="C457" i="1"/>
  <c r="D457" i="1"/>
  <c r="E457" i="1"/>
  <c r="F457" i="1"/>
  <c r="G457" i="1"/>
  <c r="A458" i="1"/>
  <c r="B458" i="1"/>
  <c r="C458" i="1"/>
  <c r="D458" i="1"/>
  <c r="E458" i="1"/>
  <c r="F458" i="1"/>
  <c r="G458" i="1"/>
  <c r="A459" i="1"/>
  <c r="B459" i="1"/>
  <c r="C459" i="1"/>
  <c r="D459" i="1"/>
  <c r="E459" i="1"/>
  <c r="F459" i="1"/>
  <c r="A460" i="1"/>
  <c r="B460" i="1"/>
  <c r="C460" i="1"/>
  <c r="D460" i="1"/>
  <c r="E460" i="1"/>
  <c r="F460" i="1"/>
  <c r="G460" i="1"/>
  <c r="A461" i="1"/>
  <c r="B461" i="1"/>
  <c r="C461" i="1"/>
  <c r="D461" i="1"/>
  <c r="E461" i="1"/>
  <c r="F461" i="1"/>
  <c r="A462" i="1"/>
  <c r="B462" i="1"/>
  <c r="C462" i="1"/>
  <c r="D462" i="1"/>
  <c r="E462" i="1"/>
  <c r="F462" i="1"/>
  <c r="A463" i="1"/>
  <c r="B463" i="1"/>
  <c r="C463" i="1"/>
  <c r="D463" i="1"/>
  <c r="E463" i="1"/>
  <c r="F463" i="1"/>
  <c r="B464" i="1"/>
  <c r="C464" i="1"/>
  <c r="D464" i="1"/>
  <c r="E464" i="1"/>
  <c r="F464" i="1"/>
  <c r="B465" i="1"/>
  <c r="C465" i="1"/>
  <c r="D465" i="1"/>
  <c r="E465" i="1"/>
  <c r="F465" i="1"/>
  <c r="B466" i="1"/>
  <c r="C466" i="1"/>
  <c r="D466" i="1"/>
  <c r="E466" i="1"/>
  <c r="F466" i="1"/>
  <c r="G466" i="1"/>
  <c r="B467" i="1"/>
  <c r="D467" i="1"/>
  <c r="F467" i="1"/>
  <c r="B468" i="1"/>
  <c r="D468" i="1"/>
  <c r="E468" i="1"/>
  <c r="F468" i="1"/>
  <c r="B469" i="1"/>
  <c r="D469" i="1"/>
  <c r="F469" i="1"/>
  <c r="B470" i="1"/>
  <c r="C470" i="1"/>
  <c r="D470" i="1"/>
  <c r="F470" i="1"/>
  <c r="A471" i="1"/>
  <c r="B471" i="1"/>
  <c r="C471" i="1"/>
  <c r="D471" i="1"/>
  <c r="E471" i="1"/>
  <c r="F471" i="1"/>
  <c r="A472" i="1"/>
  <c r="B472" i="1"/>
  <c r="C472" i="1"/>
  <c r="D472" i="1"/>
  <c r="E472" i="1"/>
  <c r="F472" i="1"/>
  <c r="A473" i="1"/>
  <c r="B473" i="1"/>
  <c r="C473" i="1"/>
  <c r="D473" i="1"/>
  <c r="E473" i="1"/>
  <c r="F473" i="1"/>
  <c r="B474" i="1"/>
  <c r="C474" i="1"/>
  <c r="D474" i="1"/>
  <c r="F474" i="1"/>
  <c r="B475" i="1"/>
  <c r="C475" i="1"/>
  <c r="D475" i="1"/>
  <c r="F475" i="1"/>
  <c r="B476" i="1"/>
  <c r="C476" i="1"/>
  <c r="D476" i="1"/>
  <c r="F476" i="1"/>
  <c r="A477" i="1"/>
  <c r="B477" i="1"/>
  <c r="C477" i="1"/>
  <c r="D477" i="1"/>
  <c r="E477" i="1"/>
  <c r="F477" i="1"/>
  <c r="A478" i="1"/>
  <c r="B478" i="1"/>
  <c r="C478" i="1"/>
  <c r="D478" i="1"/>
  <c r="E478" i="1"/>
  <c r="F478" i="1"/>
  <c r="A479" i="1"/>
  <c r="B479" i="1"/>
  <c r="C479" i="1"/>
  <c r="D479" i="1"/>
  <c r="E479" i="1"/>
  <c r="F479" i="1"/>
  <c r="B480" i="1"/>
  <c r="C480" i="1"/>
  <c r="D480" i="1"/>
  <c r="F480" i="1"/>
  <c r="B481" i="1"/>
  <c r="C481" i="1"/>
  <c r="D481" i="1"/>
  <c r="E481" i="1"/>
  <c r="F481" i="1"/>
  <c r="B482" i="1"/>
  <c r="C482" i="1"/>
  <c r="D482" i="1"/>
  <c r="F482" i="1"/>
  <c r="A483" i="1"/>
  <c r="B483" i="1"/>
  <c r="C483" i="1"/>
  <c r="D483" i="1"/>
  <c r="E483" i="1"/>
  <c r="F483" i="1"/>
  <c r="G483" i="1"/>
  <c r="A484" i="1"/>
  <c r="B484" i="1"/>
  <c r="C484" i="1"/>
  <c r="D484" i="1"/>
  <c r="E484" i="1"/>
  <c r="F484" i="1"/>
  <c r="A485" i="1"/>
  <c r="B485" i="1"/>
  <c r="C485" i="1"/>
  <c r="D485" i="1"/>
  <c r="E485" i="1"/>
  <c r="F485" i="1"/>
  <c r="A486" i="1"/>
  <c r="B486" i="1"/>
  <c r="C486" i="1"/>
  <c r="D486" i="1"/>
  <c r="E486" i="1"/>
  <c r="F486" i="1"/>
  <c r="A487" i="1"/>
  <c r="B487" i="1"/>
  <c r="C487" i="1"/>
  <c r="D487" i="1"/>
  <c r="E487" i="1"/>
  <c r="F487" i="1"/>
  <c r="A488" i="1"/>
  <c r="B488" i="1"/>
  <c r="C488" i="1"/>
  <c r="D488" i="1"/>
  <c r="E488" i="1"/>
  <c r="F488" i="1"/>
  <c r="A489" i="1"/>
  <c r="B489" i="1"/>
  <c r="C489" i="1"/>
  <c r="D489" i="1"/>
  <c r="E489" i="1"/>
  <c r="F489" i="1"/>
  <c r="B490" i="1"/>
  <c r="C490" i="1"/>
  <c r="D490" i="1"/>
  <c r="E490" i="1"/>
  <c r="F490" i="1"/>
  <c r="B491" i="1"/>
  <c r="C491" i="1"/>
  <c r="D491" i="1"/>
  <c r="E491" i="1"/>
  <c r="F491" i="1"/>
  <c r="G491" i="1"/>
  <c r="B492" i="1"/>
  <c r="C492" i="1"/>
  <c r="D492" i="1"/>
  <c r="E492" i="1"/>
  <c r="F492" i="1"/>
  <c r="G492" i="1"/>
  <c r="A493" i="1"/>
  <c r="B493" i="1"/>
  <c r="C493" i="1"/>
  <c r="D493" i="1"/>
  <c r="E493" i="1"/>
  <c r="F493" i="1"/>
  <c r="A494" i="1"/>
  <c r="B494" i="1"/>
  <c r="C494" i="1"/>
  <c r="D494" i="1"/>
  <c r="E494" i="1"/>
  <c r="F494" i="1"/>
  <c r="B495" i="1"/>
  <c r="C495" i="1"/>
  <c r="D495" i="1"/>
  <c r="F495" i="1"/>
  <c r="B496" i="1"/>
  <c r="C496" i="1"/>
  <c r="D496" i="1"/>
  <c r="E496" i="1"/>
  <c r="F496" i="1"/>
  <c r="A497" i="1"/>
  <c r="B497" i="1"/>
  <c r="C497" i="1"/>
  <c r="D497" i="1"/>
  <c r="E497" i="1"/>
  <c r="F497" i="1"/>
  <c r="A498" i="1"/>
  <c r="B498" i="1"/>
  <c r="C498" i="1"/>
  <c r="D498" i="1"/>
  <c r="E498" i="1"/>
  <c r="F498" i="1"/>
  <c r="A499" i="1"/>
  <c r="B499" i="1"/>
  <c r="C499" i="1"/>
  <c r="D499" i="1"/>
  <c r="E499" i="1"/>
  <c r="F499" i="1"/>
  <c r="A500" i="1"/>
  <c r="B500" i="1"/>
  <c r="C500" i="1"/>
  <c r="D500" i="1"/>
  <c r="E500" i="1"/>
  <c r="F500" i="1"/>
  <c r="A501" i="1"/>
  <c r="B501" i="1"/>
  <c r="C501" i="1"/>
  <c r="D501" i="1"/>
  <c r="E501" i="1"/>
  <c r="F501" i="1"/>
  <c r="A502" i="1"/>
  <c r="B502" i="1"/>
  <c r="C502" i="1"/>
  <c r="D502" i="1"/>
  <c r="E502" i="1"/>
  <c r="F502" i="1"/>
  <c r="G502" i="1"/>
  <c r="A503" i="1"/>
  <c r="B503" i="1"/>
  <c r="C503" i="1"/>
  <c r="D503" i="1"/>
  <c r="E503" i="1"/>
  <c r="F503" i="1"/>
  <c r="A504" i="1"/>
  <c r="B504" i="1"/>
  <c r="C504" i="1"/>
  <c r="D504" i="1"/>
  <c r="F504" i="1"/>
  <c r="A505" i="1"/>
  <c r="B505" i="1"/>
  <c r="C505" i="1"/>
  <c r="D505" i="1"/>
  <c r="E505" i="1"/>
  <c r="F505" i="1"/>
  <c r="A506" i="1"/>
  <c r="B506" i="1"/>
  <c r="C506" i="1"/>
  <c r="D506" i="1"/>
  <c r="E506" i="1"/>
  <c r="F506" i="1"/>
  <c r="A507" i="1"/>
  <c r="B507" i="1"/>
  <c r="C507" i="1"/>
  <c r="D507" i="1"/>
  <c r="E507" i="1"/>
  <c r="F507" i="1"/>
  <c r="B508" i="1"/>
  <c r="C508" i="1"/>
  <c r="D508" i="1"/>
  <c r="E508" i="1"/>
  <c r="F508" i="1"/>
  <c r="A509" i="1"/>
  <c r="B509" i="1"/>
  <c r="C509" i="1"/>
  <c r="D509" i="1"/>
  <c r="E509" i="1"/>
  <c r="F509" i="1"/>
  <c r="G509" i="1"/>
  <c r="A510" i="1"/>
  <c r="B510" i="1"/>
  <c r="C510" i="1"/>
  <c r="D510" i="1"/>
  <c r="F510" i="1"/>
  <c r="A511" i="1"/>
  <c r="B511" i="1"/>
  <c r="C511" i="1"/>
  <c r="D511" i="1"/>
  <c r="E511" i="1"/>
  <c r="F511" i="1"/>
  <c r="B512" i="1"/>
  <c r="D512" i="1"/>
  <c r="F512" i="1"/>
  <c r="A513" i="1"/>
  <c r="B513" i="1"/>
  <c r="C513" i="1"/>
  <c r="D513" i="1"/>
  <c r="E513" i="1"/>
  <c r="F513" i="1"/>
  <c r="B514" i="1"/>
  <c r="C514" i="1"/>
  <c r="D514" i="1"/>
  <c r="E514" i="1"/>
  <c r="F514" i="1"/>
  <c r="G514" i="1"/>
  <c r="A515" i="1"/>
  <c r="B515" i="1"/>
  <c r="C515" i="1"/>
  <c r="D515" i="1"/>
  <c r="E515" i="1"/>
  <c r="F515" i="1"/>
  <c r="A516" i="1"/>
  <c r="B516" i="1"/>
  <c r="C516" i="1"/>
  <c r="D516" i="1"/>
  <c r="E516" i="1"/>
  <c r="F516" i="1"/>
  <c r="A517" i="1"/>
  <c r="B517" i="1"/>
  <c r="C517" i="1"/>
  <c r="D517" i="1"/>
  <c r="E517" i="1"/>
  <c r="F517" i="1"/>
  <c r="A518" i="1"/>
  <c r="B518" i="1"/>
  <c r="C518" i="1"/>
  <c r="D518" i="1"/>
  <c r="F518" i="1"/>
  <c r="G518" i="1"/>
  <c r="B519" i="1"/>
  <c r="C519" i="1"/>
  <c r="D519" i="1"/>
  <c r="F519" i="1"/>
  <c r="A520" i="1"/>
  <c r="B520" i="1"/>
  <c r="C520" i="1"/>
  <c r="D520" i="1"/>
  <c r="E520" i="1"/>
  <c r="F520" i="1"/>
  <c r="G520" i="1"/>
  <c r="B521" i="1"/>
  <c r="C521" i="1"/>
  <c r="D521" i="1"/>
  <c r="E521" i="1"/>
  <c r="F521" i="1"/>
  <c r="A522" i="1"/>
  <c r="B522" i="1"/>
  <c r="C522" i="1"/>
  <c r="D522" i="1"/>
  <c r="E522" i="1"/>
  <c r="F522" i="1"/>
  <c r="A523" i="1"/>
  <c r="B523" i="1"/>
  <c r="C523" i="1"/>
  <c r="D523" i="1"/>
  <c r="E523" i="1"/>
  <c r="F523" i="1"/>
  <c r="A524" i="1"/>
  <c r="B524" i="1"/>
  <c r="C524" i="1"/>
  <c r="D524" i="1"/>
  <c r="E524" i="1"/>
  <c r="F524" i="1"/>
  <c r="A525" i="1"/>
  <c r="B525" i="1"/>
  <c r="C525" i="1"/>
  <c r="D525" i="1"/>
  <c r="E525" i="1"/>
  <c r="F525" i="1"/>
  <c r="A526" i="1"/>
  <c r="B526" i="1"/>
  <c r="C526" i="1"/>
  <c r="D526" i="1"/>
  <c r="E526" i="1"/>
  <c r="F526" i="1"/>
  <c r="G526" i="1"/>
  <c r="B527" i="1"/>
  <c r="C527" i="1"/>
  <c r="D527" i="1"/>
  <c r="E527" i="1"/>
  <c r="F527" i="1"/>
  <c r="B528" i="1"/>
  <c r="C528" i="1"/>
  <c r="D528" i="1"/>
  <c r="E528" i="1"/>
  <c r="F528" i="1"/>
  <c r="A529" i="1"/>
  <c r="B529" i="1"/>
  <c r="C529" i="1"/>
  <c r="D529" i="1"/>
  <c r="E529" i="1"/>
  <c r="F529" i="1"/>
  <c r="A530" i="1"/>
  <c r="B530" i="1"/>
  <c r="C530" i="1"/>
  <c r="D530" i="1"/>
  <c r="E530" i="1"/>
  <c r="F530" i="1"/>
  <c r="A531" i="1"/>
  <c r="B531" i="1"/>
  <c r="C531" i="1"/>
  <c r="D531" i="1"/>
  <c r="F531" i="1"/>
  <c r="G531" i="1"/>
  <c r="B532" i="1"/>
  <c r="C532" i="1"/>
  <c r="D532" i="1"/>
  <c r="F532" i="1"/>
  <c r="B533" i="1"/>
  <c r="C533" i="1"/>
  <c r="D533" i="1"/>
  <c r="E533" i="1"/>
  <c r="F533" i="1"/>
  <c r="A534" i="1"/>
  <c r="B534" i="1"/>
  <c r="C534" i="1"/>
  <c r="D534" i="1"/>
  <c r="E534" i="1"/>
  <c r="F534" i="1"/>
  <c r="A535" i="1"/>
  <c r="B535" i="1"/>
  <c r="C535" i="1"/>
  <c r="D535" i="1"/>
  <c r="E535" i="1"/>
  <c r="F535" i="1"/>
  <c r="G535" i="1"/>
  <c r="A536" i="1"/>
  <c r="B536" i="1"/>
  <c r="C536" i="1"/>
  <c r="D536" i="1"/>
  <c r="E536" i="1"/>
  <c r="F536" i="1"/>
  <c r="A537" i="1"/>
  <c r="B537" i="1"/>
  <c r="C537" i="1"/>
  <c r="D537" i="1"/>
  <c r="E537" i="1"/>
  <c r="F537" i="1"/>
  <c r="A538" i="1"/>
  <c r="B538" i="1"/>
  <c r="C538" i="1"/>
  <c r="D538" i="1"/>
  <c r="E538" i="1"/>
  <c r="F538" i="1"/>
  <c r="A539" i="1"/>
  <c r="B539" i="1"/>
  <c r="C539" i="1"/>
  <c r="D539" i="1"/>
  <c r="E539" i="1"/>
  <c r="F539" i="1"/>
  <c r="B540" i="1"/>
  <c r="C540" i="1"/>
  <c r="D540" i="1"/>
  <c r="E540" i="1"/>
  <c r="F540" i="1"/>
  <c r="A541" i="1"/>
  <c r="B541" i="1"/>
  <c r="D541" i="1"/>
  <c r="E541" i="1"/>
  <c r="F541" i="1"/>
  <c r="A542" i="1"/>
  <c r="B542" i="1"/>
  <c r="C542" i="1"/>
  <c r="D542" i="1"/>
  <c r="E542" i="1"/>
  <c r="F542" i="1"/>
  <c r="A543" i="1"/>
  <c r="B543" i="1"/>
  <c r="C543" i="1"/>
  <c r="D543" i="1"/>
  <c r="F543" i="1"/>
  <c r="A544" i="1"/>
  <c r="B544" i="1"/>
  <c r="C544" i="1"/>
  <c r="D544" i="1"/>
  <c r="E544" i="1"/>
  <c r="F544" i="1"/>
  <c r="A545" i="1"/>
  <c r="B545" i="1"/>
  <c r="C545" i="1"/>
  <c r="D545" i="1"/>
  <c r="E545" i="1"/>
  <c r="F545" i="1"/>
  <c r="B546" i="1"/>
  <c r="C546" i="1"/>
  <c r="D546" i="1"/>
  <c r="E546" i="1"/>
  <c r="F546" i="1"/>
  <c r="A547" i="1"/>
  <c r="B547" i="1"/>
  <c r="C547" i="1"/>
  <c r="D547" i="1"/>
  <c r="E547" i="1"/>
  <c r="F547" i="1"/>
  <c r="B548" i="1"/>
  <c r="D548" i="1"/>
  <c r="F548" i="1"/>
  <c r="A549" i="1"/>
  <c r="B549" i="1"/>
  <c r="C549" i="1"/>
  <c r="D549" i="1"/>
  <c r="E549" i="1"/>
  <c r="F549" i="1"/>
  <c r="A550" i="1"/>
  <c r="B550" i="1"/>
  <c r="C550" i="1"/>
  <c r="D550" i="1"/>
  <c r="E550" i="1"/>
  <c r="F550" i="1"/>
  <c r="G550" i="1"/>
  <c r="A551" i="1"/>
  <c r="B551" i="1"/>
  <c r="C551" i="1"/>
  <c r="D551" i="1"/>
  <c r="E551" i="1"/>
  <c r="F551" i="1"/>
  <c r="G551" i="1"/>
  <c r="A552" i="1"/>
  <c r="B552" i="1"/>
  <c r="C552" i="1"/>
  <c r="D552" i="1"/>
  <c r="E552" i="1"/>
  <c r="F552" i="1"/>
  <c r="A553" i="1"/>
  <c r="B553" i="1"/>
  <c r="C553" i="1"/>
  <c r="D553" i="1"/>
  <c r="E553" i="1"/>
  <c r="F553" i="1"/>
  <c r="G553" i="1"/>
  <c r="A554" i="1"/>
  <c r="B554" i="1"/>
  <c r="C554" i="1"/>
  <c r="D554" i="1"/>
  <c r="E554" i="1"/>
  <c r="F554" i="1"/>
  <c r="G554" i="1"/>
  <c r="A555" i="1"/>
  <c r="B555" i="1"/>
  <c r="C555" i="1"/>
  <c r="D555" i="1"/>
  <c r="E555" i="1"/>
  <c r="F555" i="1"/>
  <c r="A556" i="1"/>
  <c r="B556" i="1"/>
  <c r="C556" i="1"/>
  <c r="D556" i="1"/>
  <c r="E556" i="1"/>
  <c r="F556" i="1"/>
  <c r="B557" i="1"/>
  <c r="C557" i="1"/>
  <c r="D557" i="1"/>
  <c r="E557" i="1"/>
  <c r="F557" i="1"/>
  <c r="B558" i="1"/>
  <c r="C558" i="1"/>
  <c r="D558" i="1"/>
  <c r="E558" i="1"/>
  <c r="F558" i="1"/>
  <c r="B559" i="1"/>
  <c r="C559" i="1"/>
  <c r="D559" i="1"/>
  <c r="E559" i="1"/>
  <c r="F559" i="1"/>
  <c r="G559" i="1"/>
  <c r="A560" i="1"/>
  <c r="B560" i="1"/>
  <c r="C560" i="1"/>
  <c r="D560" i="1"/>
  <c r="E560" i="1"/>
  <c r="F560" i="1"/>
  <c r="G560" i="1"/>
  <c r="A561" i="1"/>
  <c r="B561" i="1"/>
  <c r="C561" i="1"/>
  <c r="D561" i="1"/>
  <c r="E561" i="1"/>
  <c r="F561" i="1"/>
  <c r="G561" i="1"/>
  <c r="A562" i="1"/>
  <c r="B562" i="1"/>
  <c r="C562" i="1"/>
  <c r="D562" i="1"/>
  <c r="E562" i="1"/>
  <c r="F562" i="1"/>
  <c r="G562" i="1"/>
  <c r="B563" i="1"/>
  <c r="C563" i="1"/>
  <c r="D563" i="1"/>
  <c r="E563" i="1"/>
  <c r="F563" i="1"/>
  <c r="A564" i="1"/>
  <c r="B564" i="1"/>
  <c r="C564" i="1"/>
  <c r="D564" i="1"/>
  <c r="E564" i="1"/>
  <c r="F564" i="1"/>
</calcChain>
</file>

<file path=xl/sharedStrings.xml><?xml version="1.0" encoding="utf-8"?>
<sst xmlns="http://schemas.openxmlformats.org/spreadsheetml/2006/main" count="585" uniqueCount="24">
  <si>
    <t>No pos</t>
  </si>
  <si>
    <t>Pos</t>
  </si>
  <si>
    <t>COD. CUM</t>
  </si>
  <si>
    <t>COD. INTERNO</t>
  </si>
  <si>
    <t>COD. ALTERNO</t>
  </si>
  <si>
    <t>NOMBRE MEDICAMENTO</t>
  </si>
  <si>
    <t>CONCENTRACION</t>
  </si>
  <si>
    <t>UND. CONCENTRACION</t>
  </si>
  <si>
    <t>PRINCIPIO ACTIVO</t>
  </si>
  <si>
    <t>P. VENTA</t>
  </si>
  <si>
    <t>P. COMPRA</t>
  </si>
  <si>
    <t>POS/NO POS</t>
  </si>
  <si>
    <t>NOMBRE DE INSUMO</t>
  </si>
  <si>
    <t>LISTADO DE MEDICAMENTOS</t>
  </si>
  <si>
    <t>VALOR</t>
  </si>
  <si>
    <t>LISTADO DE INSUMOS</t>
  </si>
  <si>
    <t>GUIA CHOICE FLOPPY (LS) 0.014" X 182 cm-BST</t>
  </si>
  <si>
    <t>Guía PTCA RUNTHROUGH NS Floppy - 0.014" x 180 cm-TRM</t>
  </si>
  <si>
    <t>Guia Hidrofilica RADIFOCUS M 0.035"x 150 cm-TRM"</t>
  </si>
  <si>
    <t>Guia Hidrofilica RADIFOCUS M 0.035"x 180 cm-TRM"</t>
  </si>
  <si>
    <t>Guia Hidrofilica  RADIFOCUS M  0.035" x 260 cm-TRM"</t>
  </si>
  <si>
    <t>GUIA ANGIOGRAFICA PTFE GUIDE WIRES 0.35" X 145 cm J- REF: 007042-MDT"</t>
  </si>
  <si>
    <t>GUIA NITREX .035" X 260 CM-MDT</t>
  </si>
  <si>
    <t>H-GUIA RUNTH 0.014" X 180 FLOPPY-TRM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</si>
</sst>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41" fontId="0" fillId="0" borderId="0" xfId="1" applyFont="1"/>
    <xf numFmtId="0" fontId="16" fillId="0" borderId="0" xfId="0" applyFont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41" fontId="16" fillId="0" borderId="10" xfId="1" applyFont="1" applyBorder="1" applyAlignment="1">
      <alignment horizontal="center" vertical="center"/>
    </xf>
    <xf numFmtId="0" fontId="0" fillId="0" borderId="10" xfId="0" applyBorder="1"/>
    <xf numFmtId="41" fontId="0" fillId="0" borderId="10" xfId="1" applyFont="1" applyBorder="1"/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 [0]" xfId="1" builtinId="6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4"/>
  <sheetViews>
    <sheetView topLeftCell="B540" workbookViewId="0">
      <selection activeCell="D7" sqref="D7"/>
    </sheetView>
  </sheetViews>
  <sheetFormatPr baseColWidth="10" defaultRowHeight="15" x14ac:dyDescent="0.25"/>
  <cols>
    <col min="1" max="1" width="0" style="5" hidden="1" customWidth="1"/>
    <col min="2" max="2" width="13.85546875" style="5" customWidth="1"/>
    <col min="3" max="3" width="13.7109375" style="5" hidden="1" customWidth="1"/>
    <col min="4" max="4" width="55.140625" style="5" customWidth="1"/>
    <col min="5" max="5" width="16" style="5" customWidth="1"/>
    <col min="6" max="6" width="21.42578125" style="5" customWidth="1"/>
    <col min="7" max="7" width="17" style="5" hidden="1" customWidth="1"/>
    <col min="8" max="8" width="0" style="6" hidden="1" customWidth="1"/>
    <col min="9" max="9" width="11.42578125" style="6"/>
    <col min="10" max="10" width="14.42578125" style="5" customWidth="1"/>
  </cols>
  <sheetData>
    <row r="1" spans="1:10" ht="15.75" x14ac:dyDescent="0.25">
      <c r="B1" s="7" t="s">
        <v>13</v>
      </c>
      <c r="C1" s="8"/>
      <c r="D1" s="8"/>
      <c r="E1" s="8"/>
      <c r="F1" s="8"/>
      <c r="G1" s="8"/>
      <c r="H1" s="8"/>
      <c r="I1" s="8"/>
      <c r="J1" s="9"/>
    </row>
    <row r="2" spans="1:10" s="2" customFormat="1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4" t="s">
        <v>10</v>
      </c>
      <c r="I2" s="4" t="s">
        <v>9</v>
      </c>
      <c r="J2" s="3" t="s">
        <v>11</v>
      </c>
    </row>
    <row r="3" spans="1:10" x14ac:dyDescent="0.25">
      <c r="A3" s="5" t="str">
        <f>"224609-1"</f>
        <v>224609-1</v>
      </c>
      <c r="B3" s="5" t="str">
        <f>"ALF0026"</f>
        <v>ALF0026</v>
      </c>
      <c r="C3" s="5" t="str">
        <f>"N03AG012221"</f>
        <v>N03AG012221</v>
      </c>
      <c r="D3" s="5" t="str">
        <f>"ACIDO VALPROICO 500mg/5mL AMP (VALCOTE)"</f>
        <v>ACIDO VALPROICO 500mg/5mL AMP (VALCOTE)</v>
      </c>
      <c r="E3" s="5" t="str">
        <f>"500mg"</f>
        <v>500mg</v>
      </c>
      <c r="F3" s="5" t="str">
        <f>"AMPOLLA"</f>
        <v>AMPOLLA</v>
      </c>
      <c r="H3" s="6">
        <v>24335</v>
      </c>
      <c r="I3" s="6">
        <v>35535</v>
      </c>
      <c r="J3" s="5" t="s">
        <v>0</v>
      </c>
    </row>
    <row r="4" spans="1:10" x14ac:dyDescent="0.25">
      <c r="A4" s="5" t="str">
        <f>"43939-1"</f>
        <v>43939-1</v>
      </c>
      <c r="B4" s="5" t="str">
        <f>"ALF0058"</f>
        <v>ALF0058</v>
      </c>
      <c r="C4" s="5" t="str">
        <f>"B05BA1001"</f>
        <v>B05BA1001</v>
      </c>
      <c r="D4" s="5" t="str">
        <f>"AMINOACIDO ESENCIALES CON O SIN ELECTROLITOS SOLUCION ORAL     NPR"</f>
        <v>AMINOACIDO ESENCIALES CON O SIN ELECTROLITOS SOLUCION ORAL     NPR</v>
      </c>
      <c r="E4" s="5" t="str">
        <f>"2.0 kca/mL"</f>
        <v>2.0 kca/mL</v>
      </c>
      <c r="F4" s="5" t="str">
        <f>"LATA"</f>
        <v>LATA</v>
      </c>
      <c r="H4" s="6">
        <v>19500</v>
      </c>
      <c r="I4" s="6">
        <v>30000</v>
      </c>
      <c r="J4" s="5" t="s">
        <v>1</v>
      </c>
    </row>
    <row r="5" spans="1:10" x14ac:dyDescent="0.25">
      <c r="A5" s="5" t="str">
        <f>"54710-1"</f>
        <v>54710-1</v>
      </c>
      <c r="B5" s="5" t="str">
        <f>"ALF0059"</f>
        <v>ALF0059</v>
      </c>
      <c r="C5" s="5" t="str">
        <f>"B05BA1001"</f>
        <v>B05BA1001</v>
      </c>
      <c r="D5" s="5" t="str">
        <f>"AMINOACIDO ESENCIALES CON O SIN ELECTROLITOS SOLUCION      E"</f>
        <v>AMINOACIDO ESENCIALES CON O SIN ELECTROLITOS SOLUCION      E</v>
      </c>
      <c r="E5" s="5" t="str">
        <f>"355CAL"</f>
        <v>355CAL</v>
      </c>
      <c r="F5" s="5" t="str">
        <f>"LATA"</f>
        <v>LATA</v>
      </c>
      <c r="H5" s="6">
        <v>10044</v>
      </c>
      <c r="I5" s="6">
        <v>32000</v>
      </c>
      <c r="J5" s="5" t="s">
        <v>1</v>
      </c>
    </row>
    <row r="6" spans="1:10" x14ac:dyDescent="0.25">
      <c r="A6" s="5" t="str">
        <f>"39423-1"</f>
        <v>39423-1</v>
      </c>
      <c r="B6" s="5" t="str">
        <f>"ALF0061"</f>
        <v>ALF0061</v>
      </c>
      <c r="C6" s="5" t="str">
        <f>"B05BA1001"</f>
        <v>B05BA1001</v>
      </c>
      <c r="D6" s="5" t="str">
        <f>"AMINOACIDO ESENCIALES CON O SIN ELECTROLITOS SOLUCION ORAL     G"</f>
        <v>AMINOACIDO ESENCIALES CON O SIN ELECTROLITOS SOLUCION ORAL     G</v>
      </c>
      <c r="E6" s="5" t="str">
        <f>"237CAL"</f>
        <v>237CAL</v>
      </c>
      <c r="F6" s="5" t="str">
        <f>"LATA"</f>
        <v>LATA</v>
      </c>
      <c r="G6" s="5" t="str">
        <f>"AMINOACIDOS COMBINACIONES ORAL"</f>
        <v>AMINOACIDOS COMBINACIONES ORAL</v>
      </c>
      <c r="H6" s="6">
        <v>8783</v>
      </c>
      <c r="I6" s="6">
        <v>32000</v>
      </c>
      <c r="J6" s="5" t="s">
        <v>1</v>
      </c>
    </row>
    <row r="7" spans="1:10" x14ac:dyDescent="0.25">
      <c r="A7" s="5" t="str">
        <f>"36650-2"</f>
        <v>36650-2</v>
      </c>
      <c r="B7" s="5" t="str">
        <f>"ALF0062"</f>
        <v>ALF0062</v>
      </c>
      <c r="C7" s="5" t="str">
        <f>"B05BA1001"</f>
        <v>B05BA1001</v>
      </c>
      <c r="D7" s="5" t="str">
        <f>"AMINOACIDO ESENCIALES CON O SIN ELECTROLITOS SOLUCION ORAL    PDS"</f>
        <v>AMINOACIDO ESENCIALES CON O SIN ELECTROLITOS SOLUCION ORAL    PDS</v>
      </c>
      <c r="E7" s="5" t="str">
        <f>"1 Cal/mL"</f>
        <v>1 Cal/mL</v>
      </c>
      <c r="F7" s="5" t="str">
        <f>"LATA"</f>
        <v>LATA</v>
      </c>
      <c r="H7" s="6">
        <v>10478</v>
      </c>
      <c r="I7" s="6">
        <v>33500</v>
      </c>
      <c r="J7" s="5" t="s">
        <v>1</v>
      </c>
    </row>
    <row r="8" spans="1:10" x14ac:dyDescent="0.25">
      <c r="A8" s="5" t="str">
        <f>"42832-1"</f>
        <v>42832-1</v>
      </c>
      <c r="B8" s="5" t="str">
        <f>"ALF0063"</f>
        <v>ALF0063</v>
      </c>
      <c r="C8" s="5" t="str">
        <f>"B05BA1001"</f>
        <v>B05BA1001</v>
      </c>
      <c r="D8" s="5" t="str">
        <f>"AMINOACIDO ESENCIALES CON O SIN ELECTROLITOS SOLUCION ORAL    PL"</f>
        <v>AMINOACIDO ESENCIALES CON O SIN ELECTROLITOS SOLUCION ORAL    PL</v>
      </c>
      <c r="E8" s="5" t="str">
        <f>"1.5 Kcal/mL"</f>
        <v>1.5 Kcal/mL</v>
      </c>
      <c r="F8" s="5" t="str">
        <f>"LATA"</f>
        <v>LATA</v>
      </c>
      <c r="H8" s="6">
        <v>16615</v>
      </c>
      <c r="I8" s="6">
        <v>32000</v>
      </c>
      <c r="J8" s="5" t="s">
        <v>1</v>
      </c>
    </row>
    <row r="9" spans="1:10" x14ac:dyDescent="0.25">
      <c r="A9" s="5" t="str">
        <f>"58816-1"</f>
        <v>58816-1</v>
      </c>
      <c r="B9" s="5" t="str">
        <f>"ALF0529"</f>
        <v>ALF0529</v>
      </c>
      <c r="C9" s="5" t="str">
        <f>"N01AB08"</f>
        <v>N01AB08</v>
      </c>
      <c r="D9" s="5" t="str">
        <f>"SEVOFLURANO 100% x 250mL (SEVORANE)"</f>
        <v>SEVOFLURANO 100% x 250mL (SEVORANE)</v>
      </c>
      <c r="E9" s="5" t="str">
        <f>"100%"</f>
        <v>100%</v>
      </c>
      <c r="F9" s="5" t="str">
        <f>"FRASCO"</f>
        <v>FRASCO</v>
      </c>
      <c r="G9" s="5" t="str">
        <f>"SEVOFLORANE"</f>
        <v>SEVOFLORANE</v>
      </c>
      <c r="H9" s="6">
        <v>398750</v>
      </c>
      <c r="I9" s="6">
        <v>719683</v>
      </c>
      <c r="J9" s="5" t="s">
        <v>1</v>
      </c>
    </row>
    <row r="10" spans="1:10" x14ac:dyDescent="0.25">
      <c r="A10" s="5" t="str">
        <f>"19967068-1"</f>
        <v>19967068-1</v>
      </c>
      <c r="B10" s="5" t="str">
        <f>"ALF0400"</f>
        <v>ALF0400</v>
      </c>
      <c r="C10" s="5" t="str">
        <f>"J05A"</f>
        <v>J05A</v>
      </c>
      <c r="D10" s="5" t="str">
        <f>"LOPINAVIR 200mg + RITONAVIR 50mg TABLETA (KALETRA)"</f>
        <v>LOPINAVIR 200mg + RITONAVIR 50mg TABLETA (KALETRA)</v>
      </c>
      <c r="E10" s="5" t="str">
        <f>"200MG/50MG"</f>
        <v>200MG/50MG</v>
      </c>
      <c r="F10" s="5" t="str">
        <f>"TABLETA"</f>
        <v>TABLETA</v>
      </c>
      <c r="H10" s="6">
        <v>930</v>
      </c>
      <c r="I10" s="6">
        <v>931.18</v>
      </c>
      <c r="J10" s="5" t="s">
        <v>0</v>
      </c>
    </row>
    <row r="11" spans="1:10" x14ac:dyDescent="0.25">
      <c r="A11" s="5" t="str">
        <f>"102446-10"</f>
        <v>102446-10</v>
      </c>
      <c r="B11" s="5" t="str">
        <f>"ALF0201"</f>
        <v>ALF0201</v>
      </c>
      <c r="C11" s="5" t="str">
        <f>"A12BP023211"</f>
        <v>A12BP023211</v>
      </c>
      <c r="D11" s="5" t="str">
        <f>"COLAGENASA 80U/100g x 40g (IRUXOL)"</f>
        <v>COLAGENASA 80U/100g x 40g (IRUXOL)</v>
      </c>
      <c r="E11" s="5" t="str">
        <f>"80u/100g"</f>
        <v>80u/100g</v>
      </c>
      <c r="F11" s="5" t="str">
        <f>"TUBO COLAPSIBLE"</f>
        <v>TUBO COLAPSIBLE</v>
      </c>
      <c r="H11" s="6">
        <v>143540</v>
      </c>
      <c r="I11" s="6">
        <v>193779</v>
      </c>
      <c r="J11" s="5" t="s">
        <v>0</v>
      </c>
    </row>
    <row r="12" spans="1:10" x14ac:dyDescent="0.25">
      <c r="A12" s="5" t="str">
        <f>"19929840-1"</f>
        <v>19929840-1</v>
      </c>
      <c r="B12" s="5" t="str">
        <f>"ALF1028"</f>
        <v>ALF1028</v>
      </c>
      <c r="C12" s="5" t="str">
        <f>"C01CX08"</f>
        <v>C01CX08</v>
      </c>
      <c r="D12" s="5" t="str">
        <f>"LEVOSIMENDAN 2.5mg/Ml   AMP X 5ML( DAXIM )"</f>
        <v>LEVOSIMENDAN 2.5mg/Ml   AMP X 5ML( DAXIM )</v>
      </c>
      <c r="E12" s="5" t="str">
        <f>"2.5mg/5ml"</f>
        <v>2.5mg/5ml</v>
      </c>
      <c r="F12" s="5" t="str">
        <f>"AMPOLLA"</f>
        <v>AMPOLLA</v>
      </c>
      <c r="H12" s="6">
        <v>1737380</v>
      </c>
      <c r="I12" s="6">
        <v>2854972.88</v>
      </c>
      <c r="J12" s="5" t="s">
        <v>0</v>
      </c>
    </row>
    <row r="13" spans="1:10" x14ac:dyDescent="0.25">
      <c r="B13" s="5" t="str">
        <f>"ALF1034"</f>
        <v>ALF1034</v>
      </c>
      <c r="C13" s="5" t="str">
        <f>"ALF1034"</f>
        <v>ALF1034</v>
      </c>
      <c r="D13" s="5" t="str">
        <f>"TOBRAMICINA 0.3% X 5ML SOL OFTALMICA"</f>
        <v>TOBRAMICINA 0.3% X 5ML SOL OFTALMICA</v>
      </c>
      <c r="E13" s="5" t="str">
        <f>"3%"</f>
        <v>3%</v>
      </c>
      <c r="F13" s="5" t="str">
        <f>"FRASCO CON GOTERO"</f>
        <v>FRASCO CON GOTERO</v>
      </c>
      <c r="H13" s="6">
        <v>2600</v>
      </c>
      <c r="I13" s="6">
        <v>13020</v>
      </c>
      <c r="J13" s="5" t="s">
        <v>0</v>
      </c>
    </row>
    <row r="14" spans="1:10" x14ac:dyDescent="0.25">
      <c r="B14" s="5" t="str">
        <f>"ALF1072"</f>
        <v>ALF1072</v>
      </c>
      <c r="C14" s="5" t="str">
        <f>"ALF1072"</f>
        <v>ALF1072</v>
      </c>
      <c r="D14" s="5" t="str">
        <f>"FORMULA LACTEA EN POLVO 400GR  KLIM DESLACTOZADA"</f>
        <v>FORMULA LACTEA EN POLVO 400GR  KLIM DESLACTOZADA</v>
      </c>
      <c r="F14" s="5" t="str">
        <f>"LATA"</f>
        <v>LATA</v>
      </c>
      <c r="H14" s="6">
        <v>9100</v>
      </c>
      <c r="I14" s="6">
        <v>37000</v>
      </c>
      <c r="J14" s="5" t="s">
        <v>0</v>
      </c>
    </row>
    <row r="15" spans="1:10" x14ac:dyDescent="0.25">
      <c r="B15" s="5" t="str">
        <f>"ALF1095"</f>
        <v>ALF1095</v>
      </c>
      <c r="C15" s="5" t="str">
        <f>"ALF1095"</f>
        <v>ALF1095</v>
      </c>
      <c r="D15" s="5" t="str">
        <f>"TOBRAMICINA + DEXAMETAZONA 0.3%-01% GOTAS OFTALMICAS"</f>
        <v>TOBRAMICINA + DEXAMETAZONA 0.3%-01% GOTAS OFTALMICAS</v>
      </c>
      <c r="E15" s="5" t="str">
        <f>"0.3%"</f>
        <v>0.3%</v>
      </c>
      <c r="F15" s="5" t="str">
        <f>"FRASCO CON GOTERO"</f>
        <v>FRASCO CON GOTERO</v>
      </c>
      <c r="G15" s="5" t="str">
        <f>"TOBRAMICINA + DEXAMETAZONA"</f>
        <v>TOBRAMICINA + DEXAMETAZONA</v>
      </c>
      <c r="H15" s="6">
        <v>54950</v>
      </c>
      <c r="I15" s="6">
        <v>66825</v>
      </c>
      <c r="J15" s="5" t="s">
        <v>0</v>
      </c>
    </row>
    <row r="16" spans="1:10" x14ac:dyDescent="0.25">
      <c r="B16" s="5" t="str">
        <f>"ALF1178"</f>
        <v>ALF1178</v>
      </c>
      <c r="C16" s="5" t="str">
        <f>"ALF1178"</f>
        <v>ALF1178</v>
      </c>
      <c r="D16" s="5" t="str">
        <f>"Ciprofloxacino  base 100% 3,0 mg GOTAS OTICAS-OTOSEC"</f>
        <v>Ciprofloxacino  base 100% 3,0 mg GOTAS OTICAS-OTOSEC</v>
      </c>
      <c r="E16" s="5" t="str">
        <f>"100% 3,0 mg"</f>
        <v>100% 3,0 mg</v>
      </c>
      <c r="F16" s="5" t="str">
        <f>"FRASCO CON GOTERO"</f>
        <v>FRASCO CON GOTERO</v>
      </c>
      <c r="G16" s="5" t="str">
        <f>"CIPROFLOXACINO"</f>
        <v>CIPROFLOXACINO</v>
      </c>
      <c r="H16" s="6">
        <v>34100</v>
      </c>
      <c r="I16" s="6">
        <v>46035</v>
      </c>
      <c r="J16" s="5" t="s">
        <v>0</v>
      </c>
    </row>
    <row r="17" spans="1:10" x14ac:dyDescent="0.25">
      <c r="B17" s="5" t="str">
        <f>"ALF1256"</f>
        <v>ALF1256</v>
      </c>
      <c r="D17" s="5" t="str">
        <f>"Klaricid 12 Hr 250 Mg. Oral Pediatrico Suspension"</f>
        <v>Klaricid 12 Hr 250 Mg. Oral Pediatrico Suspension</v>
      </c>
      <c r="F17" s="5" t="str">
        <f>"FRASCO"</f>
        <v>FRASCO</v>
      </c>
      <c r="H17" s="6">
        <v>126550</v>
      </c>
      <c r="I17" s="6">
        <v>170842</v>
      </c>
      <c r="J17" s="5" t="s">
        <v>0</v>
      </c>
    </row>
    <row r="18" spans="1:10" x14ac:dyDescent="0.25">
      <c r="A18" s="5" t="str">
        <f>"30865-10"</f>
        <v>30865-10</v>
      </c>
      <c r="B18" s="5" t="str">
        <f>"ALF0018"</f>
        <v>ALF0018</v>
      </c>
      <c r="C18" s="5" t="str">
        <f>"A11GA031011"</f>
        <v>A11GA031011</v>
      </c>
      <c r="D18" s="5" t="str">
        <f>"ACIDO ASCORBICO 500 mg TAB"</f>
        <v>ACIDO ASCORBICO 500 mg TAB</v>
      </c>
      <c r="E18" s="5" t="str">
        <f>"500mg"</f>
        <v>500mg</v>
      </c>
      <c r="F18" s="5" t="str">
        <f>"TABLETA"</f>
        <v>TABLETA</v>
      </c>
      <c r="H18" s="6">
        <v>281</v>
      </c>
      <c r="I18" s="6">
        <v>450</v>
      </c>
      <c r="J18" s="5" t="s">
        <v>1</v>
      </c>
    </row>
    <row r="19" spans="1:10" x14ac:dyDescent="0.25">
      <c r="A19" s="5" t="str">
        <f>"19939538-4"</f>
        <v>19939538-4</v>
      </c>
      <c r="B19" s="5" t="str">
        <f>"ALF0027"</f>
        <v>ALF0027</v>
      </c>
      <c r="C19" s="5" t="str">
        <f>"H02AD005711"</f>
        <v>H02AD005711</v>
      </c>
      <c r="D19" s="5" t="str">
        <f>"ACIDO VALPROICO 5g/100mL X (120ML) JARABE"</f>
        <v>ACIDO VALPROICO 5g/100mL X (120ML) JARABE</v>
      </c>
      <c r="E19" s="5" t="str">
        <f>"5g"</f>
        <v>5g</v>
      </c>
      <c r="F19" s="5" t="str">
        <f>"FRASCO"</f>
        <v>FRASCO</v>
      </c>
      <c r="H19" s="6">
        <v>3770</v>
      </c>
      <c r="I19" s="6">
        <v>15100</v>
      </c>
      <c r="J19" s="5" t="s">
        <v>1</v>
      </c>
    </row>
    <row r="20" spans="1:10" x14ac:dyDescent="0.25">
      <c r="A20" s="5" t="str">
        <f>"42938-3"</f>
        <v>42938-3</v>
      </c>
      <c r="B20" s="5" t="str">
        <f>"ALF0053"</f>
        <v>ALF0053</v>
      </c>
      <c r="C20" s="5" t="str">
        <f>"M04AA013011"</f>
        <v>M04AA013011</v>
      </c>
      <c r="D20" s="5" t="str">
        <f>"ALOPURINOL 100mg TAB"</f>
        <v>ALOPURINOL 100mg TAB</v>
      </c>
      <c r="E20" s="5" t="str">
        <f>"100mg"</f>
        <v>100mg</v>
      </c>
      <c r="F20" s="5" t="str">
        <f>"TABLETA"</f>
        <v>TABLETA</v>
      </c>
      <c r="H20" s="6">
        <v>72</v>
      </c>
      <c r="I20" s="6">
        <v>398</v>
      </c>
      <c r="J20" s="5" t="s">
        <v>1</v>
      </c>
    </row>
    <row r="21" spans="1:10" x14ac:dyDescent="0.25">
      <c r="A21" s="5" t="str">
        <f>"29343-3"</f>
        <v>29343-3</v>
      </c>
      <c r="B21" s="5" t="str">
        <f>"ALF0071"</f>
        <v>ALF0071</v>
      </c>
      <c r="C21" s="5" t="str">
        <f>"J01GG003703"</f>
        <v>J01GG003703</v>
      </c>
      <c r="D21" s="5" t="str">
        <f>"AMOXICILINA250 mg/5 mL de base (5%) POLVO PARA RECONSTITUIR A SUSPENSIÓN ORAL"</f>
        <v>AMOXICILINA250 mg/5 mL de base (5%) POLVO PARA RECONSTITUIR A SUSPENSIÓN ORAL</v>
      </c>
      <c r="E21" s="5" t="str">
        <f>"250mg/5mL"</f>
        <v>250mg/5mL</v>
      </c>
      <c r="F21" s="5" t="str">
        <f>"FRASCO"</f>
        <v>FRASCO</v>
      </c>
      <c r="G21" s="5" t="str">
        <f>"AMOXICILINA"</f>
        <v>AMOXICILINA</v>
      </c>
      <c r="H21" s="6">
        <v>3000</v>
      </c>
      <c r="I21" s="6">
        <v>4910</v>
      </c>
      <c r="J21" s="5" t="s">
        <v>1</v>
      </c>
    </row>
    <row r="22" spans="1:10" x14ac:dyDescent="0.25">
      <c r="A22" s="5" t="str">
        <f>"19925979-1"</f>
        <v>19925979-1</v>
      </c>
      <c r="B22" s="5" t="str">
        <f>"ALF0189"</f>
        <v>ALF0189</v>
      </c>
      <c r="C22" s="5" t="str">
        <f>"B01AC04"</f>
        <v>B01AC04</v>
      </c>
      <c r="D22" s="5" t="str">
        <f>"CLOPIDOGREL 75mg TABLETA"</f>
        <v>CLOPIDOGREL 75mg TABLETA</v>
      </c>
      <c r="E22" s="5" t="str">
        <f>"75mg"</f>
        <v>75mg</v>
      </c>
      <c r="F22" s="5" t="str">
        <f>"TABLETA"</f>
        <v>TABLETA</v>
      </c>
      <c r="H22" s="6">
        <v>180.9</v>
      </c>
      <c r="I22" s="6">
        <v>6033.75</v>
      </c>
      <c r="J22" s="5" t="s">
        <v>0</v>
      </c>
    </row>
    <row r="23" spans="1:10" x14ac:dyDescent="0.25">
      <c r="A23" s="5" t="str">
        <f>"19937544-1"</f>
        <v>19937544-1</v>
      </c>
      <c r="B23" s="5" t="str">
        <f>"ALF0304"</f>
        <v>ALF0304</v>
      </c>
      <c r="C23" s="5" t="str">
        <f>"S01AG003601"</f>
        <v>S01AG003601</v>
      </c>
      <c r="D23" s="5" t="str">
        <f>"GENTAMICINA  0.3%  GOTAS OFT x 5mL"</f>
        <v>GENTAMICINA  0.3%  GOTAS OFT x 5mL</v>
      </c>
      <c r="E23" s="5" t="str">
        <f>"0.3%"</f>
        <v>0.3%</v>
      </c>
      <c r="F23" s="5" t="str">
        <f>"FRASCO CON GOTERO"</f>
        <v>FRASCO CON GOTERO</v>
      </c>
      <c r="H23" s="6">
        <v>3293</v>
      </c>
      <c r="I23" s="6">
        <v>8500</v>
      </c>
      <c r="J23" s="5" t="s">
        <v>1</v>
      </c>
    </row>
    <row r="24" spans="1:10" x14ac:dyDescent="0.25">
      <c r="A24" s="5" t="str">
        <f>"19900048-1"</f>
        <v>19900048-1</v>
      </c>
      <c r="B24" s="5" t="str">
        <f>"ALF0441"</f>
        <v>ALF0441</v>
      </c>
      <c r="C24" s="5" t="str">
        <f>"G01AM020501"</f>
        <v>G01AM020501</v>
      </c>
      <c r="D24" s="5" t="str">
        <f>"METRONIDAZOL 500mg OVULOS"</f>
        <v>METRONIDAZOL 500mg OVULOS</v>
      </c>
      <c r="E24" s="5" t="str">
        <f>"500mg"</f>
        <v>500mg</v>
      </c>
      <c r="F24" s="5" t="str">
        <f>"OVULOS"</f>
        <v>OVULOS</v>
      </c>
      <c r="H24" s="6">
        <v>200</v>
      </c>
      <c r="I24" s="6">
        <v>726</v>
      </c>
      <c r="J24" s="5" t="s">
        <v>1</v>
      </c>
    </row>
    <row r="25" spans="1:10" x14ac:dyDescent="0.25">
      <c r="A25" s="5" t="str">
        <f>"20677-1"</f>
        <v>20677-1</v>
      </c>
      <c r="B25" s="5" t="str">
        <f>"ALF0511"</f>
        <v>ALF0511</v>
      </c>
      <c r="C25" s="5" t="str">
        <f>"J04BR005101"</f>
        <v>J04BR005101</v>
      </c>
      <c r="D25" s="5" t="str">
        <f>"RIFAMPICINA 300mg CAPS"</f>
        <v>RIFAMPICINA 300mg CAPS</v>
      </c>
      <c r="E25" s="5" t="str">
        <f>"300mg"</f>
        <v>300mg</v>
      </c>
      <c r="F25" s="5" t="str">
        <f>"CAPSULA"</f>
        <v>CAPSULA</v>
      </c>
      <c r="H25" s="6">
        <v>655</v>
      </c>
      <c r="I25" s="6">
        <v>1428</v>
      </c>
      <c r="J25" s="5" t="s">
        <v>1</v>
      </c>
    </row>
    <row r="26" spans="1:10" x14ac:dyDescent="0.25">
      <c r="A26" s="5" t="str">
        <f>"19942022-1"</f>
        <v>19942022-1</v>
      </c>
      <c r="B26" s="5" t="str">
        <f>"ALF0575"</f>
        <v>ALF0575</v>
      </c>
      <c r="C26" s="5" t="str">
        <f>"S01AS019601"</f>
        <v>S01AS019601</v>
      </c>
      <c r="D26" s="5" t="str">
        <f>"SULFACETAMIDA10%  GOTAS OFTAL x 15mL"</f>
        <v>SULFACETAMIDA10%  GOTAS OFTAL x 15mL</v>
      </c>
      <c r="E26" s="5" t="str">
        <f>"10%"</f>
        <v>10%</v>
      </c>
      <c r="F26" s="5" t="str">
        <f>"FRASCO CON GOTERO"</f>
        <v>FRASCO CON GOTERO</v>
      </c>
      <c r="H26" s="6">
        <v>5900</v>
      </c>
      <c r="I26" s="6">
        <v>16587</v>
      </c>
      <c r="J26" s="5" t="s">
        <v>1</v>
      </c>
    </row>
    <row r="27" spans="1:10" x14ac:dyDescent="0.25">
      <c r="A27" s="5" t="str">
        <f>"20020027-1"</f>
        <v>20020027-1</v>
      </c>
      <c r="B27" s="5" t="str">
        <f>"ALF0282"</f>
        <v>ALF0282</v>
      </c>
      <c r="C27" s="5" t="str">
        <f>"N03AF003211"</f>
        <v>N03AF003211</v>
      </c>
      <c r="D27" s="5" t="str">
        <f>"FENOBARBITAL 4% elixir"</f>
        <v>FENOBARBITAL 4% elixir</v>
      </c>
      <c r="E27" s="5" t="str">
        <f>"4%"</f>
        <v>4%</v>
      </c>
      <c r="F27" s="5" t="str">
        <f>"FRASCO"</f>
        <v>FRASCO</v>
      </c>
      <c r="H27" s="6">
        <v>9750</v>
      </c>
      <c r="I27" s="6">
        <v>13162</v>
      </c>
      <c r="J27" s="5" t="s">
        <v>1</v>
      </c>
    </row>
    <row r="28" spans="1:10" x14ac:dyDescent="0.25">
      <c r="A28" s="5" t="str">
        <f>"19947807-3"</f>
        <v>19947807-3</v>
      </c>
      <c r="B28" s="5" t="str">
        <f>"ALF0438"</f>
        <v>ALF0438</v>
      </c>
      <c r="C28" s="5" t="str">
        <f>"C07AM017162"</f>
        <v>C07AM017162</v>
      </c>
      <c r="D28" s="5" t="str">
        <f>"METOPROLOL 100mg TAB"</f>
        <v>METOPROLOL 100mg TAB</v>
      </c>
      <c r="E28" s="5" t="str">
        <f>"100mg"</f>
        <v>100mg</v>
      </c>
      <c r="F28" s="5" t="str">
        <f>"TABLETA"</f>
        <v>TABLETA</v>
      </c>
      <c r="H28" s="6">
        <v>68</v>
      </c>
      <c r="I28" s="6">
        <v>5064</v>
      </c>
      <c r="J28" s="5" t="s">
        <v>1</v>
      </c>
    </row>
    <row r="29" spans="1:10" x14ac:dyDescent="0.25">
      <c r="A29" s="5" t="str">
        <f>"50707-1"</f>
        <v>50707-1</v>
      </c>
      <c r="B29" s="5" t="str">
        <f>"ALF0439"</f>
        <v>ALF0439</v>
      </c>
      <c r="C29" s="5" t="str">
        <f>"C07AM017161"</f>
        <v>C07AM017161</v>
      </c>
      <c r="D29" s="5" t="str">
        <f>"METOPROLOL 50mg TAB"</f>
        <v>METOPROLOL 50mg TAB</v>
      </c>
      <c r="E29" s="5" t="str">
        <f>"50mg"</f>
        <v>50mg</v>
      </c>
      <c r="F29" s="5" t="str">
        <f>"TABLETA"</f>
        <v>TABLETA</v>
      </c>
      <c r="H29" s="6">
        <v>43</v>
      </c>
      <c r="I29" s="6">
        <v>2532</v>
      </c>
      <c r="J29" s="5" t="s">
        <v>1</v>
      </c>
    </row>
    <row r="30" spans="1:10" x14ac:dyDescent="0.25">
      <c r="A30" s="5" t="str">
        <f>"19917669-1"</f>
        <v>19917669-1</v>
      </c>
      <c r="B30" s="5" t="str">
        <f>"ALF0348"</f>
        <v>ALF0348</v>
      </c>
      <c r="C30" s="5" t="str">
        <f>"M01A I002 011"</f>
        <v>M01A I002 011</v>
      </c>
      <c r="D30" s="5" t="str">
        <f>"IBUPROFENO 400mg TAB"</f>
        <v>IBUPROFENO 400mg TAB</v>
      </c>
      <c r="E30" s="5" t="str">
        <f>"400mg"</f>
        <v>400mg</v>
      </c>
      <c r="F30" s="5" t="str">
        <f>"TABLETA"</f>
        <v>TABLETA</v>
      </c>
      <c r="H30" s="6">
        <v>102</v>
      </c>
      <c r="I30" s="6">
        <v>482</v>
      </c>
      <c r="J30" s="5" t="s">
        <v>1</v>
      </c>
    </row>
    <row r="31" spans="1:10" x14ac:dyDescent="0.25">
      <c r="A31" s="5" t="str">
        <f>"19929124"</f>
        <v>19929124</v>
      </c>
      <c r="B31" s="5" t="str">
        <f>"ALF0447"</f>
        <v>ALF0447</v>
      </c>
      <c r="C31" s="5" t="str">
        <f>"R03D C03"</f>
        <v>R03D C03</v>
      </c>
      <c r="D31" s="5" t="str">
        <f>"MONTELUKAST TAB 4 MG"</f>
        <v>MONTELUKAST TAB 4 MG</v>
      </c>
      <c r="E31" s="5" t="str">
        <f>"4mg"</f>
        <v>4mg</v>
      </c>
      <c r="F31" s="5" t="str">
        <f>"TABLETA"</f>
        <v>TABLETA</v>
      </c>
      <c r="H31" s="6">
        <v>1686.66</v>
      </c>
      <c r="I31" s="6">
        <v>9826</v>
      </c>
      <c r="J31" s="5" t="s">
        <v>0</v>
      </c>
    </row>
    <row r="32" spans="1:10" x14ac:dyDescent="0.25">
      <c r="A32" s="5" t="str">
        <f>"19945253"</f>
        <v>19945253</v>
      </c>
      <c r="B32" s="5" t="str">
        <f>"ALF0448"</f>
        <v>ALF0448</v>
      </c>
      <c r="C32" s="5" t="str">
        <f>"R03D C03"</f>
        <v>R03D C03</v>
      </c>
      <c r="D32" s="5" t="str">
        <f>"MONTELUKAST 10 MG TABLETA"</f>
        <v>MONTELUKAST 10 MG TABLETA</v>
      </c>
      <c r="E32" s="5" t="str">
        <f>"10mg"</f>
        <v>10mg</v>
      </c>
      <c r="F32" s="5" t="str">
        <f>"TABLETA"</f>
        <v>TABLETA</v>
      </c>
      <c r="H32" s="6">
        <v>1841</v>
      </c>
      <c r="I32" s="6">
        <v>2807.3</v>
      </c>
      <c r="J32" s="5" t="s">
        <v>0</v>
      </c>
    </row>
    <row r="33" spans="1:10" x14ac:dyDescent="0.25">
      <c r="A33" s="5" t="str">
        <f>"229050-1"</f>
        <v>229050-1</v>
      </c>
      <c r="B33" s="5" t="str">
        <f>"ALF0017"</f>
        <v>ALF0017</v>
      </c>
      <c r="C33" s="5" t="str">
        <f>"A11GA031201"</f>
        <v>A11GA031201</v>
      </c>
      <c r="D33" s="5" t="str">
        <f>"ACIDO ASCORBICO 100mg/mL GOTERO x 30mL"</f>
        <v>ACIDO ASCORBICO 100mg/mL GOTERO x 30mL</v>
      </c>
      <c r="E33" s="5" t="str">
        <f>"100mg/mL"</f>
        <v>100mg/mL</v>
      </c>
      <c r="F33" s="5" t="str">
        <f>"FRASCO CON GOTERO"</f>
        <v>FRASCO CON GOTERO</v>
      </c>
      <c r="H33" s="6">
        <v>1890</v>
      </c>
      <c r="I33" s="6">
        <v>7000</v>
      </c>
      <c r="J33" s="5" t="s">
        <v>1</v>
      </c>
    </row>
    <row r="34" spans="1:10" x14ac:dyDescent="0.25">
      <c r="A34" s="5" t="str">
        <f>"19237-1"</f>
        <v>19237-1</v>
      </c>
      <c r="B34" s="5" t="str">
        <f>"ALF0917"</f>
        <v>ALF0917</v>
      </c>
      <c r="C34" s="5" t="str">
        <f>"ALF0917"</f>
        <v>ALF0917</v>
      </c>
      <c r="D34" s="5" t="str">
        <f>"ZIDOVUDINA AMP 10MG/ML"</f>
        <v>ZIDOVUDINA AMP 10MG/ML</v>
      </c>
      <c r="F34" s="5" t="str">
        <f>"AMPOLLA"</f>
        <v>AMPOLLA</v>
      </c>
      <c r="H34" s="6">
        <v>121000</v>
      </c>
      <c r="I34" s="6">
        <v>163350</v>
      </c>
      <c r="J34" s="5" t="s">
        <v>1</v>
      </c>
    </row>
    <row r="35" spans="1:10" x14ac:dyDescent="0.25">
      <c r="B35" s="5" t="str">
        <f>"ALF1086"</f>
        <v>ALF1086</v>
      </c>
      <c r="C35" s="5" t="str">
        <f>"ALF1086"</f>
        <v>ALF1086</v>
      </c>
      <c r="D35" s="5" t="str">
        <f>"FOTORETIN SOL OFTALMICA X 5ML ( FENILEFRINA 5% + TROPICAMIDA0 0.5% )"</f>
        <v>FOTORETIN SOL OFTALMICA X 5ML ( FENILEFRINA 5% + TROPICAMIDA0 0.5% )</v>
      </c>
      <c r="F35" s="5" t="str">
        <f>"FRASCO CON GOTERO"</f>
        <v>FRASCO CON GOTERO</v>
      </c>
      <c r="H35" s="6">
        <v>14143</v>
      </c>
      <c r="I35" s="6">
        <v>25000</v>
      </c>
      <c r="J35" s="5" t="s">
        <v>0</v>
      </c>
    </row>
    <row r="36" spans="1:10" x14ac:dyDescent="0.25">
      <c r="B36" s="5" t="str">
        <f>"ALF1099"</f>
        <v>ALF1099</v>
      </c>
      <c r="C36" s="5" t="str">
        <f>"ALF1099"</f>
        <v>ALF1099</v>
      </c>
      <c r="D36" s="5" t="str">
        <f>"ADENOSINA 6MG/2ML AMPOLLA"</f>
        <v>ADENOSINA 6MG/2ML AMPOLLA</v>
      </c>
      <c r="E36" s="5" t="str">
        <f>"6MG/2ML"</f>
        <v>6MG/2ML</v>
      </c>
      <c r="F36" s="5" t="str">
        <f>"AMPOLLA"</f>
        <v>AMPOLLA</v>
      </c>
      <c r="H36" s="6">
        <v>40000</v>
      </c>
      <c r="I36" s="6">
        <v>101250</v>
      </c>
      <c r="J36" s="5" t="s">
        <v>0</v>
      </c>
    </row>
    <row r="37" spans="1:10" x14ac:dyDescent="0.25">
      <c r="B37" s="5" t="str">
        <f>"ALF1191"</f>
        <v>ALF1191</v>
      </c>
      <c r="C37" s="5" t="str">
        <f>"ALF1191"</f>
        <v>ALF1191</v>
      </c>
      <c r="D37" s="5" t="str">
        <f>"BROMOCRIPTINA 2.5MG TABLETA"</f>
        <v>BROMOCRIPTINA 2.5MG TABLETA</v>
      </c>
      <c r="E37" s="5" t="str">
        <f>"2.5MG"</f>
        <v>2.5MG</v>
      </c>
      <c r="F37" s="5" t="str">
        <f>"TABLETA"</f>
        <v>TABLETA</v>
      </c>
      <c r="H37" s="6">
        <v>544</v>
      </c>
      <c r="I37" s="6">
        <v>952</v>
      </c>
      <c r="J37" s="5" t="s">
        <v>1</v>
      </c>
    </row>
    <row r="38" spans="1:10" x14ac:dyDescent="0.25">
      <c r="A38" s="5" t="str">
        <f>"19999832-3"</f>
        <v>19999832-3</v>
      </c>
      <c r="B38" s="5" t="str">
        <f>"ALF8030"</f>
        <v>ALF8030</v>
      </c>
      <c r="C38" s="5" t="str">
        <f>"ALF8030"</f>
        <v>ALF8030</v>
      </c>
      <c r="D38" s="5" t="str">
        <f>"BETAMETASONA/CLOTRIMAZOL 40 gr CREMA"</f>
        <v>BETAMETASONA/CLOTRIMAZOL 40 gr CREMA</v>
      </c>
      <c r="F38" s="5" t="str">
        <f>"UNIDAD"</f>
        <v>UNIDAD</v>
      </c>
      <c r="H38" s="6">
        <v>11700</v>
      </c>
      <c r="I38" s="6">
        <v>36450</v>
      </c>
      <c r="J38" s="5" t="s">
        <v>1</v>
      </c>
    </row>
    <row r="39" spans="1:10" x14ac:dyDescent="0.25">
      <c r="B39" s="5" t="str">
        <f>"ALF1208"</f>
        <v>ALF1208</v>
      </c>
      <c r="C39" s="5" t="str">
        <f>"ALF1208"</f>
        <v>ALF1208</v>
      </c>
      <c r="D39" s="5" t="str">
        <f>"INSULINA HUMANA LEVEMIR 5X3ML 100U/ML"</f>
        <v>INSULINA HUMANA LEVEMIR 5X3ML 100U/ML</v>
      </c>
      <c r="E39" s="5" t="str">
        <f>"100UI/ML"</f>
        <v>100UI/ML</v>
      </c>
      <c r="F39" s="5" t="str">
        <f>"UNIDAD"</f>
        <v>UNIDAD</v>
      </c>
      <c r="H39" s="6">
        <v>178145</v>
      </c>
      <c r="I39" s="6">
        <v>240495</v>
      </c>
      <c r="J39" s="5" t="s">
        <v>1</v>
      </c>
    </row>
    <row r="40" spans="1:10" x14ac:dyDescent="0.25">
      <c r="B40" s="5" t="str">
        <f>"ALF1209"</f>
        <v>ALF1209</v>
      </c>
      <c r="C40" s="5" t="str">
        <f>"ALF1209"</f>
        <v>ALF1209</v>
      </c>
      <c r="D40" s="5" t="str">
        <f>"DORZOLAMIDA 2% SOLUCION OFTALMICA-DORZOLAM"</f>
        <v>DORZOLAMIDA 2% SOLUCION OFTALMICA-DORZOLAM</v>
      </c>
      <c r="E40" s="5" t="str">
        <f>"2%"</f>
        <v>2%</v>
      </c>
      <c r="F40" s="5" t="str">
        <f>"FRASCO CON GOTERO"</f>
        <v>FRASCO CON GOTERO</v>
      </c>
      <c r="H40" s="6">
        <v>63400</v>
      </c>
      <c r="I40" s="6">
        <v>73170</v>
      </c>
      <c r="J40" s="5" t="s">
        <v>0</v>
      </c>
    </row>
    <row r="41" spans="1:10" x14ac:dyDescent="0.25">
      <c r="B41" s="5" t="str">
        <f>"ALF1218"</f>
        <v>ALF1218</v>
      </c>
      <c r="D41" s="5" t="str">
        <f>"ESTROGENOS CONJUGADOS 0.625MG"</f>
        <v>ESTROGENOS CONJUGADOS 0.625MG</v>
      </c>
      <c r="E41" s="5" t="str">
        <f>"0.625MG"</f>
        <v>0.625MG</v>
      </c>
      <c r="F41" s="5" t="str">
        <f>"UNIDAD"</f>
        <v>UNIDAD</v>
      </c>
      <c r="G41" s="5" t="str">
        <f>"ESTROGENOS CONJUGADOS"</f>
        <v>ESTROGENOS CONJUGADOS</v>
      </c>
      <c r="H41" s="6">
        <v>1635.71</v>
      </c>
      <c r="I41" s="6">
        <v>2210</v>
      </c>
      <c r="J41" s="5" t="s">
        <v>1</v>
      </c>
    </row>
    <row r="42" spans="1:10" x14ac:dyDescent="0.25">
      <c r="A42" s="5" t="str">
        <f>"19980454-1"</f>
        <v>19980454-1</v>
      </c>
      <c r="B42" s="5" t="str">
        <f>"ALF0287"</f>
        <v>ALF0287</v>
      </c>
      <c r="C42" s="5" t="str">
        <f>"N01A F005 70 1"</f>
        <v>N01A F005 70 1</v>
      </c>
      <c r="D42" s="5" t="str">
        <f>"FENTANYL 0.05mg/10mL AMP"</f>
        <v>FENTANYL 0.05mg/10mL AMP</v>
      </c>
      <c r="E42" s="5" t="str">
        <f>"0.05mg/10mL"</f>
        <v>0.05mg/10mL</v>
      </c>
      <c r="F42" s="5" t="str">
        <f>"AMPOLLA"</f>
        <v>AMPOLLA</v>
      </c>
      <c r="G42" s="5" t="str">
        <f>"FANTANYL"</f>
        <v>FANTANYL</v>
      </c>
      <c r="H42" s="6">
        <v>2100</v>
      </c>
      <c r="I42" s="6">
        <v>13964</v>
      </c>
      <c r="J42" s="5" t="s">
        <v>1</v>
      </c>
    </row>
    <row r="43" spans="1:10" x14ac:dyDescent="0.25">
      <c r="A43" s="5" t="str">
        <f>"36574-1"</f>
        <v>36574-1</v>
      </c>
      <c r="B43" s="5" t="str">
        <f>"ALF0156"</f>
        <v>ALF0156</v>
      </c>
      <c r="C43" s="5" t="str">
        <f>"J01DB01"</f>
        <v>J01DB01</v>
      </c>
      <c r="D43" s="5" t="str">
        <f>"CEFALEXINA 500mg TABLETA"</f>
        <v>CEFALEXINA 500mg TABLETA</v>
      </c>
      <c r="E43" s="5" t="str">
        <f>"500mg"</f>
        <v>500mg</v>
      </c>
      <c r="F43" s="5" t="str">
        <f>"TABLETA"</f>
        <v>TABLETA</v>
      </c>
      <c r="G43" s="5" t="str">
        <f>"J01DB01"</f>
        <v>J01DB01</v>
      </c>
      <c r="H43" s="6">
        <v>270</v>
      </c>
      <c r="I43" s="6">
        <v>916</v>
      </c>
      <c r="J43" s="5" t="s">
        <v>1</v>
      </c>
    </row>
    <row r="44" spans="1:10" x14ac:dyDescent="0.25">
      <c r="A44" s="5" t="str">
        <f>"19907929-1"</f>
        <v>19907929-1</v>
      </c>
      <c r="B44" s="5" t="str">
        <f>"ALF0185"</f>
        <v>ALF0185</v>
      </c>
      <c r="C44" s="5" t="str">
        <f>"H02AB006711"</f>
        <v>H02AB006711</v>
      </c>
      <c r="D44" s="5" t="str">
        <f>"CLARITROMICINA 500mg TAB"</f>
        <v>CLARITROMICINA 500mg TAB</v>
      </c>
      <c r="E44" s="5" t="str">
        <f>"500mg"</f>
        <v>500mg</v>
      </c>
      <c r="F44" s="5" t="str">
        <f>"TABLETA"</f>
        <v>TABLETA</v>
      </c>
      <c r="H44" s="6">
        <v>1170</v>
      </c>
      <c r="I44" s="6">
        <v>6984</v>
      </c>
      <c r="J44" s="5" t="s">
        <v>0</v>
      </c>
    </row>
    <row r="45" spans="1:10" x14ac:dyDescent="0.25">
      <c r="A45" s="5" t="str">
        <f>"19993380-4"</f>
        <v>19993380-4</v>
      </c>
      <c r="B45" s="5" t="str">
        <f>"ALF0243"</f>
        <v>ALF0243</v>
      </c>
      <c r="C45" s="5" t="str">
        <f>"J01DH51"</f>
        <v>J01DH51</v>
      </c>
      <c r="D45" s="5" t="str">
        <f>"DORIPENEM 500mg AMP"</f>
        <v>DORIPENEM 500mg AMP</v>
      </c>
      <c r="E45" s="5" t="str">
        <f>"500mg"</f>
        <v>500mg</v>
      </c>
      <c r="F45" s="5" t="str">
        <f>"AMPOLLA"</f>
        <v>AMPOLLA</v>
      </c>
      <c r="H45" s="6">
        <v>86014</v>
      </c>
      <c r="I45" s="6">
        <v>112000</v>
      </c>
      <c r="J45" s="5" t="s">
        <v>0</v>
      </c>
    </row>
    <row r="46" spans="1:10" x14ac:dyDescent="0.25">
      <c r="A46" s="5" t="str">
        <f>"19909450-1"</f>
        <v>19909450-1</v>
      </c>
      <c r="B46" s="5" t="str">
        <f>"ALF0227"</f>
        <v>ALF0227</v>
      </c>
      <c r="C46" s="5" t="str">
        <f>"N03AD013701"</f>
        <v>N03AD013701</v>
      </c>
      <c r="D46" s="5" t="str">
        <f>"DIAZEPAN 10mg/2mL AMP"</f>
        <v>DIAZEPAN 10mg/2mL AMP</v>
      </c>
      <c r="E46" s="5" t="str">
        <f>"10mg/2mL"</f>
        <v>10mg/2mL</v>
      </c>
      <c r="F46" s="5" t="str">
        <f>"AMPOLLA"</f>
        <v>AMPOLLA</v>
      </c>
      <c r="H46" s="6">
        <v>1200</v>
      </c>
      <c r="I46" s="6">
        <v>4926</v>
      </c>
      <c r="J46" s="5" t="s">
        <v>1</v>
      </c>
    </row>
    <row r="47" spans="1:10" x14ac:dyDescent="0.25">
      <c r="A47" s="5" t="str">
        <f>"25796-1"</f>
        <v>25796-1</v>
      </c>
      <c r="B47" s="5" t="str">
        <f>"ALF0485"</f>
        <v>ALF0485</v>
      </c>
      <c r="C47" s="5" t="str">
        <f>"P02CP012141"</f>
        <v>P02CP012141</v>
      </c>
      <c r="D47" s="5" t="str">
        <f>"PAMOATO DE PIRANTEL 250mg"</f>
        <v>PAMOATO DE PIRANTEL 250mg</v>
      </c>
      <c r="E47" s="5" t="str">
        <f>"250mg"</f>
        <v>250mg</v>
      </c>
      <c r="F47" s="5" t="str">
        <f>"FRASCO"</f>
        <v>FRASCO</v>
      </c>
      <c r="H47" s="6">
        <v>2730</v>
      </c>
      <c r="I47" s="6">
        <v>3300</v>
      </c>
      <c r="J47" s="5" t="s">
        <v>1</v>
      </c>
    </row>
    <row r="48" spans="1:10" x14ac:dyDescent="0.25">
      <c r="A48" s="5" t="str">
        <f>"19964448-1"</f>
        <v>19964448-1</v>
      </c>
      <c r="B48" s="5" t="str">
        <f>"ALF0405"</f>
        <v>ALF0405</v>
      </c>
      <c r="C48" s="5" t="str">
        <f>"C09CA0101"</f>
        <v>C09CA0101</v>
      </c>
      <c r="D48" s="5" t="str">
        <f>"LOSARTAN 50mg TABLETA"</f>
        <v>LOSARTAN 50mg TABLETA</v>
      </c>
      <c r="E48" s="5" t="str">
        <f>"50mg"</f>
        <v>50mg</v>
      </c>
      <c r="F48" s="5" t="str">
        <f>"TABLETA"</f>
        <v>TABLETA</v>
      </c>
      <c r="H48" s="6">
        <v>48</v>
      </c>
      <c r="I48" s="6">
        <v>2300</v>
      </c>
      <c r="J48" s="5" t="s">
        <v>1</v>
      </c>
    </row>
    <row r="49" spans="1:10" x14ac:dyDescent="0.25">
      <c r="A49" s="5" t="str">
        <f>"19974072-4"</f>
        <v>19974072-4</v>
      </c>
      <c r="B49" s="5" t="str">
        <f>"ALF0459"</f>
        <v>ALF0459</v>
      </c>
      <c r="C49" s="5" t="str">
        <f>"C08CA05"</f>
        <v>C08CA05</v>
      </c>
      <c r="D49" s="5" t="str">
        <f>"NIFEDIPINO 10mg  CAPSULA"</f>
        <v>NIFEDIPINO 10mg  CAPSULA</v>
      </c>
      <c r="E49" s="5" t="str">
        <f>"10mg"</f>
        <v>10mg</v>
      </c>
      <c r="F49" s="5" t="str">
        <f>"CAPSULA"</f>
        <v>CAPSULA</v>
      </c>
      <c r="H49" s="6">
        <v>220</v>
      </c>
      <c r="I49" s="6">
        <v>1200</v>
      </c>
      <c r="J49" s="5" t="s">
        <v>1</v>
      </c>
    </row>
    <row r="50" spans="1:10" x14ac:dyDescent="0.25">
      <c r="A50" s="5" t="str">
        <f>"19961372-3"</f>
        <v>19961372-3</v>
      </c>
      <c r="B50" s="5" t="str">
        <f>"ALF0500"</f>
        <v>ALF0500</v>
      </c>
      <c r="C50" s="5" t="str">
        <f>"C02CP026011"</f>
        <v>C02CP026011</v>
      </c>
      <c r="D50" s="5" t="str">
        <f>"PRAZOSINA 1mg TAB"</f>
        <v>PRAZOSINA 1mg TAB</v>
      </c>
      <c r="E50" s="5" t="str">
        <f>"1mg"</f>
        <v>1mg</v>
      </c>
      <c r="F50" s="5" t="str">
        <f>"TABLETA"</f>
        <v>TABLETA</v>
      </c>
      <c r="H50" s="6">
        <v>44</v>
      </c>
      <c r="I50" s="6">
        <v>1300</v>
      </c>
      <c r="J50" s="5" t="s">
        <v>1</v>
      </c>
    </row>
    <row r="51" spans="1:10" x14ac:dyDescent="0.25">
      <c r="A51" s="5" t="str">
        <f>"19944251-1"</f>
        <v>19944251-1</v>
      </c>
      <c r="B51" s="5" t="str">
        <f>"ALF0455"</f>
        <v>ALF0455</v>
      </c>
      <c r="C51" s="5" t="str">
        <f>"M01AN002141"</f>
        <v>M01AN002141</v>
      </c>
      <c r="D51" s="5" t="str">
        <f>"NAPROXENO 250mg TAB"</f>
        <v>NAPROXENO 250mg TAB</v>
      </c>
      <c r="E51" s="5" t="str">
        <f>"250mg"</f>
        <v>250mg</v>
      </c>
      <c r="F51" s="5" t="str">
        <f>"TABLETA"</f>
        <v>TABLETA</v>
      </c>
      <c r="H51" s="6">
        <v>95</v>
      </c>
      <c r="I51" s="6">
        <v>540</v>
      </c>
      <c r="J51" s="5" t="s">
        <v>1</v>
      </c>
    </row>
    <row r="52" spans="1:10" x14ac:dyDescent="0.25">
      <c r="A52" s="5" t="str">
        <f>"33438-2"</f>
        <v>33438-2</v>
      </c>
      <c r="B52" s="5" t="str">
        <f>"ALF0583"</f>
        <v>ALF0583</v>
      </c>
      <c r="C52" s="5" t="str">
        <f>"R03DT004151"</f>
        <v>R03DT004151</v>
      </c>
      <c r="D52" s="5" t="str">
        <f>"TEOFILINA 125mg TAB"</f>
        <v>TEOFILINA 125mg TAB</v>
      </c>
      <c r="E52" s="5" t="str">
        <f>"125mg"</f>
        <v>125mg</v>
      </c>
      <c r="F52" s="5" t="str">
        <f>"TABLETA"</f>
        <v>TABLETA</v>
      </c>
      <c r="H52" s="6">
        <v>373</v>
      </c>
      <c r="I52" s="6">
        <v>686</v>
      </c>
      <c r="J52" s="5" t="s">
        <v>1</v>
      </c>
    </row>
    <row r="53" spans="1:10" x14ac:dyDescent="0.25">
      <c r="A53" s="5" t="str">
        <f>"A12BP023211"</f>
        <v>A12BP023211</v>
      </c>
      <c r="B53" s="5" t="str">
        <f>"ALF0311"</f>
        <v>ALF0311</v>
      </c>
      <c r="C53" s="5" t="str">
        <f>"A12BA05"</f>
        <v>A12BA05</v>
      </c>
      <c r="D53" s="5" t="str">
        <f>"GLUCONATO DE POTASIO 31.2%  ION - K ELIXIR  X 180ML"</f>
        <v>GLUCONATO DE POTASIO 31.2%  ION - K ELIXIR  X 180ML</v>
      </c>
      <c r="E53" s="5" t="str">
        <f>"20mEq/15ml"</f>
        <v>20mEq/15ml</v>
      </c>
      <c r="F53" s="5" t="str">
        <f>"FRASCO"</f>
        <v>FRASCO</v>
      </c>
      <c r="H53" s="6">
        <v>11875</v>
      </c>
      <c r="I53" s="6">
        <v>12000</v>
      </c>
      <c r="J53" s="5" t="s">
        <v>1</v>
      </c>
    </row>
    <row r="54" spans="1:10" x14ac:dyDescent="0.25">
      <c r="B54" s="5" t="str">
        <f>"ALF1069"</f>
        <v>ALF1069</v>
      </c>
      <c r="C54" s="5" t="str">
        <f>"ALF1069"</f>
        <v>ALF1069</v>
      </c>
      <c r="D54" s="5" t="str">
        <f>"MOXIFLOXACINO 5 mg/5mL (VIGAMOX GOTAS OFTALMICAS)"</f>
        <v>MOXIFLOXACINO 5 mg/5mL (VIGAMOX GOTAS OFTALMICAS)</v>
      </c>
      <c r="E54" s="5" t="str">
        <f>"5mg/mL"</f>
        <v>5mg/mL</v>
      </c>
      <c r="F54" s="5" t="str">
        <f>"FRASCO CON GOTERO"</f>
        <v>FRASCO CON GOTERO</v>
      </c>
      <c r="H54" s="6">
        <v>32175</v>
      </c>
      <c r="I54" s="6">
        <v>19916</v>
      </c>
      <c r="J54" s="5" t="s">
        <v>0</v>
      </c>
    </row>
    <row r="55" spans="1:10" x14ac:dyDescent="0.25">
      <c r="B55" s="5" t="str">
        <f>"ALF1146"</f>
        <v>ALF1146</v>
      </c>
      <c r="C55" s="5" t="str">
        <f>"ALF1146"</f>
        <v>ALF1146</v>
      </c>
      <c r="D55" s="5" t="str">
        <f>"CARBON ACTIVADO SOBRE 10GR"</f>
        <v>CARBON ACTIVADO SOBRE 10GR</v>
      </c>
      <c r="F55" s="5" t="str">
        <f>"SOBRE"</f>
        <v>SOBRE</v>
      </c>
      <c r="H55" s="6">
        <v>670</v>
      </c>
      <c r="I55" s="6">
        <v>1060</v>
      </c>
      <c r="J55" s="5" t="s">
        <v>0</v>
      </c>
    </row>
    <row r="56" spans="1:10" x14ac:dyDescent="0.25">
      <c r="A56" s="5" t="str">
        <f>"34421-4"</f>
        <v>34421-4</v>
      </c>
      <c r="B56" s="5" t="str">
        <f>"ALF0029"</f>
        <v>ALF0029</v>
      </c>
      <c r="C56" s="5" t="str">
        <f>"A02AA01811"</f>
        <v>A02AA01811</v>
      </c>
      <c r="D56" s="5" t="str">
        <f>"AGUA ESTERIL 500mL"</f>
        <v>AGUA ESTERIL 500mL</v>
      </c>
      <c r="E56" s="5" t="str">
        <f>"100%  usp"</f>
        <v>100%  usp</v>
      </c>
      <c r="F56" s="5" t="str">
        <f>"BOLSA"</f>
        <v>BOLSA</v>
      </c>
      <c r="H56" s="6">
        <v>2663</v>
      </c>
      <c r="I56" s="6">
        <v>4055</v>
      </c>
      <c r="J56" s="5" t="s">
        <v>1</v>
      </c>
    </row>
    <row r="57" spans="1:10" x14ac:dyDescent="0.25">
      <c r="A57" s="5" t="str">
        <f>"38321-2"</f>
        <v>38321-2</v>
      </c>
      <c r="B57" s="5" t="str">
        <f>"ALF0030"</f>
        <v>ALF0030</v>
      </c>
      <c r="C57" s="5" t="str">
        <f>"B05XS00370"</f>
        <v>B05XS00370</v>
      </c>
      <c r="D57" s="5" t="str">
        <f>"AGUA ESTERILPARA IRRIGACION 3000mL"</f>
        <v>AGUA ESTERILPARA IRRIGACION 3000mL</v>
      </c>
      <c r="E57" s="5" t="str">
        <f>"100% usp"</f>
        <v>100% usp</v>
      </c>
      <c r="F57" s="5" t="str">
        <f>"BOLSA"</f>
        <v>BOLSA</v>
      </c>
      <c r="H57" s="6">
        <v>28600</v>
      </c>
      <c r="I57" s="6">
        <v>35000</v>
      </c>
      <c r="J57" s="5" t="s">
        <v>1</v>
      </c>
    </row>
    <row r="58" spans="1:10" x14ac:dyDescent="0.25">
      <c r="A58" s="5" t="str">
        <f>"19967735-1"</f>
        <v>19967735-1</v>
      </c>
      <c r="B58" s="5" t="str">
        <f>"ALF0273"</f>
        <v>ALF0273</v>
      </c>
      <c r="C58" s="5" t="str">
        <f>"B03XA01"</f>
        <v>B03XA01</v>
      </c>
      <c r="D58" s="5" t="str">
        <f>"ERITROPOYETINA 2000UI  AMP"</f>
        <v>ERITROPOYETINA 2000UI  AMP</v>
      </c>
      <c r="E58" s="5" t="str">
        <f>"2000UI"</f>
        <v>2000UI</v>
      </c>
      <c r="F58" s="5" t="str">
        <f>"AMPOLLA"</f>
        <v>AMPOLLA</v>
      </c>
      <c r="G58" s="5" t="str">
        <f>"ERITROPOYETINA"</f>
        <v>ERITROPOYETINA</v>
      </c>
      <c r="H58" s="6">
        <v>7410</v>
      </c>
      <c r="I58" s="6">
        <v>14160</v>
      </c>
      <c r="J58" s="5" t="s">
        <v>1</v>
      </c>
    </row>
    <row r="59" spans="1:10" x14ac:dyDescent="0.25">
      <c r="A59" s="5" t="str">
        <f>"20046585-1"</f>
        <v>20046585-1</v>
      </c>
      <c r="B59" s="5" t="str">
        <f>"ALF0133"</f>
        <v>ALF0133</v>
      </c>
      <c r="C59" s="5" t="str">
        <f>"N03AC005231"</f>
        <v>N03AC005231</v>
      </c>
      <c r="D59" s="5" t="str">
        <f>"CARBAMAZEPINA 2% SUSPENCION x 120mL"</f>
        <v>CARBAMAZEPINA 2% SUSPENCION x 120mL</v>
      </c>
      <c r="E59" s="5" t="str">
        <f>"2g/100mL"</f>
        <v>2g/100mL</v>
      </c>
      <c r="F59" s="5" t="str">
        <f>"FRASCO"</f>
        <v>FRASCO</v>
      </c>
      <c r="H59" s="6">
        <v>5265</v>
      </c>
      <c r="I59" s="6">
        <v>7503.74</v>
      </c>
      <c r="J59" s="5" t="s">
        <v>1</v>
      </c>
    </row>
    <row r="60" spans="1:10" x14ac:dyDescent="0.25">
      <c r="A60" s="5" t="str">
        <f>"21535­1"</f>
        <v>21535­1</v>
      </c>
      <c r="B60" s="5" t="str">
        <f>"ALF0168"</f>
        <v>ALF0168</v>
      </c>
      <c r="C60" s="5" t="str">
        <f>"R03BB002452"</f>
        <v>R03BB002452</v>
      </c>
      <c r="D60" s="5" t="str">
        <f>"CICLOFOSFAMIDA 1g AMPOLLA (ENDOXAN)"</f>
        <v>CICLOFOSFAMIDA 1g AMPOLLA (ENDOXAN)</v>
      </c>
      <c r="E60" s="5" t="str">
        <f>"1g"</f>
        <v>1g</v>
      </c>
      <c r="F60" s="5" t="str">
        <f>"AMPOLLA"</f>
        <v>AMPOLLA</v>
      </c>
      <c r="H60" s="6">
        <v>49566</v>
      </c>
      <c r="I60" s="6">
        <v>134930</v>
      </c>
      <c r="J60" s="5" t="s">
        <v>1</v>
      </c>
    </row>
    <row r="61" spans="1:10" x14ac:dyDescent="0.25">
      <c r="A61" s="5" t="str">
        <f>"42034-1"</f>
        <v>42034-1</v>
      </c>
      <c r="B61" s="5" t="str">
        <f>"ALF0337"</f>
        <v>ALF0337</v>
      </c>
      <c r="C61" s="5" t="str">
        <f>"D08AA016311"</f>
        <v>D08AA016311</v>
      </c>
      <c r="D61" s="5" t="str">
        <f>"HIDROXIUREA 500mg CAPSULA (HYDREA)"</f>
        <v>HIDROXIUREA 500mg CAPSULA (HYDREA)</v>
      </c>
      <c r="E61" s="5" t="str">
        <f>"500mg"</f>
        <v>500mg</v>
      </c>
      <c r="F61" s="5" t="str">
        <f>"CAPSULA"</f>
        <v>CAPSULA</v>
      </c>
      <c r="G61" s="5" t="str">
        <f>"HIDROXICARBAMIDA O HIDROXIUREA"</f>
        <v>HIDROXICARBAMIDA O HIDROXIUREA</v>
      </c>
      <c r="H61" s="6">
        <v>1909</v>
      </c>
      <c r="I61" s="6">
        <v>2500</v>
      </c>
      <c r="J61" s="5" t="s">
        <v>1</v>
      </c>
    </row>
    <row r="62" spans="1:10" x14ac:dyDescent="0.25">
      <c r="A62" s="5" t="str">
        <f>"29523-2"</f>
        <v>29523-2</v>
      </c>
      <c r="B62" s="5" t="str">
        <f>"ALF0194"</f>
        <v>ALF0194</v>
      </c>
      <c r="C62" s="5" t="str">
        <f>"B05BS004701"</f>
        <v>B05BS004701</v>
      </c>
      <c r="D62" s="5" t="str">
        <f>"CLORURO DE SODIO 0.9%  50mL"</f>
        <v>CLORURO DE SODIO 0.9%  50mL</v>
      </c>
      <c r="E62" s="5" t="str">
        <f>"0.09%  x 50ml"</f>
        <v>0.09%  x 50ml</v>
      </c>
      <c r="F62" s="5" t="str">
        <f>"BOLSA"</f>
        <v>BOLSA</v>
      </c>
      <c r="H62" s="6">
        <v>1738</v>
      </c>
      <c r="I62" s="6">
        <v>2819</v>
      </c>
      <c r="J62" s="5" t="s">
        <v>1</v>
      </c>
    </row>
    <row r="63" spans="1:10" x14ac:dyDescent="0.25">
      <c r="A63" s="5" t="str">
        <f>"19932754-4"</f>
        <v>19932754-4</v>
      </c>
      <c r="B63" s="5" t="str">
        <f>"ALF0195"</f>
        <v>ALF0195</v>
      </c>
      <c r="C63" s="5" t="str">
        <f>"B05BS004701"</f>
        <v>B05BS004701</v>
      </c>
      <c r="D63" s="5" t="str">
        <f>"CLORURO DE SODIO 0.9% 100mL"</f>
        <v>CLORURO DE SODIO 0.9% 100mL</v>
      </c>
      <c r="E63" s="5" t="str">
        <f>"0.9% X 100ML"</f>
        <v>0.9% X 100ML</v>
      </c>
      <c r="F63" s="5" t="str">
        <f>"BOLSA X 100ML"</f>
        <v>BOLSA X 100ML</v>
      </c>
      <c r="H63" s="6">
        <v>1900</v>
      </c>
      <c r="I63" s="6">
        <v>3600</v>
      </c>
      <c r="J63" s="5" t="s">
        <v>1</v>
      </c>
    </row>
    <row r="64" spans="1:10" x14ac:dyDescent="0.25">
      <c r="A64" s="5" t="str">
        <f>"29523-1"</f>
        <v>29523-1</v>
      </c>
      <c r="B64" s="5" t="str">
        <f>"ALF0196"</f>
        <v>ALF0196</v>
      </c>
      <c r="C64" s="5" t="str">
        <f>"B05BS004701"</f>
        <v>B05BS004701</v>
      </c>
      <c r="D64" s="5" t="str">
        <f>"CLORURO DE SODIO 0.9% 250mL"</f>
        <v>CLORURO DE SODIO 0.9% 250mL</v>
      </c>
      <c r="E64" s="5" t="str">
        <f>"0.9% X 250ML"</f>
        <v>0.9% X 250ML</v>
      </c>
      <c r="F64" s="5" t="str">
        <f t="shared" ref="F64:F68" si="0">"BOLSA"</f>
        <v>BOLSA</v>
      </c>
      <c r="H64" s="6">
        <v>2300</v>
      </c>
      <c r="I64" s="6">
        <v>3700</v>
      </c>
      <c r="J64" s="5" t="s">
        <v>1</v>
      </c>
    </row>
    <row r="65" spans="1:10" x14ac:dyDescent="0.25">
      <c r="A65" s="5" t="str">
        <f>"29523-1"</f>
        <v>29523-1</v>
      </c>
      <c r="B65" s="5" t="str">
        <f>"ALF0197"</f>
        <v>ALF0197</v>
      </c>
      <c r="C65" s="5" t="str">
        <f>"B05BS004701"</f>
        <v>B05BS004701</v>
      </c>
      <c r="D65" s="5" t="str">
        <f>"CLORURO DE SODIO 0.9% 25mL"</f>
        <v>CLORURO DE SODIO 0.9% 25mL</v>
      </c>
      <c r="E65" s="5" t="str">
        <f>"0.9% 25mL"</f>
        <v>0.9% 25mL</v>
      </c>
      <c r="F65" s="5" t="str">
        <f t="shared" si="0"/>
        <v>BOLSA</v>
      </c>
      <c r="H65" s="6">
        <v>1826</v>
      </c>
      <c r="I65" s="6">
        <v>2350</v>
      </c>
      <c r="J65" s="5" t="s">
        <v>1</v>
      </c>
    </row>
    <row r="66" spans="1:10" x14ac:dyDescent="0.25">
      <c r="A66" s="5" t="str">
        <f>"19932754-2"</f>
        <v>19932754-2</v>
      </c>
      <c r="B66" s="5" t="str">
        <f>"ALF0198"</f>
        <v>ALF0198</v>
      </c>
      <c r="C66" s="5" t="str">
        <f>"B05BS004701"</f>
        <v>B05BS004701</v>
      </c>
      <c r="D66" s="5" t="str">
        <f>"CLORURO DE SODIO 0.9% 500mL"</f>
        <v>CLORURO DE SODIO 0.9% 500mL</v>
      </c>
      <c r="E66" s="5" t="str">
        <f>"0.9% 500ML"</f>
        <v>0.9% 500ML</v>
      </c>
      <c r="F66" s="5" t="str">
        <f t="shared" si="0"/>
        <v>BOLSA</v>
      </c>
      <c r="H66" s="6">
        <v>2370</v>
      </c>
      <c r="I66" s="6">
        <v>3800</v>
      </c>
      <c r="J66" s="5" t="s">
        <v>1</v>
      </c>
    </row>
    <row r="67" spans="1:10" x14ac:dyDescent="0.25">
      <c r="A67" s="5" t="str">
        <f>"204298-2"</f>
        <v>204298-2</v>
      </c>
      <c r="B67" s="5" t="str">
        <f>"ALF0322"</f>
        <v>ALF0322</v>
      </c>
      <c r="C67" s="5" t="str">
        <f>"B05ZS012751"</f>
        <v>B05ZS012751</v>
      </c>
      <c r="D67" s="5" t="str">
        <f>"SOLUCIONES PARA HEMODIALISIS- BICARBONATO"</f>
        <v>SOLUCIONES PARA HEMODIALISIS- BICARBONATO</v>
      </c>
      <c r="E67" s="5" t="str">
        <f>"3.43 LITROS"</f>
        <v>3.43 LITROS</v>
      </c>
      <c r="F67" s="5" t="str">
        <f t="shared" si="0"/>
        <v>BOLSA</v>
      </c>
      <c r="H67" s="6">
        <v>14475</v>
      </c>
      <c r="I67" s="6">
        <v>19800</v>
      </c>
      <c r="J67" s="5" t="s">
        <v>1</v>
      </c>
    </row>
    <row r="68" spans="1:10" x14ac:dyDescent="0.25">
      <c r="A68" s="5" t="str">
        <f>"32606-2"</f>
        <v>32606-2</v>
      </c>
      <c r="B68" s="5" t="str">
        <f>"ALF0382"</f>
        <v>ALF0382</v>
      </c>
      <c r="C68" s="5" t="str">
        <f>"B05XR007701"</f>
        <v>B05XR007701</v>
      </c>
      <c r="D68" s="5" t="str">
        <f>"LACTATO DE RINGER 500mL"</f>
        <v>LACTATO DE RINGER 500mL</v>
      </c>
      <c r="E68" s="5" t="str">
        <f>"500ML"</f>
        <v>500ML</v>
      </c>
      <c r="F68" s="5" t="str">
        <f t="shared" si="0"/>
        <v>BOLSA</v>
      </c>
      <c r="H68" s="6">
        <v>1958</v>
      </c>
      <c r="I68" s="6">
        <v>4218</v>
      </c>
      <c r="J68" s="5" t="s">
        <v>1</v>
      </c>
    </row>
    <row r="69" spans="1:10" x14ac:dyDescent="0.25">
      <c r="A69" s="5" t="str">
        <f>"9108-4"</f>
        <v>9108-4</v>
      </c>
      <c r="B69" s="5" t="str">
        <f>"ALF0323"</f>
        <v>ALF0323</v>
      </c>
      <c r="C69" s="5" t="str">
        <f>"B05ZS012751"</f>
        <v>B05ZS012751</v>
      </c>
      <c r="D69" s="5" t="str">
        <f>"SOLUCIONES PARA HEMODIALISIS-ACIDO"</f>
        <v>SOLUCIONES PARA HEMODIALISIS-ACIDO</v>
      </c>
      <c r="E69" s="5" t="str">
        <f>"3.43LITROS"</f>
        <v>3.43LITROS</v>
      </c>
      <c r="F69" s="5" t="str">
        <f>"GALON"</f>
        <v>GALON</v>
      </c>
      <c r="G69" s="5" t="str">
        <f>"B05ZA98 CUM"</f>
        <v>B05ZA98 CUM</v>
      </c>
      <c r="H69" s="6">
        <v>17651</v>
      </c>
      <c r="I69" s="6">
        <v>22580</v>
      </c>
      <c r="J69" s="5" t="s">
        <v>1</v>
      </c>
    </row>
    <row r="70" spans="1:10" x14ac:dyDescent="0.25">
      <c r="A70" s="5" t="str">
        <f>"29514-2"</f>
        <v>29514-2</v>
      </c>
      <c r="B70" s="5" t="str">
        <f>"ALF0482"</f>
        <v>ALF0482</v>
      </c>
      <c r="C70" s="5" t="str">
        <f>"B05BM002702"</f>
        <v>B05BM002702</v>
      </c>
      <c r="D70" s="5" t="str">
        <f>"OSMORIN MANITOL 20% 500mL"</f>
        <v>OSMORIN MANITOL 20% 500mL</v>
      </c>
      <c r="E70" s="5" t="str">
        <f>"20% X 500ML"</f>
        <v>20% X 500ML</v>
      </c>
      <c r="F70" s="5" t="str">
        <f>"BOLSA"</f>
        <v>BOLSA</v>
      </c>
      <c r="H70" s="6">
        <v>15240</v>
      </c>
      <c r="I70" s="6">
        <v>21000</v>
      </c>
      <c r="J70" s="5" t="s">
        <v>1</v>
      </c>
    </row>
    <row r="71" spans="1:10" x14ac:dyDescent="0.25">
      <c r="A71" s="5" t="str">
        <f>"20032500-1"</f>
        <v>20032500-1</v>
      </c>
      <c r="B71" s="5" t="str">
        <f>"ALF0722"</f>
        <v>ALF0722</v>
      </c>
      <c r="C71" s="5" t="str">
        <f>"V06DA02123 1"</f>
        <v>V06DA02123 1</v>
      </c>
      <c r="D71" s="5" t="str">
        <f>"AMINOACIDOS ESENCIALES CON O SIN ELECTROLITOS N7/1000ML*"</f>
        <v>AMINOACIDOS ESENCIALES CON O SIN ELECTROLITOS N7/1000ML*</v>
      </c>
      <c r="E71" s="5" t="str">
        <f>"N7/100ML"</f>
        <v>N7/100ML</v>
      </c>
      <c r="F71" s="5" t="str">
        <f>"BOLSA"</f>
        <v>BOLSA</v>
      </c>
      <c r="H71" s="6">
        <v>328081</v>
      </c>
      <c r="I71" s="6">
        <v>347000</v>
      </c>
      <c r="J71" s="5" t="s">
        <v>1</v>
      </c>
    </row>
    <row r="72" spans="1:10" x14ac:dyDescent="0.25">
      <c r="A72" s="5" t="str">
        <f>"B05BA021701"</f>
        <v>B05BA021701</v>
      </c>
      <c r="B72" s="5" t="str">
        <f>"ALF0738"</f>
        <v>ALF0738</v>
      </c>
      <c r="C72" s="5" t="str">
        <f>"B05B A021 70 1"</f>
        <v>B05B A021 70 1</v>
      </c>
      <c r="D72" s="5" t="str">
        <f>"AMINOACIDOS  10.0  %  S.E. X 100 ML"</f>
        <v>AMINOACIDOS  10.0  %  S.E. X 100 ML</v>
      </c>
      <c r="E72" s="5" t="str">
        <f>"10.0% X 10ML"</f>
        <v>10.0% X 10ML</v>
      </c>
      <c r="F72" s="5" t="str">
        <f>"FRASCO"</f>
        <v>FRASCO</v>
      </c>
      <c r="H72" s="6">
        <v>80246</v>
      </c>
      <c r="I72" s="6">
        <v>95000</v>
      </c>
      <c r="J72" s="5" t="s">
        <v>1</v>
      </c>
    </row>
    <row r="73" spans="1:10" x14ac:dyDescent="0.25">
      <c r="B73" s="5" t="str">
        <f>"ALF0990"</f>
        <v>ALF0990</v>
      </c>
      <c r="C73" s="5" t="str">
        <f>"ALF0990"</f>
        <v>ALF0990</v>
      </c>
      <c r="D73" s="5" t="str">
        <f>"AMINOACIDOS ESENCIALES CON O SIN ELECTROLITOS N4E /1500ML* ( PERIOLIMEL )"</f>
        <v>AMINOACIDOS ESENCIALES CON O SIN ELECTROLITOS N4E /1500ML* ( PERIOLIMEL )</v>
      </c>
      <c r="F73" s="5" t="str">
        <f t="shared" ref="F73" si="1">"UNIDAD"</f>
        <v>UNIDAD</v>
      </c>
      <c r="H73" s="6">
        <v>220050</v>
      </c>
      <c r="I73" s="6">
        <v>310000</v>
      </c>
      <c r="J73" s="5" t="s">
        <v>1</v>
      </c>
    </row>
    <row r="74" spans="1:10" x14ac:dyDescent="0.25">
      <c r="B74" s="5" t="str">
        <f>"ALF1152"</f>
        <v>ALF1152</v>
      </c>
      <c r="C74" s="5" t="str">
        <f>"ALF1152"</f>
        <v>ALF1152</v>
      </c>
      <c r="D74" s="5" t="str">
        <f>"LACTATO DE RINGER 3000mL"</f>
        <v>LACTATO DE RINGER 3000mL</v>
      </c>
      <c r="E74" s="5" t="str">
        <f>"3000ML"</f>
        <v>3000ML</v>
      </c>
      <c r="F74" s="5" t="str">
        <f>"BOLSA"</f>
        <v>BOLSA</v>
      </c>
      <c r="H74" s="6">
        <v>22515</v>
      </c>
      <c r="I74" s="6">
        <v>29269</v>
      </c>
      <c r="J74" s="5" t="s">
        <v>1</v>
      </c>
    </row>
    <row r="75" spans="1:10" x14ac:dyDescent="0.25">
      <c r="B75" s="5" t="str">
        <f>"ALF1182"</f>
        <v>ALF1182</v>
      </c>
      <c r="C75" s="5" t="str">
        <f>"ALF1182"</f>
        <v>ALF1182</v>
      </c>
      <c r="D75" s="5" t="str">
        <f>"NITROGLICERINA AMPOLLA 50MG-250MCG/250ML"</f>
        <v>NITROGLICERINA AMPOLLA 50MG-250MCG/250ML</v>
      </c>
      <c r="E75" s="5" t="str">
        <f>"50MG/250ML"</f>
        <v>50MG/250ML</v>
      </c>
      <c r="F75" s="5" t="str">
        <f>"AMPOLLA"</f>
        <v>AMPOLLA</v>
      </c>
      <c r="G75" s="5" t="str">
        <f>"TRINITRATO DE GLICERILO"</f>
        <v>TRINITRATO DE GLICERILO</v>
      </c>
      <c r="H75" s="6">
        <v>34489</v>
      </c>
      <c r="I75" s="6">
        <v>43500</v>
      </c>
      <c r="J75" s="5" t="s">
        <v>1</v>
      </c>
    </row>
    <row r="76" spans="1:10" x14ac:dyDescent="0.25">
      <c r="B76" s="5" t="str">
        <f>"ALF1190"</f>
        <v>ALF1190</v>
      </c>
      <c r="C76" s="5" t="str">
        <f>"ALF1190"</f>
        <v>ALF1190</v>
      </c>
      <c r="D76" s="5" t="str">
        <f>"DESFLURANO 100 ml (SUPRANE) FRASCO"</f>
        <v>DESFLURANO 100 ml (SUPRANE) FRASCO</v>
      </c>
      <c r="E76" s="5" t="str">
        <f>"100 ml"</f>
        <v>100 ml</v>
      </c>
      <c r="F76" s="5" t="str">
        <f>"FRASCO"</f>
        <v>FRASCO</v>
      </c>
      <c r="H76" s="6">
        <v>709545</v>
      </c>
      <c r="I76" s="6">
        <v>1147718</v>
      </c>
      <c r="J76" s="5" t="s">
        <v>1</v>
      </c>
    </row>
    <row r="77" spans="1:10" x14ac:dyDescent="0.25">
      <c r="B77" s="5" t="str">
        <f>"ALF1249"</f>
        <v>ALF1249</v>
      </c>
      <c r="D77" s="5" t="str">
        <f>"AMINOACIDOS ESENCIALES CON O SIN ELECTROLITOS N9 1500ML"</f>
        <v>AMINOACIDOS ESENCIALES CON O SIN ELECTROLITOS N9 1500ML</v>
      </c>
      <c r="F77" s="5" t="str">
        <f>"BOLSA"</f>
        <v>BOLSA</v>
      </c>
      <c r="H77" s="6">
        <v>264290</v>
      </c>
      <c r="I77" s="6">
        <v>631515</v>
      </c>
      <c r="J77" s="5" t="s">
        <v>1</v>
      </c>
    </row>
    <row r="78" spans="1:10" x14ac:dyDescent="0.25">
      <c r="A78" s="5" t="str">
        <f>"19946928-1"</f>
        <v>19946928-1</v>
      </c>
      <c r="B78" s="5" t="str">
        <f>"ALF0008"</f>
        <v>ALF0008</v>
      </c>
      <c r="C78" s="5" t="str">
        <f>"N02AT020201"</f>
        <v>N02AT020201</v>
      </c>
      <c r="D78" s="5" t="str">
        <f>"ACETATO DE ALUMINIO LOCION FRASCO X 120ML"</f>
        <v>ACETATO DE ALUMINIO LOCION FRASCO X 120ML</v>
      </c>
      <c r="E78" s="5" t="str">
        <f>"0.053GR"</f>
        <v>0.053GR</v>
      </c>
      <c r="F78" s="5" t="str">
        <f>"FRASCO"</f>
        <v>FRASCO</v>
      </c>
      <c r="H78" s="6">
        <v>4373</v>
      </c>
      <c r="I78" s="6">
        <v>15500</v>
      </c>
      <c r="J78" s="5" t="s">
        <v>0</v>
      </c>
    </row>
    <row r="79" spans="1:10" x14ac:dyDescent="0.25">
      <c r="A79" s="5" t="str">
        <f>"200637-1"</f>
        <v>200637-1</v>
      </c>
      <c r="B79" s="5" t="str">
        <f>"ALF0050"</f>
        <v>ALF0050</v>
      </c>
      <c r="C79" s="5" t="str">
        <f>"J01CA025232"</f>
        <v>J01CA025232</v>
      </c>
      <c r="D79" s="5" t="str">
        <f>"ALBÚMINA HUMANA NORMAL20% - 25%SOLUCIÓN INYECTABLE"</f>
        <v>ALBÚMINA HUMANA NORMAL20% - 25%SOLUCIÓN INYECTABLE</v>
      </c>
      <c r="E79" s="5" t="str">
        <f>"20%"</f>
        <v>20%</v>
      </c>
      <c r="F79" s="5" t="str">
        <f>"AMPOLLA"</f>
        <v>AMPOLLA</v>
      </c>
      <c r="H79" s="6">
        <v>150000</v>
      </c>
      <c r="I79" s="6">
        <v>297000</v>
      </c>
      <c r="J79" s="5" t="s">
        <v>1</v>
      </c>
    </row>
    <row r="80" spans="1:10" x14ac:dyDescent="0.25">
      <c r="A80" s="5" t="str">
        <f>"19972542-2"</f>
        <v>19972542-2</v>
      </c>
      <c r="B80" s="5" t="str">
        <f>"ALF0072"</f>
        <v>ALF0072</v>
      </c>
      <c r="C80" s="5" t="str">
        <f>"J01CA025232"</f>
        <v>J01CA025232</v>
      </c>
      <c r="D80" s="5" t="str">
        <f>"AMOXICILINA250 mg/5 mL de base (5%) POLVO PARA RECONSTITUIR A SUSPENSIÓN ORAL"</f>
        <v>AMOXICILINA250 mg/5 mL de base (5%) POLVO PARA RECONSTITUIR A SUSPENSIÓN ORAL</v>
      </c>
      <c r="E80" s="5" t="str">
        <f>"250mg/5mL"</f>
        <v>250mg/5mL</v>
      </c>
      <c r="F80" s="5" t="str">
        <f>"FRASCO"</f>
        <v>FRASCO</v>
      </c>
      <c r="G80" s="5" t="str">
        <f>"AMOXICILINA"</f>
        <v>AMOXICILINA</v>
      </c>
      <c r="H80" s="6">
        <v>3640</v>
      </c>
      <c r="I80" s="6">
        <v>29375</v>
      </c>
      <c r="J80" s="5" t="s">
        <v>1</v>
      </c>
    </row>
    <row r="81" spans="1:10" x14ac:dyDescent="0.25">
      <c r="A81" s="5" t="str">
        <f>"46266-1"</f>
        <v>46266-1</v>
      </c>
      <c r="B81" s="5" t="str">
        <f>"ALF0089"</f>
        <v>ALF0089</v>
      </c>
      <c r="C81" s="5" t="str">
        <f>"L04AA034011"</f>
        <v>L04AA034011</v>
      </c>
      <c r="D81" s="5" t="str">
        <f>"AZATIOPRINA 50mg TAB (IMURAN)"</f>
        <v>AZATIOPRINA 50mg TAB (IMURAN)</v>
      </c>
      <c r="E81" s="5" t="str">
        <f>"50mg"</f>
        <v>50mg</v>
      </c>
      <c r="F81" s="5" t="str">
        <f>"TABLETA"</f>
        <v>TABLETA</v>
      </c>
      <c r="H81" s="6">
        <v>1735</v>
      </c>
      <c r="I81" s="6">
        <v>2480</v>
      </c>
      <c r="J81" s="5" t="s">
        <v>1</v>
      </c>
    </row>
    <row r="82" spans="1:10" x14ac:dyDescent="0.25">
      <c r="A82" s="5" t="str">
        <f>"19924029-1"</f>
        <v>19924029-1</v>
      </c>
      <c r="B82" s="5" t="str">
        <f>"ALF0451"</f>
        <v>ALF0451</v>
      </c>
      <c r="C82" s="5" t="str">
        <f>"J01MA1401"</f>
        <v>J01MA1401</v>
      </c>
      <c r="D82" s="5" t="str">
        <f>"MOXIfloxacino 400mg/250mL AMPOLLA (AVELOX IV)"</f>
        <v>MOXIfloxacino 400mg/250mL AMPOLLA (AVELOX IV)</v>
      </c>
      <c r="E82" s="5" t="str">
        <f>"400mg/250mL"</f>
        <v>400mg/250mL</v>
      </c>
      <c r="F82" s="5" t="str">
        <f>"AMPOLLA"</f>
        <v>AMPOLLA</v>
      </c>
      <c r="H82" s="6">
        <v>101250</v>
      </c>
      <c r="I82" s="6">
        <v>146614</v>
      </c>
      <c r="J82" s="5" t="s">
        <v>0</v>
      </c>
    </row>
    <row r="83" spans="1:10" x14ac:dyDescent="0.25">
      <c r="A83" s="5" t="str">
        <f>"19933146-1"</f>
        <v>19933146-1</v>
      </c>
      <c r="B83" s="5" t="str">
        <f>"ALF0280"</f>
        <v>ALF0280</v>
      </c>
      <c r="C83" s="5" t="str">
        <f>"N03AF002701"</f>
        <v>N03AF002701</v>
      </c>
      <c r="D83" s="5" t="str">
        <f>"FENITOINA SODICA 250mg/5mL AMP"</f>
        <v>FENITOINA SODICA 250mg/5mL AMP</v>
      </c>
      <c r="E83" s="5" t="str">
        <f>"250mg/5mL"</f>
        <v>250mg/5mL</v>
      </c>
      <c r="F83" s="5" t="str">
        <f>"AMPOLLA"</f>
        <v>AMPOLLA</v>
      </c>
      <c r="H83" s="6">
        <v>2842</v>
      </c>
      <c r="I83" s="6">
        <v>27854</v>
      </c>
      <c r="J83" s="5" t="s">
        <v>1</v>
      </c>
    </row>
    <row r="84" spans="1:10" x14ac:dyDescent="0.25">
      <c r="A84" s="5" t="str">
        <f>"208474-4"</f>
        <v>208474-4</v>
      </c>
      <c r="B84" s="5" t="str">
        <f>"ALF0278"</f>
        <v>ALF0278</v>
      </c>
      <c r="C84" s="5" t="str">
        <f>"B02BX01"</f>
        <v>B02BX01</v>
      </c>
      <c r="D84" s="5" t="str">
        <f>"ETAMSILATO 250mg AMP (DICYNONE)"</f>
        <v>ETAMSILATO 250mg AMP (DICYNONE)</v>
      </c>
      <c r="E84" s="5" t="str">
        <f>"250mg"</f>
        <v>250mg</v>
      </c>
      <c r="F84" s="5" t="str">
        <f>"AMPOLLA"</f>
        <v>AMPOLLA</v>
      </c>
      <c r="H84" s="6">
        <v>12652</v>
      </c>
      <c r="I84" s="6">
        <v>15117</v>
      </c>
      <c r="J84" s="5" t="s">
        <v>0</v>
      </c>
    </row>
    <row r="85" spans="1:10" x14ac:dyDescent="0.25">
      <c r="A85" s="5" t="str">
        <f>"19953252-1"</f>
        <v>19953252-1</v>
      </c>
      <c r="B85" s="5" t="str">
        <f>"ALF0444"</f>
        <v>ALF0444</v>
      </c>
      <c r="C85" s="5" t="str">
        <f>"C02DC01"</f>
        <v>C02DC01</v>
      </c>
      <c r="D85" s="5" t="str">
        <f>"MINOXIDIL 10mg TAB"</f>
        <v>MINOXIDIL 10mg TAB</v>
      </c>
      <c r="E85" s="5" t="str">
        <f>"10mg"</f>
        <v>10mg</v>
      </c>
      <c r="F85" s="5" t="str">
        <f>"TABLETA"</f>
        <v>TABLETA</v>
      </c>
      <c r="H85" s="6">
        <v>400</v>
      </c>
      <c r="I85" s="6">
        <v>1551</v>
      </c>
      <c r="J85" s="5" t="s">
        <v>0</v>
      </c>
    </row>
    <row r="86" spans="1:10" x14ac:dyDescent="0.25">
      <c r="A86" s="5" t="str">
        <f>"19950278-1"</f>
        <v>19950278-1</v>
      </c>
      <c r="B86" s="5" t="str">
        <f>"ALF0920"</f>
        <v>ALF0920</v>
      </c>
      <c r="C86" s="5" t="str">
        <f>"G03CA53"</f>
        <v>G03CA53</v>
      </c>
      <c r="D86" s="5" t="str">
        <f>"PROGYLUTON (VALERATO DE ESTRADIOL 2mg )"</f>
        <v>PROGYLUTON (VALERATO DE ESTRADIOL 2mg )</v>
      </c>
      <c r="F86" s="5" t="str">
        <f>"TABLETA"</f>
        <v>TABLETA</v>
      </c>
      <c r="H86" s="6">
        <v>1061.9000000000001</v>
      </c>
      <c r="I86" s="6">
        <v>1400</v>
      </c>
      <c r="J86" s="5" t="s">
        <v>0</v>
      </c>
    </row>
    <row r="87" spans="1:10" x14ac:dyDescent="0.25">
      <c r="B87" s="5" t="str">
        <f>"ALF1040"</f>
        <v>ALF1040</v>
      </c>
      <c r="C87" s="5" t="str">
        <f>"ALF1040"</f>
        <v>ALF1040</v>
      </c>
      <c r="D87" s="5" t="str">
        <f>"ACETATO DE ALUMINIO 2.2GR SOBRE"</f>
        <v>ACETATO DE ALUMINIO 2.2GR SOBRE</v>
      </c>
      <c r="F87" s="5" t="str">
        <f>"SOBRE"</f>
        <v>SOBRE</v>
      </c>
      <c r="H87" s="6">
        <v>1000</v>
      </c>
      <c r="I87" s="6">
        <v>1100</v>
      </c>
      <c r="J87" s="5" t="s">
        <v>0</v>
      </c>
    </row>
    <row r="88" spans="1:10" x14ac:dyDescent="0.25">
      <c r="B88" s="5" t="str">
        <f>"ALF1140"</f>
        <v>ALF1140</v>
      </c>
      <c r="C88" s="5" t="str">
        <f>"ALF1140"</f>
        <v>ALF1140</v>
      </c>
      <c r="D88" s="5" t="str">
        <f>"RIVAROBAXAN 20MG COMPRIMIDO"</f>
        <v>RIVAROBAXAN 20MG COMPRIMIDO</v>
      </c>
      <c r="F88" s="5" t="str">
        <f>"TABLETA"</f>
        <v>TABLETA</v>
      </c>
      <c r="H88" s="6">
        <v>6585.72</v>
      </c>
      <c r="I88" s="6">
        <v>7800</v>
      </c>
      <c r="J88" s="5" t="s">
        <v>0</v>
      </c>
    </row>
    <row r="89" spans="1:10" x14ac:dyDescent="0.25">
      <c r="B89" s="5" t="str">
        <f>"ALF1172"</f>
        <v>ALF1172</v>
      </c>
      <c r="C89" s="5" t="str">
        <f>"ALF1172"</f>
        <v>ALF1172</v>
      </c>
      <c r="D89" s="5" t="str">
        <f>"DOLEX SUSPENCION 120ML"</f>
        <v>DOLEX SUSPENCION 120ML</v>
      </c>
      <c r="E89" s="5" t="str">
        <f>"120ML"</f>
        <v>120ML</v>
      </c>
      <c r="F89" s="5" t="str">
        <f>"FRASCO"</f>
        <v>FRASCO</v>
      </c>
      <c r="H89" s="6">
        <v>9500</v>
      </c>
      <c r="I89" s="6">
        <v>12825</v>
      </c>
      <c r="J89" s="5" t="s">
        <v>0</v>
      </c>
    </row>
    <row r="90" spans="1:10" x14ac:dyDescent="0.25">
      <c r="B90" s="5" t="str">
        <f>"ALF1265"</f>
        <v>ALF1265</v>
      </c>
      <c r="D90" s="5" t="str">
        <f>"RIVAROXABAN COMPRIMIDO 15MG"</f>
        <v>RIVAROXABAN COMPRIMIDO 15MG</v>
      </c>
      <c r="F90" s="5" t="str">
        <f>"UNIDAD"</f>
        <v>UNIDAD</v>
      </c>
      <c r="H90" s="6">
        <v>6550</v>
      </c>
      <c r="I90" s="6">
        <v>7900</v>
      </c>
      <c r="J90" s="5" t="s">
        <v>0</v>
      </c>
    </row>
    <row r="91" spans="1:10" x14ac:dyDescent="0.25">
      <c r="A91" s="5" t="str">
        <f>"19980448-1"</f>
        <v>19980448-1</v>
      </c>
      <c r="B91" s="5" t="str">
        <f>"ALF0114"</f>
        <v>ALF0114</v>
      </c>
      <c r="C91" s="5" t="str">
        <f>"R03BB01"</f>
        <v>R03BB01</v>
      </c>
      <c r="D91" s="5" t="str">
        <f>"BROMURO DE IPATROPIO 20ug INHA"</f>
        <v>BROMURO DE IPATROPIO 20ug INHA</v>
      </c>
      <c r="E91" s="5" t="str">
        <f>"20ug"</f>
        <v>20ug</v>
      </c>
      <c r="F91" s="5" t="str">
        <f>"INHALADOR"</f>
        <v>INHALADOR</v>
      </c>
      <c r="H91" s="6">
        <v>11310</v>
      </c>
      <c r="I91" s="6">
        <v>37140</v>
      </c>
      <c r="J91" s="5" t="s">
        <v>1</v>
      </c>
    </row>
    <row r="92" spans="1:10" x14ac:dyDescent="0.25">
      <c r="A92" s="5" t="str">
        <f>"19925327-1"</f>
        <v>19925327-1</v>
      </c>
      <c r="B92" s="5" t="str">
        <f>"ALF0512"</f>
        <v>ALF0512</v>
      </c>
      <c r="C92" s="5" t="str">
        <f>"R03AS001471"</f>
        <v>R03AS001471</v>
      </c>
      <c r="D92" s="5" t="str">
        <f>"SALBUTAMOL 100ug INHALADOR"</f>
        <v>SALBUTAMOL 100ug INHALADOR</v>
      </c>
      <c r="E92" s="5" t="str">
        <f>"100ug"</f>
        <v>100ug</v>
      </c>
      <c r="F92" s="5" t="str">
        <f>"INHALADOR"</f>
        <v>INHALADOR</v>
      </c>
      <c r="H92" s="6">
        <v>5940</v>
      </c>
      <c r="I92" s="6">
        <v>17544</v>
      </c>
      <c r="J92" s="5" t="s">
        <v>1</v>
      </c>
    </row>
    <row r="93" spans="1:10" x14ac:dyDescent="0.25">
      <c r="A93" s="5" t="str">
        <f>"19993729-1"</f>
        <v>19993729-1</v>
      </c>
      <c r="B93" s="5" t="str">
        <f>"ALF0118"</f>
        <v>ALF0118</v>
      </c>
      <c r="C93" s="5" t="str">
        <f>"R03BA02"</f>
        <v>R03BA02</v>
      </c>
      <c r="D93" s="5" t="str">
        <f>"BUDESONIDA 0.5mg/mL AMP (PULMICORT)"</f>
        <v>BUDESONIDA 0.5mg/mL AMP (PULMICORT)</v>
      </c>
      <c r="E93" s="5" t="str">
        <f>"0.5MG/ML"</f>
        <v>0.5MG/ML</v>
      </c>
      <c r="F93" s="5" t="str">
        <f>"AMPOLLA"</f>
        <v>AMPOLLA</v>
      </c>
      <c r="H93" s="6">
        <v>8100</v>
      </c>
      <c r="I93" s="6">
        <v>21206</v>
      </c>
      <c r="J93" s="5" t="s">
        <v>0</v>
      </c>
    </row>
    <row r="94" spans="1:10" x14ac:dyDescent="0.25">
      <c r="A94" s="5" t="str">
        <f>"19980699"</f>
        <v>19980699</v>
      </c>
      <c r="B94" s="5" t="str">
        <f>"ALF0119"</f>
        <v>ALF0119</v>
      </c>
      <c r="C94" s="5" t="str">
        <f>"P01AX110141"</f>
        <v>P01AX110141</v>
      </c>
      <c r="D94" s="5" t="str">
        <f>"BUDESONIDA 100mcg INHALADOR (BUDEMAR)"</f>
        <v>BUDESONIDA 100mcg INHALADOR (BUDEMAR)</v>
      </c>
      <c r="E94" s="5" t="str">
        <f>"100mcg"</f>
        <v>100mcg</v>
      </c>
      <c r="F94" s="5" t="str">
        <f>"INHALADOR"</f>
        <v>INHALADOR</v>
      </c>
      <c r="H94" s="6">
        <v>25000</v>
      </c>
      <c r="I94" s="6">
        <v>129564</v>
      </c>
      <c r="J94" s="5" t="s">
        <v>0</v>
      </c>
    </row>
    <row r="95" spans="1:10" x14ac:dyDescent="0.25">
      <c r="A95" s="5" t="str">
        <f>"20037876-6"</f>
        <v>20037876-6</v>
      </c>
      <c r="B95" s="5" t="str">
        <f>"ALF0479"</f>
        <v>ALF0479</v>
      </c>
      <c r="C95" s="5" t="str">
        <f>"A02BO002101"</f>
        <v>A02BO002101</v>
      </c>
      <c r="D95" s="5" t="str">
        <f>"OMEPRAZOL 20mg CAP"</f>
        <v>OMEPRAZOL 20mg CAP</v>
      </c>
      <c r="E95" s="5" t="str">
        <f>"20mg"</f>
        <v>20mg</v>
      </c>
      <c r="F95" s="5" t="str">
        <f>"TABLETA"</f>
        <v>TABLETA</v>
      </c>
      <c r="H95" s="6">
        <v>47</v>
      </c>
      <c r="I95" s="6">
        <v>5957.2</v>
      </c>
      <c r="J95" s="5" t="s">
        <v>1</v>
      </c>
    </row>
    <row r="96" spans="1:10" x14ac:dyDescent="0.25">
      <c r="A96" s="5" t="str">
        <f>"19914533-1"</f>
        <v>19914533-1</v>
      </c>
      <c r="B96" s="5" t="str">
        <f>"ALF0533"</f>
        <v>ALF0533</v>
      </c>
      <c r="C96" s="5" t="str">
        <f>"70257"</f>
        <v>70257</v>
      </c>
      <c r="D96" s="5" t="str">
        <f>"SOMAZINA 500 MG TABLETA"</f>
        <v>SOMAZINA 500 MG TABLETA</v>
      </c>
      <c r="E96" s="5" t="str">
        <f>"500MG"</f>
        <v>500MG</v>
      </c>
      <c r="F96" s="5" t="str">
        <f>"TABLETA"</f>
        <v>TABLETA</v>
      </c>
      <c r="H96" s="6">
        <v>14451</v>
      </c>
      <c r="I96" s="6">
        <v>26800</v>
      </c>
      <c r="J96" s="5" t="s">
        <v>0</v>
      </c>
    </row>
    <row r="97" spans="1:10" x14ac:dyDescent="0.25">
      <c r="A97" s="5" t="str">
        <f>"19943497-4"</f>
        <v>19943497-4</v>
      </c>
      <c r="B97" s="5" t="str">
        <f>"ALF1025"</f>
        <v>ALF1025</v>
      </c>
      <c r="C97" s="5" t="str">
        <f>"A03FA98"</f>
        <v>A03FA98</v>
      </c>
      <c r="D97" s="5" t="str">
        <f>"LEVOSULPIRIDE ( DISLEP 25mg )"</f>
        <v>LEVOSULPIRIDE ( DISLEP 25mg )</v>
      </c>
      <c r="E97" s="5" t="str">
        <f>"25mg"</f>
        <v>25mg</v>
      </c>
      <c r="F97" s="5" t="str">
        <f>"TABLETA"</f>
        <v>TABLETA</v>
      </c>
      <c r="H97" s="6">
        <v>4227.5</v>
      </c>
      <c r="I97" s="6">
        <v>5900</v>
      </c>
      <c r="J97" s="5" t="s">
        <v>0</v>
      </c>
    </row>
    <row r="98" spans="1:10" x14ac:dyDescent="0.25">
      <c r="B98" s="5" t="str">
        <f>"ALF1232"</f>
        <v>ALF1232</v>
      </c>
      <c r="D98" s="5" t="str">
        <f>"AZUL  DE TRYPPAN AMPOLLA  0.06%/1ML"</f>
        <v>AZUL  DE TRYPPAN AMPOLLA  0.06%/1ML</v>
      </c>
      <c r="F98" s="5" t="str">
        <f>"UNIDAD"</f>
        <v>UNIDAD</v>
      </c>
      <c r="H98" s="6">
        <v>25000</v>
      </c>
      <c r="I98" s="6">
        <v>57000</v>
      </c>
      <c r="J98" s="5" t="s">
        <v>1</v>
      </c>
    </row>
    <row r="99" spans="1:10" x14ac:dyDescent="0.25">
      <c r="A99" s="5" t="str">
        <f>"19936280-3"</f>
        <v>19936280-3</v>
      </c>
      <c r="B99" s="5" t="str">
        <f>"ALF0238"</f>
        <v>ALF0238</v>
      </c>
      <c r="C99" s="5" t="str">
        <f>"N02BD026701"</f>
        <v>N02BD026701</v>
      </c>
      <c r="D99" s="5" t="str">
        <f>"DIPIRONA SODICA 1g/2mL AMP"</f>
        <v>DIPIRONA SODICA 1g/2mL AMP</v>
      </c>
      <c r="E99" s="5" t="str">
        <f>"1g/2mL"</f>
        <v>1g/2mL</v>
      </c>
      <c r="F99" s="5" t="str">
        <f>"AMPOLLA"</f>
        <v>AMPOLLA</v>
      </c>
      <c r="G99" s="5" t="str">
        <f>"MATAMIZOL  SODICO"</f>
        <v>MATAMIZOL  SODICO</v>
      </c>
      <c r="H99" s="6">
        <v>585</v>
      </c>
      <c r="I99" s="6">
        <v>2070</v>
      </c>
      <c r="J99" s="5" t="s">
        <v>1</v>
      </c>
    </row>
    <row r="100" spans="1:10" x14ac:dyDescent="0.25">
      <c r="A100" s="5" t="str">
        <f>"20032465"</f>
        <v>20032465</v>
      </c>
      <c r="B100" s="5" t="str">
        <f>"ALF0296"</f>
        <v>ALF0296</v>
      </c>
      <c r="C100" s="5" t="str">
        <f>"V03AB25"</f>
        <v>V03AB25</v>
      </c>
      <c r="D100" s="5" t="str">
        <f>"FLUMAZENILO 0.5mg/5mL"</f>
        <v>FLUMAZENILO 0.5mg/5mL</v>
      </c>
      <c r="E100" s="5" t="str">
        <f>"0.5mg/5m"</f>
        <v>0.5mg/5m</v>
      </c>
      <c r="F100" s="5" t="str">
        <f>"AMPOLLA"</f>
        <v>AMPOLLA</v>
      </c>
      <c r="H100" s="6">
        <v>90000</v>
      </c>
      <c r="I100" s="6">
        <v>294656</v>
      </c>
      <c r="J100" s="5" t="s">
        <v>0</v>
      </c>
    </row>
    <row r="101" spans="1:10" x14ac:dyDescent="0.25">
      <c r="A101" s="5" t="str">
        <f>"R01AI017471"</f>
        <v>R01AI017471</v>
      </c>
      <c r="B101" s="5" t="str">
        <f>"ALF0112"</f>
        <v>ALF0112</v>
      </c>
      <c r="C101" s="5" t="str">
        <f>"R01AX03"</f>
        <v>R01AX03</v>
      </c>
      <c r="D101" s="5" t="str">
        <f>"(ATROVENT)  BROMURO DE IPATROPIO 0.025% SOL x 20mL (ATROVENT)"</f>
        <v>(ATROVENT)  BROMURO DE IPATROPIO 0.025% SOL x 20mL (ATROVENT)</v>
      </c>
      <c r="E101" s="5" t="str">
        <f>"0.025% X 20ML"</f>
        <v>0.025% X 20ML</v>
      </c>
      <c r="F101" s="5" t="str">
        <f>"FRASCO CON GOTERO"</f>
        <v>FRASCO CON GOTERO</v>
      </c>
      <c r="H101" s="6">
        <v>45514</v>
      </c>
      <c r="I101" s="6">
        <v>49000</v>
      </c>
      <c r="J101" s="5" t="s">
        <v>1</v>
      </c>
    </row>
    <row r="102" spans="1:10" x14ac:dyDescent="0.25">
      <c r="A102" s="5" t="str">
        <f>"R01AI017471"</f>
        <v>R01AI017471</v>
      </c>
      <c r="B102" s="5" t="str">
        <f>"ALF0113"</f>
        <v>ALF0113</v>
      </c>
      <c r="C102" s="5" t="str">
        <f>"R03AK03"</f>
        <v>R03AK03</v>
      </c>
      <c r="D102" s="5" t="str">
        <f>"(BERODUAL)  BROMURO DE IPATROPIO 0.25mg + FENOTEROL 0.5mg SOL x 20mL"</f>
        <v>(BERODUAL)  BROMURO DE IPATROPIO 0.25mg + FENOTEROL 0.5mg SOL x 20mL</v>
      </c>
      <c r="E102" s="5" t="str">
        <f>"0.25MG/0.5MG X 20ML"</f>
        <v>0.25MG/0.5MG X 20ML</v>
      </c>
      <c r="F102" s="5" t="str">
        <f>"FRASCO CON GOTERO"</f>
        <v>FRASCO CON GOTERO</v>
      </c>
      <c r="H102" s="6">
        <v>58750</v>
      </c>
      <c r="I102" s="6">
        <v>55000</v>
      </c>
      <c r="J102" s="5" t="s">
        <v>1</v>
      </c>
    </row>
    <row r="103" spans="1:10" x14ac:dyDescent="0.25">
      <c r="A103" s="5" t="str">
        <f>"33103"</f>
        <v>33103</v>
      </c>
      <c r="B103" s="5" t="str">
        <f>"ALF0679"</f>
        <v>ALF0679</v>
      </c>
      <c r="C103" s="5" t="str">
        <f>"B01AD0201"</f>
        <v>B01AD0201</v>
      </c>
      <c r="D103" s="5" t="str">
        <f>"ALTEPLASE 50MG AMPOLLA KIT X 2 AMP (ACTILYSE)"</f>
        <v>ALTEPLASE 50MG AMPOLLA KIT X 2 AMP (ACTILYSE)</v>
      </c>
      <c r="E103" s="5" t="str">
        <f>"50mg"</f>
        <v>50mg</v>
      </c>
      <c r="F103" s="5" t="str">
        <f>"AMPOLLA"</f>
        <v>AMPOLLA</v>
      </c>
      <c r="H103" s="6">
        <v>2605201</v>
      </c>
      <c r="I103" s="6">
        <v>2986155</v>
      </c>
      <c r="J103" s="5" t="s">
        <v>0</v>
      </c>
    </row>
    <row r="104" spans="1:10" x14ac:dyDescent="0.25">
      <c r="A104" s="5" t="str">
        <f>"019966283"</f>
        <v>019966283</v>
      </c>
      <c r="B104" s="5" t="str">
        <f>"ALF0879"</f>
        <v>ALF0879</v>
      </c>
      <c r="C104" s="5" t="str">
        <f>"J06BA01"</f>
        <v>J06BA01</v>
      </c>
      <c r="D104" s="5" t="str">
        <f>"inmunoglobulina humana ANTIHEPATITIS B (50 UI/mL)  X 2mL (HEPATECT)"</f>
        <v>inmunoglobulina humana ANTIHEPATITIS B (50 UI/mL)  X 2mL (HEPATECT)</v>
      </c>
      <c r="E104" s="5" t="str">
        <f>"100UI"</f>
        <v>100UI</v>
      </c>
      <c r="F104" s="5" t="str">
        <f>"AMPOLLA"</f>
        <v>AMPOLLA</v>
      </c>
      <c r="H104" s="6">
        <v>1111700</v>
      </c>
      <c r="I104" s="6">
        <v>1431800</v>
      </c>
      <c r="J104" s="5" t="s">
        <v>0</v>
      </c>
    </row>
    <row r="105" spans="1:10" x14ac:dyDescent="0.25">
      <c r="B105" s="5" t="str">
        <f>"ALF1085"</f>
        <v>ALF1085</v>
      </c>
      <c r="C105" s="5" t="str">
        <f>"ALF1085"</f>
        <v>ALF1085</v>
      </c>
      <c r="D105" s="5" t="str">
        <f>"PRADAXA (DAVIGATRAN) 110MG CAPSULAS"</f>
        <v>PRADAXA (DAVIGATRAN) 110MG CAPSULAS</v>
      </c>
      <c r="F105" s="5" t="str">
        <f>"UNIDAD"</f>
        <v>UNIDAD</v>
      </c>
      <c r="H105" s="6">
        <v>2481.66</v>
      </c>
      <c r="I105" s="6">
        <v>2850</v>
      </c>
      <c r="J105" s="5" t="s">
        <v>0</v>
      </c>
    </row>
    <row r="106" spans="1:10" x14ac:dyDescent="0.25">
      <c r="B106" s="5" t="str">
        <f>"ALF1102"</f>
        <v>ALF1102</v>
      </c>
      <c r="C106" s="5" t="str">
        <f>"ALF1102"</f>
        <v>ALF1102</v>
      </c>
      <c r="D106" s="5" t="str">
        <f>"ACETATO DE PREDNISOLONA  GOTAS OFTALMICAS 1%"</f>
        <v>ACETATO DE PREDNISOLONA  GOTAS OFTALMICAS 1%</v>
      </c>
      <c r="E106" s="5" t="str">
        <f>"1%"</f>
        <v>1%</v>
      </c>
      <c r="F106" s="5" t="str">
        <f>"FRASCO CON GOTERO"</f>
        <v>FRASCO CON GOTERO</v>
      </c>
      <c r="H106" s="6">
        <v>7300</v>
      </c>
      <c r="I106" s="6">
        <v>53055</v>
      </c>
      <c r="J106" s="5" t="s">
        <v>1</v>
      </c>
    </row>
    <row r="107" spans="1:10" x14ac:dyDescent="0.25">
      <c r="B107" s="5" t="str">
        <f>"ALF1167"</f>
        <v>ALF1167</v>
      </c>
      <c r="C107" s="5" t="str">
        <f>"ALF1167"</f>
        <v>ALF1167</v>
      </c>
      <c r="D107" s="5" t="str">
        <f>"ALPROSTADIL 20MCG AMPOLLA-DALVEOL"</f>
        <v>ALPROSTADIL 20MCG AMPOLLA-DALVEOL</v>
      </c>
      <c r="E107" s="5" t="str">
        <f>"20MCG"</f>
        <v>20MCG</v>
      </c>
      <c r="F107" s="5" t="str">
        <f>"AMPOLLA"</f>
        <v>AMPOLLA</v>
      </c>
      <c r="H107" s="6">
        <v>230000</v>
      </c>
      <c r="I107" s="6">
        <v>91090.2</v>
      </c>
      <c r="J107" s="5" t="s">
        <v>0</v>
      </c>
    </row>
    <row r="108" spans="1:10" x14ac:dyDescent="0.25">
      <c r="B108" s="5" t="str">
        <f>"ALF1176"</f>
        <v>ALF1176</v>
      </c>
      <c r="C108" s="5" t="str">
        <f>"ALF1176"</f>
        <v>ALF1176</v>
      </c>
      <c r="D108" s="5" t="str">
        <f>"TIOTROPIO 18 MCG POLVO PARA INHALACIÓN"</f>
        <v>TIOTROPIO 18 MCG POLVO PARA INHALACIÓN</v>
      </c>
      <c r="E108" s="5" t="str">
        <f>"18MCG"</f>
        <v>18MCG</v>
      </c>
      <c r="F108" s="5" t="str">
        <f>"INHALADOR"</f>
        <v>INHALADOR</v>
      </c>
      <c r="G108" s="5" t="str">
        <f>"TIOTROPIO"</f>
        <v>TIOTROPIO</v>
      </c>
      <c r="H108" s="6">
        <v>229900</v>
      </c>
      <c r="I108" s="6">
        <v>275805</v>
      </c>
      <c r="J108" s="5" t="s">
        <v>0</v>
      </c>
    </row>
    <row r="109" spans="1:10" x14ac:dyDescent="0.25">
      <c r="A109" s="5" t="str">
        <f>"19934541-1"</f>
        <v>19934541-1</v>
      </c>
      <c r="B109" s="5" t="str">
        <f>"ALF1039"</f>
        <v>ALF1039</v>
      </c>
      <c r="C109" s="5" t="str">
        <f>"ALF1039"</f>
        <v>ALF1039</v>
      </c>
      <c r="D109" s="5" t="str">
        <f>"CARBOXIMETILCELULOSA 1.0% 15ML-LUBRIOPH"</f>
        <v>CARBOXIMETILCELULOSA 1.0% 15ML-LUBRIOPH</v>
      </c>
      <c r="F109" s="5" t="str">
        <f>"FRASCO CON GOTERO"</f>
        <v>FRASCO CON GOTERO</v>
      </c>
      <c r="H109" s="6">
        <v>4981</v>
      </c>
      <c r="I109" s="6">
        <v>39200</v>
      </c>
      <c r="J109" s="5" t="s">
        <v>0</v>
      </c>
    </row>
    <row r="110" spans="1:10" x14ac:dyDescent="0.25">
      <c r="B110" s="5" t="str">
        <f>"ALF1273"</f>
        <v>ALF1273</v>
      </c>
      <c r="D110" s="5" t="str">
        <f>"BIOVISC 2mL ( VISCOELASTICO HIDROXIPROPIL METILCELULOSA 2% W/V)- HYALURONATE-PESADO"</f>
        <v>BIOVISC 2mL ( VISCOELASTICO HIDROXIPROPIL METILCELULOSA 2% W/V)- HYALURONATE-PESADO</v>
      </c>
      <c r="F110" s="5" t="str">
        <f t="shared" ref="F110" si="2">"UNIDAD"</f>
        <v>UNIDAD</v>
      </c>
      <c r="H110" s="6">
        <v>75000</v>
      </c>
      <c r="I110" s="6">
        <v>233000</v>
      </c>
      <c r="J110" s="5" t="s">
        <v>1</v>
      </c>
    </row>
    <row r="111" spans="1:10" x14ac:dyDescent="0.25">
      <c r="A111" s="5" t="str">
        <f>"C01BA023721"</f>
        <v>C01BA023721</v>
      </c>
      <c r="B111" s="5" t="str">
        <f>"ALF0068"</f>
        <v>ALF0068</v>
      </c>
      <c r="C111" s="5" t="str">
        <f>"D08AP020322"</f>
        <v>D08AP020322</v>
      </c>
      <c r="D111" s="5" t="str">
        <f>"AMIODARONA150mg AMP"</f>
        <v>AMIODARONA150mg AMP</v>
      </c>
      <c r="E111" s="5" t="str">
        <f>"D08AP020322"</f>
        <v>D08AP020322</v>
      </c>
      <c r="F111" s="5" t="str">
        <f t="shared" ref="F111:F116" si="3">"AMPOLLA"</f>
        <v>AMPOLLA</v>
      </c>
      <c r="H111" s="6">
        <v>3250</v>
      </c>
      <c r="I111" s="6">
        <v>11854</v>
      </c>
      <c r="J111" s="5" t="s">
        <v>1</v>
      </c>
    </row>
    <row r="112" spans="1:10" x14ac:dyDescent="0.25">
      <c r="A112" s="5" t="str">
        <f>"20006845-9"</f>
        <v>20006845-9</v>
      </c>
      <c r="B112" s="5" t="str">
        <f>"ALF0237"</f>
        <v>ALF0237</v>
      </c>
      <c r="C112" s="5" t="str">
        <f>"N02BD026701"</f>
        <v>N02BD026701</v>
      </c>
      <c r="D112" s="5" t="str">
        <f>"DIPIRONA MAGNESICA 2g/5mL AMP"</f>
        <v>DIPIRONA MAGNESICA 2g/5mL AMP</v>
      </c>
      <c r="E112" s="5" t="str">
        <f>"2g/5mL"</f>
        <v>2g/5mL</v>
      </c>
      <c r="F112" s="5" t="str">
        <f t="shared" si="3"/>
        <v>AMPOLLA</v>
      </c>
      <c r="G112" s="5" t="str">
        <f>"METAMIZOL MAGNESICO"</f>
        <v>METAMIZOL MAGNESICO</v>
      </c>
      <c r="H112" s="6">
        <v>864</v>
      </c>
      <c r="I112" s="6">
        <v>4400</v>
      </c>
      <c r="J112" s="5" t="s">
        <v>1</v>
      </c>
    </row>
    <row r="113" spans="1:10" x14ac:dyDescent="0.25">
      <c r="A113" s="5" t="str">
        <f>"19956382-1"</f>
        <v>19956382-1</v>
      </c>
      <c r="B113" s="5" t="str">
        <f>"ALF0239"</f>
        <v>ALF0239</v>
      </c>
      <c r="C113" s="5" t="str">
        <f>"N02BD026701"</f>
        <v>N02BD026701</v>
      </c>
      <c r="D113" s="5" t="str">
        <f>"DIPIRONA SODICA 2.5g/5mL AMP"</f>
        <v>DIPIRONA SODICA 2.5g/5mL AMP</v>
      </c>
      <c r="E113" s="5" t="str">
        <f>"2.5g/5mL"</f>
        <v>2.5g/5mL</v>
      </c>
      <c r="F113" s="5" t="str">
        <f t="shared" si="3"/>
        <v>AMPOLLA</v>
      </c>
      <c r="G113" s="5" t="str">
        <f>"METIMAZOL SODICO"</f>
        <v>METIMAZOL SODICO</v>
      </c>
      <c r="H113" s="6">
        <v>650</v>
      </c>
      <c r="I113" s="6">
        <v>4400</v>
      </c>
      <c r="J113" s="5" t="s">
        <v>1</v>
      </c>
    </row>
    <row r="114" spans="1:10" x14ac:dyDescent="0.25">
      <c r="A114" s="5" t="str">
        <f>"19936399-1"</f>
        <v>19936399-1</v>
      </c>
      <c r="B114" s="5" t="str">
        <f>"ALF0466"</f>
        <v>ALF0466</v>
      </c>
      <c r="C114" s="5" t="str">
        <f>"C01DN011701"</f>
        <v>C01DN011701</v>
      </c>
      <c r="D114" s="5" t="str">
        <f>"NITROGLICERINA 50mg/10mL AMP"</f>
        <v>NITROGLICERINA 50mg/10mL AMP</v>
      </c>
      <c r="E114" s="5" t="str">
        <f>"50mg/10mL"</f>
        <v>50mg/10mL</v>
      </c>
      <c r="F114" s="5" t="str">
        <f t="shared" si="3"/>
        <v>AMPOLLA</v>
      </c>
      <c r="G114" s="5" t="str">
        <f>"TRINITRATO DE GLICERILO"</f>
        <v>TRINITRATO DE GLICERILO</v>
      </c>
      <c r="H114" s="6">
        <v>7000</v>
      </c>
      <c r="I114" s="6">
        <v>14000</v>
      </c>
      <c r="J114" s="5" t="s">
        <v>1</v>
      </c>
    </row>
    <row r="115" spans="1:10" x14ac:dyDescent="0.25">
      <c r="A115" s="5" t="str">
        <f>"C01CD028701"</f>
        <v>C01CD028701</v>
      </c>
      <c r="B115" s="5" t="str">
        <f>"ALF0240"</f>
        <v>ALF0240</v>
      </c>
      <c r="C115" s="5" t="str">
        <f>"C01CA07"</f>
        <v>C01CA07</v>
      </c>
      <c r="D115" s="5" t="str">
        <f>"DOBUTamina 250mg AMP"</f>
        <v>DOBUTamina 250mg AMP</v>
      </c>
      <c r="E115" s="5" t="str">
        <f>"250mg"</f>
        <v>250mg</v>
      </c>
      <c r="F115" s="5" t="str">
        <f t="shared" si="3"/>
        <v>AMPOLLA</v>
      </c>
      <c r="H115" s="6">
        <v>5360</v>
      </c>
      <c r="I115" s="6">
        <v>41244</v>
      </c>
      <c r="J115" s="5" t="s">
        <v>1</v>
      </c>
    </row>
    <row r="116" spans="1:10" x14ac:dyDescent="0.25">
      <c r="A116" s="5" t="str">
        <f>"B05XS003701"</f>
        <v>B05XS003701</v>
      </c>
      <c r="B116" s="5" t="str">
        <f>"ALF0101"</f>
        <v>ALF0101</v>
      </c>
      <c r="C116" s="5" t="str">
        <f>"B05XA02"</f>
        <v>B05XA02</v>
      </c>
      <c r="D116" s="5" t="str">
        <f>"BICARBONATO DE SODIO10mEq X10mL AMP"</f>
        <v>BICARBONATO DE SODIO10mEq X10mL AMP</v>
      </c>
      <c r="E116" s="5" t="str">
        <f>"10mEq x 10ml"</f>
        <v>10mEq x 10ml</v>
      </c>
      <c r="F116" s="5" t="str">
        <f t="shared" si="3"/>
        <v>AMPOLLA</v>
      </c>
      <c r="G116" s="5" t="str">
        <f>"BICARBONATO DE SODIO"</f>
        <v>BICARBONATO DE SODIO</v>
      </c>
      <c r="H116" s="6">
        <v>720</v>
      </c>
      <c r="I116" s="6">
        <v>1926</v>
      </c>
      <c r="J116" s="5" t="s">
        <v>1</v>
      </c>
    </row>
    <row r="117" spans="1:10" x14ac:dyDescent="0.25">
      <c r="A117" s="5" t="str">
        <f>"19930887-1"</f>
        <v>19930887-1</v>
      </c>
      <c r="B117" s="5" t="str">
        <f>"ALF0871"</f>
        <v>ALF0871</v>
      </c>
      <c r="C117" s="5" t="str">
        <f>"D08AP020321"</f>
        <v>D08AP020321</v>
      </c>
      <c r="D117" s="5" t="str">
        <f>"SULFADIAZINA DE PLATA 1%-"</f>
        <v>SULFADIAZINA DE PLATA 1%-</v>
      </c>
      <c r="E117" s="5" t="str">
        <f>"1%"</f>
        <v>1%</v>
      </c>
      <c r="F117" s="5" t="str">
        <f>"UNIDAD"</f>
        <v>UNIDAD</v>
      </c>
      <c r="H117" s="6">
        <v>2860</v>
      </c>
      <c r="I117" s="6">
        <v>7900</v>
      </c>
      <c r="J117" s="5" t="s">
        <v>1</v>
      </c>
    </row>
    <row r="118" spans="1:10" x14ac:dyDescent="0.25">
      <c r="B118" s="5" t="str">
        <f>"ALF1257"</f>
        <v>ALF1257</v>
      </c>
      <c r="D118" s="5" t="str">
        <f>"DUODERM GEL 30GR(HYDROACTIVE GEL)"</f>
        <v>DUODERM GEL 30GR(HYDROACTIVE GEL)</v>
      </c>
      <c r="E118" s="5" t="str">
        <f>"30GRAMOS"</f>
        <v>30GRAMOS</v>
      </c>
      <c r="F118" s="5" t="str">
        <f>"TUBO"</f>
        <v>TUBO</v>
      </c>
      <c r="G118" s="5" t="str">
        <f>"HYDROACTIVE GEL"</f>
        <v>HYDROACTIVE GEL</v>
      </c>
      <c r="H118" s="6">
        <v>38500</v>
      </c>
      <c r="I118" s="6">
        <v>47416</v>
      </c>
      <c r="J118" s="5" t="s">
        <v>1</v>
      </c>
    </row>
    <row r="119" spans="1:10" x14ac:dyDescent="0.25">
      <c r="A119" s="5" t="str">
        <f>"35662-1"</f>
        <v>35662-1</v>
      </c>
      <c r="B119" s="5" t="str">
        <f>"ALF0019"</f>
        <v>ALF0019</v>
      </c>
      <c r="C119" s="5" t="str">
        <f>"B03BB01"</f>
        <v>B03BB01</v>
      </c>
      <c r="D119" s="5" t="str">
        <f>"ACIDO FOLICO 1mg TAB"</f>
        <v>ACIDO FOLICO 1mg TAB</v>
      </c>
      <c r="E119" s="5" t="str">
        <f>"1mg"</f>
        <v>1mg</v>
      </c>
      <c r="F119" s="5" t="str">
        <f>"TABLETA"</f>
        <v>TABLETA</v>
      </c>
      <c r="H119" s="6">
        <v>33</v>
      </c>
      <c r="I119" s="6">
        <v>200</v>
      </c>
      <c r="J119" s="5" t="s">
        <v>1</v>
      </c>
    </row>
    <row r="120" spans="1:10" x14ac:dyDescent="0.25">
      <c r="A120" s="5" t="str">
        <f>"20009533-3"</f>
        <v>20009533-3</v>
      </c>
      <c r="B120" s="5" t="str">
        <f>"ALF0020"</f>
        <v>ALF0020</v>
      </c>
      <c r="C120" s="5" t="str">
        <f>"B03BB01"</f>
        <v>B03BB01</v>
      </c>
      <c r="D120" s="5" t="str">
        <f>"ACIDO FOLICO 5 MG TABLETA"</f>
        <v>ACIDO FOLICO 5 MG TABLETA</v>
      </c>
      <c r="E120" s="5" t="str">
        <f>"5mg"</f>
        <v>5mg</v>
      </c>
      <c r="F120" s="5" t="str">
        <f>"TABLETA"</f>
        <v>TABLETA</v>
      </c>
      <c r="H120" s="6">
        <v>101</v>
      </c>
      <c r="I120" s="6">
        <v>200</v>
      </c>
      <c r="J120" s="5" t="s">
        <v>1</v>
      </c>
    </row>
    <row r="121" spans="1:10" x14ac:dyDescent="0.25">
      <c r="A121" s="5" t="str">
        <f>"19995299-1"</f>
        <v>19995299-1</v>
      </c>
      <c r="B121" s="5" t="str">
        <f>"ALF0188"</f>
        <v>ALF0188</v>
      </c>
      <c r="C121" s="5" t="str">
        <f>"C02AC01"</f>
        <v>C02AC01</v>
      </c>
      <c r="D121" s="5" t="str">
        <f>"CLONIDINA 150 Umg TAB"</f>
        <v>CLONIDINA 150 Umg TAB</v>
      </c>
      <c r="E121" s="5" t="str">
        <f>"150mg"</f>
        <v>150mg</v>
      </c>
      <c r="F121" s="5" t="str">
        <f>"TABLETA"</f>
        <v>TABLETA</v>
      </c>
      <c r="H121" s="6">
        <v>91</v>
      </c>
      <c r="I121" s="6">
        <v>1400</v>
      </c>
      <c r="J121" s="5" t="s">
        <v>1</v>
      </c>
    </row>
    <row r="122" spans="1:10" x14ac:dyDescent="0.25">
      <c r="A122" s="5" t="str">
        <f>"19953951-1"</f>
        <v>19953951-1</v>
      </c>
      <c r="B122" s="5" t="str">
        <f>"ALF0204"</f>
        <v>ALF0204</v>
      </c>
      <c r="C122" s="5" t="str">
        <f>"B04AL018012"</f>
        <v>B04AL018012</v>
      </c>
      <c r="D122" s="5" t="str">
        <f>"(C.B) contiene 10 mg de Tiamina Mononitrato, 10 mg de Riboflavina, 20 mg de Piridoxina Clorhidrato y 50 mg de Nicotinamida."</f>
        <v>(C.B) contiene 10 mg de Tiamina Mononitrato, 10 mg de Riboflavina, 20 mg de Piridoxina Clorhidrato y 50 mg de Nicotinamida.</v>
      </c>
      <c r="F122" s="5" t="str">
        <f>"TABLETA"</f>
        <v>TABLETA</v>
      </c>
      <c r="H122" s="6">
        <v>37</v>
      </c>
      <c r="I122" s="6">
        <v>2300</v>
      </c>
      <c r="J122" s="5" t="s">
        <v>0</v>
      </c>
    </row>
    <row r="123" spans="1:10" x14ac:dyDescent="0.25">
      <c r="A123" s="5" t="str">
        <f>"46792"</f>
        <v>46792</v>
      </c>
      <c r="B123" s="5" t="str">
        <f>"ALF0453"</f>
        <v>ALF0453</v>
      </c>
      <c r="C123" s="5" t="str">
        <f>"A11DA01"</f>
        <v>A11DA01</v>
      </c>
      <c r="D123" s="5" t="str">
        <f>"TIAMINA25MG-RIVOFLAMINA5MG-PIRIDOXINA50MG-NICOTINAMINA50MG-AMPOLLA-CB"</f>
        <v>TIAMINA25MG-RIVOFLAMINA5MG-PIRIDOXINA50MG-NICOTINAMINA50MG-AMPOLLA-CB</v>
      </c>
      <c r="E123" s="5" t="str">
        <f>"5ml"</f>
        <v>5ml</v>
      </c>
      <c r="F123" s="5" t="str">
        <f>"AMPOLLA"</f>
        <v>AMPOLLA</v>
      </c>
      <c r="H123" s="6">
        <v>4160</v>
      </c>
      <c r="I123" s="6">
        <v>7038</v>
      </c>
      <c r="J123" s="5" t="s">
        <v>0</v>
      </c>
    </row>
    <row r="124" spans="1:10" x14ac:dyDescent="0.25">
      <c r="A124" s="5" t="str">
        <f>"38332-2"</f>
        <v>38332-2</v>
      </c>
      <c r="B124" s="5" t="str">
        <f>"ALF0585"</f>
        <v>ALF0585</v>
      </c>
      <c r="C124" s="5" t="str">
        <f>"A11DT009701"</f>
        <v>A11DT009701</v>
      </c>
      <c r="D124" s="5" t="str">
        <f>"TIAMINA 100mg/mL AMPOLLA"</f>
        <v>TIAMINA 100mg/mL AMPOLLA</v>
      </c>
      <c r="E124" s="5" t="str">
        <f>"10MG/ML"</f>
        <v>10MG/ML</v>
      </c>
      <c r="F124" s="5" t="str">
        <f>"AMPOLLA"</f>
        <v>AMPOLLA</v>
      </c>
      <c r="H124" s="6">
        <v>4332.8999999999996</v>
      </c>
      <c r="I124" s="6">
        <v>5625</v>
      </c>
      <c r="J124" s="5" t="s">
        <v>1</v>
      </c>
    </row>
    <row r="125" spans="1:10" x14ac:dyDescent="0.25">
      <c r="A125" s="5" t="str">
        <f>"25318-3"</f>
        <v>25318-3</v>
      </c>
      <c r="B125" s="5" t="str">
        <f>"ALF0586"</f>
        <v>ALF0586</v>
      </c>
      <c r="C125" s="5" t="str">
        <f>"A11DT009141"</f>
        <v>A11DT009141</v>
      </c>
      <c r="D125" s="5" t="str">
        <f>"TIAMINA 300mg TAB"</f>
        <v>TIAMINA 300mg TAB</v>
      </c>
      <c r="E125" s="5" t="str">
        <f>"300mg"</f>
        <v>300mg</v>
      </c>
      <c r="F125" s="5" t="str">
        <f>"TABLETA"</f>
        <v>TABLETA</v>
      </c>
      <c r="H125" s="6">
        <v>178</v>
      </c>
      <c r="I125" s="6">
        <v>186</v>
      </c>
      <c r="J125" s="5" t="s">
        <v>1</v>
      </c>
    </row>
    <row r="126" spans="1:10" x14ac:dyDescent="0.25">
      <c r="A126" s="5" t="str">
        <f>"44174-2"</f>
        <v>44174-2</v>
      </c>
      <c r="B126" s="5" t="str">
        <f>"ALF0021"</f>
        <v>ALF0021</v>
      </c>
      <c r="C126" s="5" t="str">
        <f>"D06AX01"</f>
        <v>D06AX01</v>
      </c>
      <c r="D126" s="5" t="str">
        <f>"ACIDO FUSIDICO 2% CREMA X 15GR"</f>
        <v>ACIDO FUSIDICO 2% CREMA X 15GR</v>
      </c>
      <c r="E126" s="5" t="str">
        <f>"2%"</f>
        <v>2%</v>
      </c>
      <c r="F126" s="5" t="str">
        <f>"TUBO COLAPSIBLE"</f>
        <v>TUBO COLAPSIBLE</v>
      </c>
      <c r="H126" s="6">
        <v>3600</v>
      </c>
      <c r="I126" s="6">
        <v>58110</v>
      </c>
      <c r="J126" s="5" t="s">
        <v>0</v>
      </c>
    </row>
    <row r="127" spans="1:10" x14ac:dyDescent="0.25">
      <c r="B127" s="5" t="str">
        <f>"ALF0865"</f>
        <v>ALF0865</v>
      </c>
      <c r="C127" s="5" t="str">
        <f>"J01ET025231"</f>
        <v>J01ET025231</v>
      </c>
      <c r="D127" s="5" t="str">
        <f>"TRIMETROPIN  SULFA (40mg, 200mg/5ML ) JARABE x 60mL"</f>
        <v>TRIMETROPIN  SULFA (40mg, 200mg/5ML ) JARABE x 60mL</v>
      </c>
      <c r="E127" s="5" t="str">
        <f>"(40mg, 200mg )/5ML"</f>
        <v>(40mg, 200mg )/5ML</v>
      </c>
      <c r="F127" s="5" t="str">
        <f>"FRASCO"</f>
        <v>FRASCO</v>
      </c>
      <c r="H127" s="6">
        <v>6450</v>
      </c>
      <c r="I127" s="6">
        <v>16000</v>
      </c>
      <c r="J127" s="5" t="s">
        <v>1</v>
      </c>
    </row>
    <row r="128" spans="1:10" x14ac:dyDescent="0.25">
      <c r="A128" s="5" t="str">
        <f>"20044823"</f>
        <v>20044823</v>
      </c>
      <c r="B128" s="5" t="str">
        <f>"ALF0279"</f>
        <v>ALF0279</v>
      </c>
      <c r="C128" s="5" t="str">
        <f>"J01AA02"</f>
        <v>J01AA02</v>
      </c>
      <c r="D128" s="5" t="str">
        <f>"ETIDOXINA  100MG CAPSULA"</f>
        <v>ETIDOXINA  100MG CAPSULA</v>
      </c>
      <c r="E128" s="5" t="str">
        <f>"100mg"</f>
        <v>100mg</v>
      </c>
      <c r="F128" s="5" t="str">
        <f>"CAPSULA"</f>
        <v>CAPSULA</v>
      </c>
      <c r="H128" s="6">
        <v>4311</v>
      </c>
      <c r="I128" s="6">
        <v>5389</v>
      </c>
      <c r="J128" s="5" t="s">
        <v>0</v>
      </c>
    </row>
    <row r="129" spans="1:10" x14ac:dyDescent="0.25">
      <c r="A129" s="5" t="str">
        <f>"19983022-3"</f>
        <v>19983022-3</v>
      </c>
      <c r="B129" s="5" t="str">
        <f>"ALF0291"</f>
        <v>ALF0291</v>
      </c>
      <c r="C129" s="5" t="str">
        <f>"D11AX94"</f>
        <v>D11AX94</v>
      </c>
      <c r="D129" s="5" t="str">
        <f>"EXTRACTO ACUOSO DE TRITICUM VULGARE AL 15% CREMA 32gr-FITO"</f>
        <v>EXTRACTO ACUOSO DE TRITICUM VULGARE AL 15% CREMA 32gr-FITO</v>
      </c>
      <c r="E129" s="5" t="str">
        <f>"35GR"</f>
        <v>35GR</v>
      </c>
      <c r="F129" s="5" t="str">
        <f>"TUBO COLAPSIBLE"</f>
        <v>TUBO COLAPSIBLE</v>
      </c>
      <c r="H129" s="6">
        <v>31666</v>
      </c>
      <c r="I129" s="6">
        <v>113231</v>
      </c>
      <c r="J129" s="5" t="s">
        <v>0</v>
      </c>
    </row>
    <row r="130" spans="1:10" x14ac:dyDescent="0.25">
      <c r="A130" s="5" t="str">
        <f>"19948844-1"</f>
        <v>19948844-1</v>
      </c>
      <c r="B130" s="5" t="str">
        <f>"ALF0340"</f>
        <v>ALF0340</v>
      </c>
      <c r="C130" s="5" t="str">
        <f>"A03BB01"</f>
        <v>A03BB01</v>
      </c>
      <c r="D130" s="5" t="str">
        <f>"HIOSCINA N-BUTIL BROMURO 20mg/mL AMP X1ML"</f>
        <v>HIOSCINA N-BUTIL BROMURO 20mg/mL AMP X1ML</v>
      </c>
      <c r="E130" s="5" t="str">
        <f>"20mg/m"</f>
        <v>20mg/m</v>
      </c>
      <c r="F130" s="5" t="str">
        <f>"AMPOLLA"</f>
        <v>AMPOLLA</v>
      </c>
      <c r="G130" s="5" t="str">
        <f>"A03BH013701"</f>
        <v>A03BH013701</v>
      </c>
      <c r="H130" s="6">
        <v>1920</v>
      </c>
      <c r="I130" s="6">
        <v>3165</v>
      </c>
      <c r="J130" s="5" t="s">
        <v>1</v>
      </c>
    </row>
    <row r="131" spans="1:10" x14ac:dyDescent="0.25">
      <c r="A131" s="5" t="str">
        <f>"19997659-1"</f>
        <v>19997659-1</v>
      </c>
      <c r="B131" s="5" t="str">
        <f>"ALF0341"</f>
        <v>ALF0341</v>
      </c>
      <c r="C131" s="5" t="str">
        <f>"N02BB52"</f>
        <v>N02BB52</v>
      </c>
      <c r="D131" s="5" t="str">
        <f>"HIOSCINA20mg N-BUTIL BROMURO + DIPIRONA2.5g  AMP x 5mL"</f>
        <v>HIOSCINA20mg N-BUTIL BROMURO + DIPIRONA2.5g  AMP x 5mL</v>
      </c>
      <c r="E131" s="5" t="str">
        <f>"20mg / 2.5g"</f>
        <v>20mg / 2.5g</v>
      </c>
      <c r="F131" s="5" t="str">
        <f>"AMPOLLA"</f>
        <v>AMPOLLA</v>
      </c>
      <c r="G131" s="5" t="str">
        <f>"A03DH013701"</f>
        <v>A03DH013701</v>
      </c>
      <c r="H131" s="6">
        <v>2025</v>
      </c>
      <c r="I131" s="6">
        <v>4700</v>
      </c>
      <c r="J131" s="5" t="s">
        <v>1</v>
      </c>
    </row>
    <row r="132" spans="1:10" x14ac:dyDescent="0.25">
      <c r="B132" s="5" t="str">
        <f>"ALF1076"</f>
        <v>ALF1076</v>
      </c>
      <c r="C132" s="5" t="str">
        <f>"ALF1076"</f>
        <v>ALF1076</v>
      </c>
      <c r="D132" s="5" t="str">
        <f>"GENTAMICINA 0.1% CREMA TOPICA  40GR"</f>
        <v>GENTAMICINA 0.1% CREMA TOPICA  40GR</v>
      </c>
      <c r="E132" s="5" t="str">
        <f>"0.1%"</f>
        <v>0.1%</v>
      </c>
      <c r="F132" s="5" t="str">
        <f>"TUBO COLAPSIBLE"</f>
        <v>TUBO COLAPSIBLE</v>
      </c>
      <c r="H132" s="6">
        <v>6565</v>
      </c>
      <c r="I132" s="6">
        <v>23000</v>
      </c>
      <c r="J132" s="5" t="s">
        <v>0</v>
      </c>
    </row>
    <row r="133" spans="1:10" x14ac:dyDescent="0.25">
      <c r="A133" s="5" t="str">
        <f>"19981452-1"</f>
        <v>19981452-1</v>
      </c>
      <c r="B133" s="5" t="str">
        <f>"ALF0084"</f>
        <v>ALF0084</v>
      </c>
      <c r="C133" s="5" t="str">
        <f>"J01CP007721"</f>
        <v>J01CP007721</v>
      </c>
      <c r="D133" s="5" t="str">
        <f>"ANIDULAFUNGINA 100mg AMP (ECALTA)"</f>
        <v>ANIDULAFUNGINA 100mg AMP (ECALTA)</v>
      </c>
      <c r="E133" s="5" t="str">
        <f>"100mg"</f>
        <v>100mg</v>
      </c>
      <c r="F133" s="5" t="str">
        <f>"AMPOLLA"</f>
        <v>AMPOLLA</v>
      </c>
      <c r="G133" s="5" t="str">
        <f>"ANIDULAFUNGINA"</f>
        <v>ANIDULAFUNGINA</v>
      </c>
      <c r="H133" s="6">
        <v>826000</v>
      </c>
      <c r="I133" s="6">
        <v>1412886</v>
      </c>
      <c r="J133" s="5" t="s">
        <v>0</v>
      </c>
    </row>
    <row r="134" spans="1:10" x14ac:dyDescent="0.25">
      <c r="A134" s="5" t="str">
        <f>"19959604-1"</f>
        <v>19959604-1</v>
      </c>
      <c r="B134" s="5" t="str">
        <f>"ALF0587"</f>
        <v>ALF0587</v>
      </c>
      <c r="C134" s="5" t="str">
        <f>"J01AA12"</f>
        <v>J01AA12</v>
      </c>
      <c r="D134" s="5" t="str">
        <f>"TIGECICLINA 50mg AMP (T"</f>
        <v>TIGECICLINA 50mg AMP (T</v>
      </c>
      <c r="E134" s="5" t="str">
        <f>"50mg"</f>
        <v>50mg</v>
      </c>
      <c r="F134" s="5" t="str">
        <f>"AMPOLLA"</f>
        <v>AMPOLLA</v>
      </c>
      <c r="H134" s="6">
        <v>172694</v>
      </c>
      <c r="I134" s="6">
        <v>127922</v>
      </c>
      <c r="J134" s="5" t="s">
        <v>0</v>
      </c>
    </row>
    <row r="135" spans="1:10" x14ac:dyDescent="0.25">
      <c r="A135" s="5" t="str">
        <f>"28908-1"</f>
        <v>28908-1</v>
      </c>
      <c r="B135" s="5" t="str">
        <f>"ALF0638"</f>
        <v>ALF0638</v>
      </c>
      <c r="C135" s="5" t="str">
        <f>"J01CR04"</f>
        <v>J01CR04</v>
      </c>
      <c r="D135" s="5" t="str">
        <f>"SULTAMICILINA SUSPENSION 250mg/5mL (UNASYN)"</f>
        <v>SULTAMICILINA SUSPENSION 250mg/5mL (UNASYN)</v>
      </c>
      <c r="E135" s="5" t="str">
        <f>"250mg"</f>
        <v>250mg</v>
      </c>
      <c r="F135" s="5" t="str">
        <f>"AMPOLLA"</f>
        <v>AMPOLLA</v>
      </c>
      <c r="H135" s="6">
        <v>96714</v>
      </c>
      <c r="I135" s="6">
        <v>155000</v>
      </c>
      <c r="J135" s="5" t="s">
        <v>0</v>
      </c>
    </row>
    <row r="136" spans="1:10" x14ac:dyDescent="0.25">
      <c r="A136" s="5" t="str">
        <f>"20040022-1"</f>
        <v>20040022-1</v>
      </c>
      <c r="B136" s="5" t="str">
        <f>"ALF0668"</f>
        <v>ALF0668</v>
      </c>
      <c r="C136" s="5" t="str">
        <f>"J02AC03"</f>
        <v>J02AC03</v>
      </c>
      <c r="D136" s="5" t="str">
        <f>"VORICONAZOL 200mg AMPOLLA"</f>
        <v>VORICONAZOL 200mg AMPOLLA</v>
      </c>
      <c r="E136" s="5" t="str">
        <f>"200mg"</f>
        <v>200mg</v>
      </c>
      <c r="F136" s="5" t="str">
        <f>"AMPOLLA"</f>
        <v>AMPOLLA</v>
      </c>
      <c r="H136" s="6">
        <v>216236</v>
      </c>
      <c r="I136" s="6">
        <v>242500.38</v>
      </c>
      <c r="J136" s="5" t="s">
        <v>0</v>
      </c>
    </row>
    <row r="137" spans="1:10" x14ac:dyDescent="0.25">
      <c r="A137" s="5" t="str">
        <f>"22877-1"</f>
        <v>22877-1</v>
      </c>
      <c r="B137" s="5" t="str">
        <f>"ALF0303"</f>
        <v>ALF0303</v>
      </c>
      <c r="C137" s="5" t="str">
        <f>"C10AB04"</f>
        <v>C10AB04</v>
      </c>
      <c r="D137" s="5" t="str">
        <f>"GENFIBROZILO 600 MG TABLETA"</f>
        <v>GENFIBROZILO 600 MG TABLETA</v>
      </c>
      <c r="E137" s="5" t="str">
        <f>"600mg"</f>
        <v>600mg</v>
      </c>
      <c r="F137" s="5" t="str">
        <f>"CAPSULA"</f>
        <v>CAPSULA</v>
      </c>
      <c r="H137" s="6">
        <v>457.5</v>
      </c>
      <c r="I137" s="6">
        <v>600</v>
      </c>
      <c r="J137" s="5" t="s">
        <v>1</v>
      </c>
    </row>
    <row r="138" spans="1:10" x14ac:dyDescent="0.25">
      <c r="A138" s="5" t="str">
        <f>"225487-17"</f>
        <v>225487-17</v>
      </c>
      <c r="B138" s="5" t="str">
        <f>"ALF0530"</f>
        <v>ALF0530</v>
      </c>
      <c r="C138" s="5" t="str">
        <f>"G04BE03"</f>
        <v>G04BE03</v>
      </c>
      <c r="D138" s="5" t="str">
        <f>"SILDENAFIL 50mg TAB"</f>
        <v>SILDENAFIL 50mg TAB</v>
      </c>
      <c r="E138" s="5" t="str">
        <f>"50MG"</f>
        <v>50MG</v>
      </c>
      <c r="F138" s="5" t="str">
        <f>"TABLETA"</f>
        <v>TABLETA</v>
      </c>
      <c r="H138" s="6">
        <v>2773.25</v>
      </c>
      <c r="I138" s="6">
        <v>8170</v>
      </c>
      <c r="J138" s="5" t="s">
        <v>0</v>
      </c>
    </row>
    <row r="139" spans="1:10" x14ac:dyDescent="0.25">
      <c r="A139" s="5" t="str">
        <f>"19953202-15"</f>
        <v>19953202-15</v>
      </c>
      <c r="B139" s="5" t="str">
        <f>"ALF0845"</f>
        <v>ALF0845</v>
      </c>
      <c r="C139" s="5" t="str">
        <f>"N03AX16"</f>
        <v>N03AX16</v>
      </c>
      <c r="D139" s="5" t="str">
        <f>"( PREGABALINA 75mg )"</f>
        <v>( PREGABALINA 75mg )</v>
      </c>
      <c r="E139" s="5" t="str">
        <f>"75MG"</f>
        <v>75MG</v>
      </c>
      <c r="F139" s="5" t="str">
        <f>"TABLETA"</f>
        <v>TABLETA</v>
      </c>
      <c r="H139" s="6">
        <v>1184</v>
      </c>
      <c r="I139" s="6">
        <v>1362</v>
      </c>
      <c r="J139" s="5" t="s">
        <v>0</v>
      </c>
    </row>
    <row r="140" spans="1:10" x14ac:dyDescent="0.25">
      <c r="A140" s="5" t="str">
        <f>"17582-1"</f>
        <v>17582-1</v>
      </c>
      <c r="B140" s="5" t="str">
        <f>"ALF8026"</f>
        <v>ALF8026</v>
      </c>
      <c r="C140" s="5" t="str">
        <f>"J01CA027232"</f>
        <v>J01CA027232</v>
      </c>
      <c r="D140" s="5" t="str">
        <f>"AMPICILINA 250MG  SUSPENSION 120 ML"</f>
        <v>AMPICILINA 250MG  SUSPENSION 120 ML</v>
      </c>
      <c r="F140" s="5" t="str">
        <f>"FRASCO"</f>
        <v>FRASCO</v>
      </c>
      <c r="H140" s="6">
        <v>6600</v>
      </c>
      <c r="I140" s="6">
        <v>9000</v>
      </c>
      <c r="J140" s="5" t="s">
        <v>1</v>
      </c>
    </row>
    <row r="141" spans="1:10" x14ac:dyDescent="0.25">
      <c r="B141" s="5" t="str">
        <f>"ALF1096"</f>
        <v>ALF1096</v>
      </c>
      <c r="C141" s="5" t="str">
        <f>"ALF1096"</f>
        <v>ALF1096</v>
      </c>
      <c r="D141" s="5" t="str">
        <f>"PROSTIN 500MCG AMPOLLA 1ML"</f>
        <v>PROSTIN 500MCG AMPOLLA 1ML</v>
      </c>
      <c r="E141" s="5" t="str">
        <f>"500MG"</f>
        <v>500MG</v>
      </c>
      <c r="F141" s="5" t="str">
        <f>"AMPOLLA"</f>
        <v>AMPOLLA</v>
      </c>
      <c r="H141" s="6">
        <v>240620</v>
      </c>
      <c r="I141" s="6">
        <v>255000</v>
      </c>
      <c r="J141" s="5" t="s">
        <v>0</v>
      </c>
    </row>
    <row r="142" spans="1:10" x14ac:dyDescent="0.25">
      <c r="A142" s="5" t="str">
        <f>"42163-1"</f>
        <v>42163-1</v>
      </c>
      <c r="B142" s="5" t="str">
        <f>"ALF1130"</f>
        <v>ALF1130</v>
      </c>
      <c r="C142" s="5" t="str">
        <f>"ALF1130"</f>
        <v>ALF1130</v>
      </c>
      <c r="D142" s="5" t="str">
        <f>"MEDROXIPROGESTERONA ACETATO 150 mg/mL (3%) AMPOLLA"</f>
        <v>MEDROXIPROGESTERONA ACETATO 150 mg/mL (3%) AMPOLLA</v>
      </c>
      <c r="E142" s="5" t="str">
        <f>"150 mg/3ml"</f>
        <v>150 mg/3ml</v>
      </c>
      <c r="F142" s="5" t="str">
        <f>"AMPOLLA"</f>
        <v>AMPOLLA</v>
      </c>
      <c r="G142" s="5" t="str">
        <f>"MEDROXIPROGESTERONA ACETATO"</f>
        <v>MEDROXIPROGESTERONA ACETATO</v>
      </c>
      <c r="H142" s="6">
        <v>12950</v>
      </c>
      <c r="I142" s="6">
        <v>14750</v>
      </c>
      <c r="J142" s="5" t="s">
        <v>1</v>
      </c>
    </row>
    <row r="143" spans="1:10" x14ac:dyDescent="0.25">
      <c r="B143" s="5" t="str">
        <f>"ALF1137"</f>
        <v>ALF1137</v>
      </c>
      <c r="C143" s="5" t="str">
        <f>"ALF1137"</f>
        <v>ALF1137</v>
      </c>
      <c r="D143" s="5" t="str">
        <f>"VACUNA NEUMOCOCO(PREVENAR13VALENTE) AMPOLLA."</f>
        <v>VACUNA NEUMOCOCO(PREVENAR13VALENTE) AMPOLLA.</v>
      </c>
      <c r="F143" s="5" t="str">
        <f>"AMPOLLA"</f>
        <v>AMPOLLA</v>
      </c>
      <c r="H143" s="6">
        <v>322000</v>
      </c>
      <c r="I143" s="6">
        <v>421200</v>
      </c>
      <c r="J143" s="5" t="s">
        <v>0</v>
      </c>
    </row>
    <row r="144" spans="1:10" x14ac:dyDescent="0.25">
      <c r="B144" s="5" t="str">
        <f>"ALF1274"</f>
        <v>ALF1274</v>
      </c>
      <c r="D144" s="5" t="str">
        <f>"ALDACTODE 25MG(ESPIRONOLACTONA) TABLETA"</f>
        <v>ALDACTODE 25MG(ESPIRONOLACTONA) TABLETA</v>
      </c>
      <c r="F144" s="5" t="str">
        <f>"UNIDAD"</f>
        <v>UNIDAD</v>
      </c>
      <c r="H144" s="6">
        <v>1210</v>
      </c>
      <c r="I144" s="6">
        <v>1635</v>
      </c>
      <c r="J144" s="5" t="s">
        <v>1</v>
      </c>
    </row>
    <row r="145" spans="1:10" x14ac:dyDescent="0.25">
      <c r="A145" s="5" t="str">
        <f>"19998792-5"</f>
        <v>19998792-5</v>
      </c>
      <c r="B145" s="5" t="str">
        <f>"ALF0007"</f>
        <v>ALF0007</v>
      </c>
      <c r="C145" s="5" t="str">
        <f>"N02BA001011"</f>
        <v>N02BA001011</v>
      </c>
      <c r="D145" s="5" t="str">
        <f>"ACETAMINOFEN 500mg TABLETA"</f>
        <v>ACETAMINOFEN 500mg TABLETA</v>
      </c>
      <c r="E145" s="5" t="str">
        <f>"500mg"</f>
        <v>500mg</v>
      </c>
      <c r="F145" s="5" t="str">
        <f>"TABLETA"</f>
        <v>TABLETA</v>
      </c>
      <c r="G145" s="5" t="str">
        <f>"PARACETAMOL"</f>
        <v>PARACETAMOL</v>
      </c>
      <c r="H145" s="6">
        <v>33.799999999999997</v>
      </c>
      <c r="I145" s="6">
        <v>200</v>
      </c>
      <c r="J145" s="5" t="s">
        <v>1</v>
      </c>
    </row>
    <row r="146" spans="1:10" x14ac:dyDescent="0.25">
      <c r="A146" s="5" t="str">
        <f>"29940-1"</f>
        <v>29940-1</v>
      </c>
      <c r="B146" s="5" t="str">
        <f>"ALF0014"</f>
        <v>ALF0014</v>
      </c>
      <c r="C146" s="5" t="str">
        <f>"N02BA01"</f>
        <v>N02BA01</v>
      </c>
      <c r="D146" s="5" t="str">
        <f>"ACETILSALISILICO ACIDO 100mg TAB"</f>
        <v>ACETILSALISILICO ACIDO 100mg TAB</v>
      </c>
      <c r="E146" s="5" t="str">
        <f>"100mg"</f>
        <v>100mg</v>
      </c>
      <c r="F146" s="5" t="str">
        <f>"TABLETA"</f>
        <v>TABLETA</v>
      </c>
      <c r="H146" s="6">
        <v>29</v>
      </c>
      <c r="I146" s="6">
        <v>173</v>
      </c>
      <c r="J146" s="5" t="s">
        <v>1</v>
      </c>
    </row>
    <row r="147" spans="1:10" x14ac:dyDescent="0.25">
      <c r="A147" s="5" t="str">
        <f>"J05AA006011"</f>
        <v>J05AA006011</v>
      </c>
      <c r="B147" s="5" t="str">
        <f>"ALF0015"</f>
        <v>ALF0015</v>
      </c>
      <c r="C147" s="5" t="str">
        <f>"J05AB01"</f>
        <v>J05AB01</v>
      </c>
      <c r="D147" s="5" t="str">
        <f>"ACICLOVIR 200mg TAB"</f>
        <v>ACICLOVIR 200mg TAB</v>
      </c>
      <c r="E147" s="5" t="str">
        <f>"200mg"</f>
        <v>200mg</v>
      </c>
      <c r="F147" s="5" t="str">
        <f>"TABLETA"</f>
        <v>TABLETA</v>
      </c>
      <c r="H147" s="6">
        <v>112</v>
      </c>
      <c r="I147" s="6">
        <v>2837</v>
      </c>
      <c r="J147" s="5" t="s">
        <v>1</v>
      </c>
    </row>
    <row r="148" spans="1:10" x14ac:dyDescent="0.25">
      <c r="A148" s="5" t="str">
        <f>"S01AA006611"</f>
        <v>S01AA006611</v>
      </c>
      <c r="B148" s="5" t="str">
        <f>"ALF0016"</f>
        <v>ALF0016</v>
      </c>
      <c r="C148" s="5" t="str">
        <f>"J05AA006721"</f>
        <v>J05AA006721</v>
      </c>
      <c r="D148" s="5" t="str">
        <f>"ACICLOVIR 250mg AMPOLLA"</f>
        <v>ACICLOVIR 250mg AMPOLLA</v>
      </c>
      <c r="E148" s="5" t="str">
        <f>"250mg"</f>
        <v>250mg</v>
      </c>
      <c r="F148" s="5" t="str">
        <f>"AMPOLLA"</f>
        <v>AMPOLLA</v>
      </c>
      <c r="H148" s="6">
        <v>6432</v>
      </c>
      <c r="I148" s="6">
        <v>19300</v>
      </c>
      <c r="J148" s="5" t="s">
        <v>1</v>
      </c>
    </row>
    <row r="149" spans="1:10" x14ac:dyDescent="0.25">
      <c r="A149" s="5" t="str">
        <f>"19928399"</f>
        <v>19928399</v>
      </c>
      <c r="B149" s="5" t="str">
        <f>"ALF0085"</f>
        <v>ALF0085</v>
      </c>
      <c r="C149" s="5" t="str">
        <f>"C10AA05"</f>
        <v>C10AA05</v>
      </c>
      <c r="D149" s="5" t="str">
        <f>"ATORVASTATINA 40mg TABlLETA"</f>
        <v>ATORVASTATINA 40mg TABlLETA</v>
      </c>
      <c r="E149" s="5" t="str">
        <f>"40mg"</f>
        <v>40mg</v>
      </c>
      <c r="F149" s="5" t="str">
        <f>"TABLETA"</f>
        <v>TABLETA</v>
      </c>
      <c r="G149" s="5" t="str">
        <f>"C10AA05"</f>
        <v>C10AA05</v>
      </c>
      <c r="H149" s="6">
        <v>208</v>
      </c>
      <c r="I149" s="6">
        <v>6340.4</v>
      </c>
      <c r="J149" s="5" t="s">
        <v>1</v>
      </c>
    </row>
    <row r="150" spans="1:10" x14ac:dyDescent="0.25">
      <c r="A150" s="5" t="str">
        <f>"19999832-3"</f>
        <v>19999832-3</v>
      </c>
      <c r="B150" s="5" t="str">
        <f>"ALF0099"</f>
        <v>ALF0099</v>
      </c>
      <c r="C150" s="5" t="str">
        <f>"N03AV012701"</f>
        <v>N03AV012701</v>
      </c>
      <c r="D150" s="5" t="str">
        <f>"BETAMETASONA 0.05% CREMA TOPICA X 40g"</f>
        <v>BETAMETASONA 0.05% CREMA TOPICA X 40g</v>
      </c>
      <c r="E150" s="5" t="str">
        <f>"0.05%"</f>
        <v>0.05%</v>
      </c>
      <c r="F150" s="5" t="str">
        <f>"TUBO COLAPSIBLE"</f>
        <v>TUBO COLAPSIBLE</v>
      </c>
      <c r="H150" s="6">
        <v>8400</v>
      </c>
      <c r="I150" s="6">
        <v>18044</v>
      </c>
      <c r="J150" s="5" t="s">
        <v>1</v>
      </c>
    </row>
    <row r="151" spans="1:10" x14ac:dyDescent="0.25">
      <c r="A151" s="5" t="str">
        <f>"19952012-2"</f>
        <v>19952012-2</v>
      </c>
      <c r="B151" s="5" t="str">
        <f>"ALF0487"</f>
        <v>ALF0487</v>
      </c>
      <c r="C151" s="5" t="str">
        <f>"J01CP007722"</f>
        <v>J01CP007722</v>
      </c>
      <c r="D151" s="5" t="str">
        <f>"PENICILINA G SODICA 5000000 AMPOLLA"</f>
        <v>PENICILINA G SODICA 5000000 AMPOLLA</v>
      </c>
      <c r="E151" s="5" t="str">
        <f>"5000000 UI"</f>
        <v>5000000 UI</v>
      </c>
      <c r="F151" s="5" t="str">
        <f>"AMPOLLA"</f>
        <v>AMPOLLA</v>
      </c>
      <c r="G151" s="5" t="str">
        <f>"PENICILINA G SODICA"</f>
        <v>PENICILINA G SODICA</v>
      </c>
      <c r="H151" s="6">
        <v>1800</v>
      </c>
      <c r="I151" s="6">
        <v>4801</v>
      </c>
      <c r="J151" s="5" t="s">
        <v>1</v>
      </c>
    </row>
    <row r="152" spans="1:10" x14ac:dyDescent="0.25">
      <c r="A152" s="5" t="str">
        <f>"C03CF017011"</f>
        <v>C03CF017011</v>
      </c>
      <c r="B152" s="5" t="str">
        <f>"ALF0301"</f>
        <v>ALF0301</v>
      </c>
      <c r="C152" s="5" t="str">
        <f>"C03CA01"</f>
        <v>C03CA01</v>
      </c>
      <c r="D152" s="5" t="str">
        <f>"FUROSEMIDA 40mg TAB"</f>
        <v>FUROSEMIDA 40mg TAB</v>
      </c>
      <c r="E152" s="5" t="str">
        <f>"40mg"</f>
        <v>40mg</v>
      </c>
      <c r="F152" s="5" t="str">
        <f>"TABLETA"</f>
        <v>TABLETA</v>
      </c>
      <c r="H152" s="6">
        <v>30</v>
      </c>
      <c r="I152" s="6">
        <v>461</v>
      </c>
      <c r="J152" s="5" t="s">
        <v>1</v>
      </c>
    </row>
    <row r="153" spans="1:10" x14ac:dyDescent="0.25">
      <c r="A153" s="5" t="str">
        <f>"19958767-1"</f>
        <v>19958767-1</v>
      </c>
      <c r="B153" s="5" t="str">
        <f>"ALF0506"</f>
        <v>ALF0506</v>
      </c>
      <c r="C153" s="5" t="str">
        <f>"A02BR001011"</f>
        <v>A02BR001011</v>
      </c>
      <c r="D153" s="5" t="str">
        <f>"RANITIDINA 150mg TAB"</f>
        <v>RANITIDINA 150mg TAB</v>
      </c>
      <c r="E153" s="5" t="str">
        <f>"150mg"</f>
        <v>150mg</v>
      </c>
      <c r="F153" s="5" t="str">
        <f>"TABLETA"</f>
        <v>TABLETA</v>
      </c>
      <c r="H153" s="6">
        <v>112</v>
      </c>
      <c r="I153" s="6">
        <v>1393</v>
      </c>
      <c r="J153" s="5" t="s">
        <v>1</v>
      </c>
    </row>
    <row r="154" spans="1:10" x14ac:dyDescent="0.25">
      <c r="A154" s="5" t="str">
        <f>"19983980-1"</f>
        <v>19983980-1</v>
      </c>
      <c r="B154" s="5" t="str">
        <f>"ALF0241"</f>
        <v>ALF0241</v>
      </c>
      <c r="C154" s="5" t="str">
        <f>"J05AB140141"</f>
        <v>J05AB140141</v>
      </c>
      <c r="D154" s="5" t="str">
        <f>"DOMPERIDONA 1mg/mL SUSP x 60mL"</f>
        <v>DOMPERIDONA 1mg/mL SUSP x 60mL</v>
      </c>
      <c r="E154" s="5" t="str">
        <f>"1MG/ML"</f>
        <v>1MG/ML</v>
      </c>
      <c r="F154" s="5" t="str">
        <f>"FRASCO"</f>
        <v>FRASCO</v>
      </c>
      <c r="H154" s="6">
        <v>36600</v>
      </c>
      <c r="I154" s="6">
        <v>31113</v>
      </c>
      <c r="J154" s="5" t="s">
        <v>0</v>
      </c>
    </row>
    <row r="155" spans="1:10" x14ac:dyDescent="0.25">
      <c r="A155" s="5" t="str">
        <f>"51595-2"</f>
        <v>51595-2</v>
      </c>
      <c r="B155" s="5" t="str">
        <f>"ALF0595"</f>
        <v>ALF0595</v>
      </c>
      <c r="C155" s="5" t="str">
        <f>"A03AA05"</f>
        <v>A03AA05</v>
      </c>
      <c r="D155" s="5" t="str">
        <f>"TRIMEBUTINA 200mg TABLETA"</f>
        <v>TRIMEBUTINA 200mg TABLETA</v>
      </c>
      <c r="E155" s="5" t="str">
        <f>"200MG"</f>
        <v>200MG</v>
      </c>
      <c r="F155" s="5" t="str">
        <f>"TABLETA"</f>
        <v>TABLETA</v>
      </c>
      <c r="H155" s="6">
        <v>540</v>
      </c>
      <c r="I155" s="6">
        <v>763</v>
      </c>
      <c r="J155" s="5" t="s">
        <v>0</v>
      </c>
    </row>
    <row r="156" spans="1:10" x14ac:dyDescent="0.25">
      <c r="A156" s="5" t="str">
        <f>"20017384"</f>
        <v>20017384</v>
      </c>
      <c r="B156" s="5" t="str">
        <f>"ALF0693"</f>
        <v>ALF0693</v>
      </c>
      <c r="C156" s="5" t="str">
        <f>"C01CA01"</f>
        <v>C01CA01</v>
      </c>
      <c r="D156" s="5" t="str">
        <f>"ETILEFRINA 10MG AMPOLLA/ML"</f>
        <v>ETILEFRINA 10MG AMPOLLA/ML</v>
      </c>
      <c r="E156" s="5" t="str">
        <f>"10MG/ML"</f>
        <v>10MG/ML</v>
      </c>
      <c r="F156" s="5" t="str">
        <f>"AMPOLLA"</f>
        <v>AMPOLLA</v>
      </c>
      <c r="H156" s="6">
        <v>5686</v>
      </c>
      <c r="I156" s="6">
        <v>9250</v>
      </c>
      <c r="J156" s="5" t="s">
        <v>1</v>
      </c>
    </row>
    <row r="157" spans="1:10" x14ac:dyDescent="0.25">
      <c r="A157" s="5" t="str">
        <f>"37423"</f>
        <v>37423</v>
      </c>
      <c r="B157" s="5" t="str">
        <f>"ALF0422"</f>
        <v>ALF0422</v>
      </c>
      <c r="C157" s="5" t="str">
        <f>"P02CM003231"</f>
        <v>P02CM003231</v>
      </c>
      <c r="D157" s="5" t="str">
        <f>"MEBENDAZOL SUSP 100mg/5ml  X 30 ML"</f>
        <v>MEBENDAZOL SUSP 100mg/5ml  X 30 ML</v>
      </c>
      <c r="E157" s="5" t="str">
        <f>"100MG X30ML"</f>
        <v>100MG X30ML</v>
      </c>
      <c r="F157" s="5" t="str">
        <f>"FRASCO"</f>
        <v>FRASCO</v>
      </c>
      <c r="H157" s="6">
        <v>1800</v>
      </c>
      <c r="I157" s="6">
        <v>2800</v>
      </c>
      <c r="J157" s="5" t="s">
        <v>1</v>
      </c>
    </row>
    <row r="158" spans="1:10" x14ac:dyDescent="0.25">
      <c r="A158" s="5" t="str">
        <f>"20005954"</f>
        <v>20005954</v>
      </c>
      <c r="B158" s="5" t="str">
        <f>"ALF0849"</f>
        <v>ALF0849</v>
      </c>
      <c r="C158" s="5" t="str">
        <f>"N02BB02"</f>
        <v>N02BB02</v>
      </c>
      <c r="D158" s="5" t="str">
        <f>"MIGRINON (DIPIRONA 300mg+ ISOMETEPTENO 30mg + CAFEINA 30mg )"</f>
        <v>MIGRINON (DIPIRONA 300mg+ ISOMETEPTENO 30mg + CAFEINA 30mg )</v>
      </c>
      <c r="E158" s="5" t="str">
        <f>"(300+30+30)mg"</f>
        <v>(300+30+30)mg</v>
      </c>
      <c r="F158" s="5" t="str">
        <f>"TABLETA"</f>
        <v>TABLETA</v>
      </c>
      <c r="H158" s="6">
        <v>390</v>
      </c>
      <c r="I158" s="6">
        <v>460</v>
      </c>
      <c r="J158" s="5" t="s">
        <v>0</v>
      </c>
    </row>
    <row r="159" spans="1:10" x14ac:dyDescent="0.25">
      <c r="A159" s="5" t="str">
        <f>"R05DD020221"</f>
        <v>R05DD020221</v>
      </c>
      <c r="B159" s="5" t="str">
        <f>"ALF0898"</f>
        <v>ALF0898</v>
      </c>
      <c r="C159" s="5" t="str">
        <f>"R05D D020 22 1"</f>
        <v>R05D D020 22 1</v>
      </c>
      <c r="D159" s="5" t="str">
        <f>"DIHIDROCODEINA 12.1mg/5mL x120mL"</f>
        <v>DIHIDROCODEINA 12.1mg/5mL x120mL</v>
      </c>
      <c r="E159" s="5" t="str">
        <f>"12.1MG/5ML"</f>
        <v>12.1MG/5ML</v>
      </c>
      <c r="F159" s="5" t="str">
        <f>"FRASCO"</f>
        <v>FRASCO</v>
      </c>
      <c r="G159" s="5" t="str">
        <f>"R05D D020 22 1"</f>
        <v>R05D D020 22 1</v>
      </c>
      <c r="H159" s="6">
        <v>3780</v>
      </c>
      <c r="I159" s="6">
        <v>6875</v>
      </c>
      <c r="J159" s="5" t="s">
        <v>1</v>
      </c>
    </row>
    <row r="160" spans="1:10" x14ac:dyDescent="0.25">
      <c r="A160" s="5" t="str">
        <f>"11701-1"</f>
        <v>11701-1</v>
      </c>
      <c r="B160" s="5" t="str">
        <f>"ALF0993"</f>
        <v>ALF0993</v>
      </c>
      <c r="C160" s="5" t="str">
        <f>"ALF0993"</f>
        <v>ALF0993</v>
      </c>
      <c r="D160" s="5" t="str">
        <f>"AZITROMICINA 200mg/5mL SUSP X 15ML"</f>
        <v>AZITROMICINA 200mg/5mL SUSP X 15ML</v>
      </c>
      <c r="E160" s="5" t="str">
        <f>"500mg/5ML"</f>
        <v>500mg/5ML</v>
      </c>
      <c r="F160" s="5" t="str">
        <f>"FRASCO"</f>
        <v>FRASCO</v>
      </c>
      <c r="H160" s="6">
        <v>11970</v>
      </c>
      <c r="I160" s="6">
        <v>17500</v>
      </c>
      <c r="J160" s="5" t="s">
        <v>0</v>
      </c>
    </row>
    <row r="161" spans="1:10" x14ac:dyDescent="0.25">
      <c r="A161" s="5" t="str">
        <f>"20022576-2"</f>
        <v>20022576-2</v>
      </c>
      <c r="B161" s="5" t="str">
        <f>"ALF1055"</f>
        <v>ALF1055</v>
      </c>
      <c r="C161" s="5" t="str">
        <f>"ALF1055"</f>
        <v>ALF1055</v>
      </c>
      <c r="D161" s="5" t="str">
        <f>"CANDESARTAN 16MG TABBLETA"</f>
        <v>CANDESARTAN 16MG TABBLETA</v>
      </c>
      <c r="E161" s="5" t="str">
        <f>"16MG"</f>
        <v>16MG</v>
      </c>
      <c r="F161" s="5" t="str">
        <f>"TABLETA"</f>
        <v>TABLETA</v>
      </c>
      <c r="G161" s="5" t="str">
        <f>"CANDESARTAN 16MG"</f>
        <v>CANDESARTAN 16MG</v>
      </c>
      <c r="H161" s="6">
        <v>390</v>
      </c>
      <c r="I161" s="6">
        <v>3000</v>
      </c>
      <c r="J161" s="5" t="s">
        <v>0</v>
      </c>
    </row>
    <row r="162" spans="1:10" x14ac:dyDescent="0.25">
      <c r="B162" s="5" t="str">
        <f>"ALF1128"</f>
        <v>ALF1128</v>
      </c>
      <c r="C162" s="5" t="str">
        <f>"ALF1128"</f>
        <v>ALF1128</v>
      </c>
      <c r="D162" s="5" t="str">
        <f>"PROPAFENONA 150MG COMPRIMIDO"</f>
        <v>PROPAFENONA 150MG COMPRIMIDO</v>
      </c>
      <c r="E162" s="5" t="str">
        <f>"150MG"</f>
        <v>150MG</v>
      </c>
      <c r="F162" s="5" t="str">
        <f>"TABLETA"</f>
        <v>TABLETA</v>
      </c>
      <c r="H162" s="6">
        <v>1158.33</v>
      </c>
      <c r="I162" s="6">
        <v>1500</v>
      </c>
      <c r="J162" s="5" t="s">
        <v>0</v>
      </c>
    </row>
    <row r="163" spans="1:10" x14ac:dyDescent="0.25">
      <c r="B163" s="5" t="str">
        <f>"ALF1131"</f>
        <v>ALF1131</v>
      </c>
      <c r="C163" s="5" t="str">
        <f>"ALF1131"</f>
        <v>ALF1131</v>
      </c>
      <c r="D163" s="5" t="str">
        <f>"NEUROBASAL 800MG TABLETA-PIRECETAM"</f>
        <v>NEUROBASAL 800MG TABLETA-PIRECETAM</v>
      </c>
      <c r="E163" s="5" t="str">
        <f>"800MG"</f>
        <v>800MG</v>
      </c>
      <c r="F163" s="5" t="str">
        <f>"TABLETA"</f>
        <v>TABLETA</v>
      </c>
      <c r="H163" s="6">
        <v>616.66</v>
      </c>
      <c r="I163" s="6">
        <v>850</v>
      </c>
      <c r="J163" s="5" t="s">
        <v>0</v>
      </c>
    </row>
    <row r="164" spans="1:10" x14ac:dyDescent="0.25">
      <c r="B164" s="5" t="str">
        <f>"ALF1134"</f>
        <v>ALF1134</v>
      </c>
      <c r="C164" s="5" t="str">
        <f>"ALF1134"</f>
        <v>ALF1134</v>
      </c>
      <c r="D164" s="5" t="str">
        <f>"VITAMINA D 1.000UD CAPSULAS"</f>
        <v>VITAMINA D 1.000UD CAPSULAS</v>
      </c>
      <c r="F164" s="5" t="str">
        <f>"TABLETA"</f>
        <v>TABLETA</v>
      </c>
      <c r="H164" s="6">
        <v>1200</v>
      </c>
      <c r="I164" s="6">
        <v>1900</v>
      </c>
      <c r="J164" s="5" t="s">
        <v>0</v>
      </c>
    </row>
    <row r="165" spans="1:10" x14ac:dyDescent="0.25">
      <c r="B165" s="5" t="str">
        <f>"ALF1159"</f>
        <v>ALF1159</v>
      </c>
      <c r="C165" s="5" t="str">
        <f>"ALF1159"</f>
        <v>ALF1159</v>
      </c>
      <c r="D165" s="5" t="str">
        <f>"PENTOXIFILINA 400MG TABLETA"</f>
        <v>PENTOXIFILINA 400MG TABLETA</v>
      </c>
      <c r="E165" s="5" t="str">
        <f>"400MG"</f>
        <v>400MG</v>
      </c>
      <c r="F165" s="5" t="str">
        <f>"UNIDAD"</f>
        <v>UNIDAD</v>
      </c>
      <c r="H165" s="6">
        <v>1133.33</v>
      </c>
      <c r="I165" s="6">
        <v>1958</v>
      </c>
      <c r="J165" s="5" t="s">
        <v>0</v>
      </c>
    </row>
    <row r="166" spans="1:10" x14ac:dyDescent="0.25">
      <c r="B166" s="5" t="str">
        <f>"ALF1164"</f>
        <v>ALF1164</v>
      </c>
      <c r="C166" s="5" t="str">
        <f>"ALF1164"</f>
        <v>ALF1164</v>
      </c>
      <c r="D166" s="5" t="str">
        <f>"RIFAXIMINA 200MG TABLETA"</f>
        <v>RIFAXIMINA 200MG TABLETA</v>
      </c>
      <c r="E166" s="5" t="str">
        <f>"200MG"</f>
        <v>200MG</v>
      </c>
      <c r="F166" s="5" t="str">
        <f>"TABLETA"</f>
        <v>TABLETA</v>
      </c>
      <c r="H166" s="6">
        <v>5020</v>
      </c>
      <c r="I166" s="6">
        <v>4700</v>
      </c>
      <c r="J166" s="5" t="s">
        <v>0</v>
      </c>
    </row>
    <row r="167" spans="1:10" x14ac:dyDescent="0.25">
      <c r="B167" s="5" t="str">
        <f>"ALF1166"</f>
        <v>ALF1166</v>
      </c>
      <c r="C167" s="5" t="str">
        <f>"ALF1166"</f>
        <v>ALF1166</v>
      </c>
      <c r="D167" s="5" t="str">
        <f>"FLUNARIZINA 10MG TABLETA"</f>
        <v>FLUNARIZINA 10MG TABLETA</v>
      </c>
      <c r="E167" s="5" t="str">
        <f>"10MG"</f>
        <v>10MG</v>
      </c>
      <c r="F167" s="5" t="str">
        <f>"TABLETA"</f>
        <v>TABLETA</v>
      </c>
      <c r="H167" s="6">
        <v>220</v>
      </c>
      <c r="I167" s="6">
        <v>297</v>
      </c>
      <c r="J167" s="5" t="s">
        <v>0</v>
      </c>
    </row>
    <row r="168" spans="1:10" x14ac:dyDescent="0.25">
      <c r="B168" s="5" t="str">
        <f>"ALF1242"</f>
        <v>ALF1242</v>
      </c>
      <c r="C168" s="5" t="str">
        <f>"D06BB03"</f>
        <v>D06BB03</v>
      </c>
      <c r="D168" s="5" t="str">
        <f>"ACICLOVIR UNGUENTO OFTALMICO 3% X 10GR"</f>
        <v>ACICLOVIR UNGUENTO OFTALMICO 3% X 10GR</v>
      </c>
      <c r="F168" s="5" t="str">
        <f>"UNIDAD"</f>
        <v>UNIDAD</v>
      </c>
      <c r="H168" s="6">
        <v>43900</v>
      </c>
      <c r="I168" s="6">
        <v>59265</v>
      </c>
      <c r="J168" s="5" t="s">
        <v>1</v>
      </c>
    </row>
    <row r="169" spans="1:10" x14ac:dyDescent="0.25">
      <c r="B169" s="5" t="str">
        <f>"ALF1246"</f>
        <v>ALF1246</v>
      </c>
      <c r="D169" s="5" t="str">
        <f>"CROTAMITON LOCION  10% 80ML"</f>
        <v>CROTAMITON LOCION  10% 80ML</v>
      </c>
      <c r="F169" s="5" t="str">
        <f>"UNIDAD"</f>
        <v>UNIDAD</v>
      </c>
      <c r="H169" s="6">
        <v>12600</v>
      </c>
      <c r="I169" s="6">
        <v>17010</v>
      </c>
      <c r="J169" s="5" t="s">
        <v>1</v>
      </c>
    </row>
    <row r="170" spans="1:10" x14ac:dyDescent="0.25">
      <c r="B170" s="5" t="str">
        <f>"ALF1247"</f>
        <v>ALF1247</v>
      </c>
      <c r="C170" s="5" t="str">
        <f>"ALF1247"</f>
        <v>ALF1247</v>
      </c>
      <c r="D170" s="5" t="str">
        <f>"ALLEGRA SUSPENSION PEDIATRICO-FEXOFENADINA CLORHIDRATO 30MG/5ML"</f>
        <v>ALLEGRA SUSPENSION PEDIATRICO-FEXOFENADINA CLORHIDRATO 30MG/5ML</v>
      </c>
      <c r="F170" s="5" t="str">
        <f>"UNIDAD"</f>
        <v>UNIDAD</v>
      </c>
      <c r="H170" s="6">
        <v>57700</v>
      </c>
      <c r="I170" s="6">
        <v>86550</v>
      </c>
      <c r="J170" s="5" t="s">
        <v>0</v>
      </c>
    </row>
    <row r="171" spans="1:10" x14ac:dyDescent="0.25">
      <c r="A171" s="5" t="str">
        <f>"209802-1"</f>
        <v>209802-1</v>
      </c>
      <c r="B171" s="5" t="str">
        <f>"ALF0510"</f>
        <v>ALF0510</v>
      </c>
      <c r="C171" s="5" t="str">
        <f>"N01AH06"</f>
        <v>N01AH06</v>
      </c>
      <c r="D171" s="5" t="str">
        <f>"REMIFENTANILO 2mg AMP"</f>
        <v>REMIFENTANILO 2mg AMP</v>
      </c>
      <c r="E171" s="5" t="str">
        <f>"2mg"</f>
        <v>2mg</v>
      </c>
      <c r="F171" s="5" t="str">
        <f>"AMPOLLA"</f>
        <v>AMPOLLA</v>
      </c>
      <c r="G171" s="5" t="str">
        <f>"REMIFENTANILO"</f>
        <v>REMIFENTANILO</v>
      </c>
      <c r="H171" s="6">
        <v>28000</v>
      </c>
      <c r="I171" s="6">
        <v>77875</v>
      </c>
      <c r="J171" s="5" t="s">
        <v>0</v>
      </c>
    </row>
    <row r="172" spans="1:10" x14ac:dyDescent="0.25">
      <c r="A172" s="5" t="str">
        <f>"19975838-3"</f>
        <v>19975838-3</v>
      </c>
      <c r="B172" s="5" t="str">
        <f>"ALF0388"</f>
        <v>ALF0388</v>
      </c>
      <c r="C172" s="5" t="str">
        <f>"N03AX1401"</f>
        <v>N03AX1401</v>
      </c>
      <c r="D172" s="5" t="str">
        <f>"LEVETIRACETAM 100mg/mL X 300mL JARABE (KEPPRA)"</f>
        <v>LEVETIRACETAM 100mg/mL X 300mL JARABE (KEPPRA)</v>
      </c>
      <c r="E172" s="5" t="str">
        <f>"100mg/mL X 300mL"</f>
        <v>100mg/mL X 300mL</v>
      </c>
      <c r="F172" s="5" t="str">
        <f>"FRASCO"</f>
        <v>FRASCO</v>
      </c>
      <c r="H172" s="6">
        <v>255000</v>
      </c>
      <c r="I172" s="6">
        <v>247200</v>
      </c>
      <c r="J172" s="5" t="s">
        <v>0</v>
      </c>
    </row>
    <row r="173" spans="1:10" x14ac:dyDescent="0.25">
      <c r="A173" s="5" t="str">
        <f>"32566"</f>
        <v>32566</v>
      </c>
      <c r="B173" s="5" t="str">
        <f>"ALF0777"</f>
        <v>ALF0777</v>
      </c>
      <c r="C173" s="5" t="str">
        <f>"J01CR02"</f>
        <v>J01CR02</v>
      </c>
      <c r="D173" s="5" t="str">
        <f>"AMOXICILINA CLAVULINICO 500/125MG CAPSULA(CLAVULIN)"</f>
        <v>AMOXICILINA CLAVULINICO 500/125MG CAPSULA(CLAVULIN)</v>
      </c>
      <c r="E173" s="5" t="str">
        <f>"500/125MG"</f>
        <v>500/125MG</v>
      </c>
      <c r="F173" s="5" t="str">
        <f>"TABLETA"</f>
        <v>TABLETA</v>
      </c>
      <c r="H173" s="6">
        <v>5900</v>
      </c>
      <c r="I173" s="6">
        <v>7300</v>
      </c>
      <c r="J173" s="5" t="s">
        <v>0</v>
      </c>
    </row>
    <row r="174" spans="1:10" x14ac:dyDescent="0.25">
      <c r="A174" s="5" t="str">
        <f>"19936411"</f>
        <v>19936411</v>
      </c>
      <c r="B174" s="5" t="str">
        <f>"ALF0842"</f>
        <v>ALF0842</v>
      </c>
      <c r="C174" s="5" t="str">
        <f>"N03AX14"</f>
        <v>N03AX14</v>
      </c>
      <c r="D174" s="5" t="str">
        <f>"LEVETIRACETAM 1000mg TAB ( KEPPRA )"</f>
        <v>LEVETIRACETAM 1000mg TAB ( KEPPRA )</v>
      </c>
      <c r="E174" s="5" t="str">
        <f>"500MG"</f>
        <v>500MG</v>
      </c>
      <c r="F174" s="5" t="str">
        <f>"TABLETA"</f>
        <v>TABLETA</v>
      </c>
      <c r="H174" s="6">
        <v>6800</v>
      </c>
      <c r="I174" s="6">
        <v>7250</v>
      </c>
      <c r="J174" s="5" t="s">
        <v>0</v>
      </c>
    </row>
    <row r="175" spans="1:10" x14ac:dyDescent="0.25">
      <c r="B175" s="5" t="str">
        <f>"ALF0899"</f>
        <v>ALF0899</v>
      </c>
      <c r="C175" s="5" t="str">
        <f>"ALF0899"</f>
        <v>ALF0899</v>
      </c>
      <c r="D175" s="5" t="str">
        <f>"METOTREXATO SÓDICO 25MG/ML X 2ML"</f>
        <v>METOTREXATO SÓDICO 25MG/ML X 2ML</v>
      </c>
      <c r="E175" s="5" t="str">
        <f>"25MG/ML"</f>
        <v>25MG/ML</v>
      </c>
      <c r="F175" s="5" t="str">
        <f>"VIAL"</f>
        <v>VIAL</v>
      </c>
      <c r="H175" s="6">
        <v>10901</v>
      </c>
      <c r="I175" s="6">
        <v>32500</v>
      </c>
      <c r="J175" s="5" t="s">
        <v>1</v>
      </c>
    </row>
    <row r="176" spans="1:10" x14ac:dyDescent="0.25">
      <c r="A176" s="5" t="str">
        <f>"209410-5"</f>
        <v>209410-5</v>
      </c>
      <c r="B176" s="5" t="str">
        <f>"ALF0980"</f>
        <v>ALF0980</v>
      </c>
      <c r="C176" s="5" t="str">
        <f>"ALF0980"</f>
        <v>ALF0980</v>
      </c>
      <c r="D176" s="5" t="str">
        <f>"Mupirocina Ungüento 2% 15GR (BACTROBAN )"</f>
        <v>Mupirocina Ungüento 2% 15GR (BACTROBAN )</v>
      </c>
      <c r="E176" s="5" t="str">
        <f>"2% 15GR"</f>
        <v>2% 15GR</v>
      </c>
      <c r="F176" s="5" t="str">
        <f>"TUBO COLAPSIBLE"</f>
        <v>TUBO COLAPSIBLE</v>
      </c>
      <c r="G176" s="5" t="str">
        <f>"MUPIROCINA UNGÜENTO"</f>
        <v>MUPIROCINA UNGÜENTO</v>
      </c>
      <c r="H176" s="6">
        <v>20625</v>
      </c>
      <c r="I176" s="6">
        <v>70000</v>
      </c>
      <c r="J176" s="5" t="s">
        <v>0</v>
      </c>
    </row>
    <row r="177" spans="1:10" x14ac:dyDescent="0.25">
      <c r="B177" s="5" t="str">
        <f>"ALF1272"</f>
        <v>ALF1272</v>
      </c>
      <c r="D177" s="5" t="str">
        <f>"CEFUROXIMA 250MG/5M SUSPENSIONL-ZINNAT"</f>
        <v>CEFUROXIMA 250MG/5M SUSPENSIONL-ZINNAT</v>
      </c>
      <c r="F177" s="5" t="str">
        <f>"UNIDAD"</f>
        <v>UNIDAD</v>
      </c>
      <c r="H177" s="6">
        <v>94450</v>
      </c>
      <c r="I177" s="6">
        <v>127510</v>
      </c>
      <c r="J177" s="5" t="s">
        <v>0</v>
      </c>
    </row>
    <row r="178" spans="1:10" x14ac:dyDescent="0.25">
      <c r="A178" s="5" t="str">
        <f>"19917013-1"</f>
        <v>19917013-1</v>
      </c>
      <c r="B178" s="5" t="str">
        <f>"ALF0199"</f>
        <v>ALF0199</v>
      </c>
      <c r="C178" s="5" t="str">
        <f>"R07AA02101"</f>
        <v>R07AA02101</v>
      </c>
      <c r="D178" s="5" t="str">
        <f>"CLORURO DE SUCCINILCOLINA 1000mg (QUELISIN)"</f>
        <v>CLORURO DE SUCCINILCOLINA 1000mg (QUELISIN)</v>
      </c>
      <c r="E178" s="5" t="str">
        <f>"100mg/mL"</f>
        <v>100mg/mL</v>
      </c>
      <c r="F178" s="5" t="str">
        <f>"AMPOLLA"</f>
        <v>AMPOLLA</v>
      </c>
      <c r="G178" s="5" t="str">
        <f>"CLORURO DE SUXAMETONIO"</f>
        <v>CLORURO DE SUXAMETONIO</v>
      </c>
      <c r="H178" s="6">
        <v>19800</v>
      </c>
      <c r="I178" s="6">
        <v>33000</v>
      </c>
      <c r="J178" s="5" t="s">
        <v>1</v>
      </c>
    </row>
    <row r="179" spans="1:10" x14ac:dyDescent="0.25">
      <c r="A179" s="5" t="str">
        <f>"19906735-1"</f>
        <v>19906735-1</v>
      </c>
      <c r="B179" s="5" t="str">
        <f>"ALF0221"</f>
        <v>ALF0221</v>
      </c>
      <c r="C179" s="5" t="str">
        <f>"N05CM18"</f>
        <v>N05CM18</v>
      </c>
      <c r="D179" s="5" t="str">
        <f>"DEXMEDETOMIDINA HCl 100ug/mL AMP"</f>
        <v>DEXMEDETOMIDINA HCl 100ug/mL AMP</v>
      </c>
      <c r="E179" s="5" t="str">
        <f>"200 mcg/ 2mL"</f>
        <v>200 mcg/ 2mL</v>
      </c>
      <c r="F179" s="5" t="str">
        <f>"AMPOLLA"</f>
        <v>AMPOLLA</v>
      </c>
      <c r="G179" s="5" t="str">
        <f>"CLORHIDRATO DE DEXMETOMIDINA"</f>
        <v>CLORHIDRATO DE DEXMETOMIDINA</v>
      </c>
      <c r="H179" s="6">
        <v>54568</v>
      </c>
      <c r="I179" s="6">
        <v>135606</v>
      </c>
      <c r="J179" s="5" t="s">
        <v>0</v>
      </c>
    </row>
    <row r="180" spans="1:10" x14ac:dyDescent="0.25">
      <c r="A180" s="5" t="str">
        <f>"207824-1"</f>
        <v>207824-1</v>
      </c>
      <c r="B180" s="5" t="str">
        <f>"ALF0467"</f>
        <v>ALF0467</v>
      </c>
      <c r="C180" s="5" t="str">
        <f>"C02DS010721"</f>
        <v>C02DS010721</v>
      </c>
      <c r="D180" s="5" t="str">
        <f>"NITROPRUSIATO 50mg AMP"</f>
        <v>NITROPRUSIATO 50mg AMP</v>
      </c>
      <c r="E180" s="5" t="str">
        <f>"50mg / 2ml"</f>
        <v>50mg / 2ml</v>
      </c>
      <c r="F180" s="5" t="str">
        <f>"AMPOLLA"</f>
        <v>AMPOLLA</v>
      </c>
      <c r="H180" s="6">
        <v>39063</v>
      </c>
      <c r="I180" s="6">
        <v>51975</v>
      </c>
      <c r="J180" s="5" t="s">
        <v>1</v>
      </c>
    </row>
    <row r="181" spans="1:10" x14ac:dyDescent="0.25">
      <c r="A181" s="5" t="str">
        <f>"19954597-1"</f>
        <v>19954597-1</v>
      </c>
      <c r="B181" s="5" t="str">
        <f>"ALF0002"</f>
        <v>ALF0002</v>
      </c>
      <c r="C181" s="5" t="str">
        <f>"A06AR004271"</f>
        <v>A06AR004271</v>
      </c>
      <c r="D181" s="5" t="str">
        <f>"ACEITE DE RICINO FRASCO x 60mL"</f>
        <v>ACEITE DE RICINO FRASCO x 60mL</v>
      </c>
      <c r="E181" s="5" t="str">
        <f>"100%"</f>
        <v>100%</v>
      </c>
      <c r="F181" s="5" t="str">
        <f>"FRASCO"</f>
        <v>FRASCO</v>
      </c>
      <c r="H181" s="6">
        <v>5684</v>
      </c>
      <c r="I181" s="6">
        <v>6545</v>
      </c>
      <c r="J181" s="5" t="s">
        <v>1</v>
      </c>
    </row>
    <row r="182" spans="1:10" x14ac:dyDescent="0.25">
      <c r="A182" s="5" t="str">
        <f>"N02BE01"</f>
        <v>N02BE01</v>
      </c>
      <c r="B182" s="5" t="str">
        <f>"ALF0004"</f>
        <v>ALF0004</v>
      </c>
      <c r="C182" s="5" t="str">
        <f>"N02BA001201"</f>
        <v>N02BA001201</v>
      </c>
      <c r="D182" s="5" t="str">
        <f>"ACETAMINOFEN 100mg/ML(10%) SOLUCION ORAL"</f>
        <v>ACETAMINOFEN 100mg/ML(10%) SOLUCION ORAL</v>
      </c>
      <c r="E182" s="5" t="str">
        <f>"100mg x 30ml"</f>
        <v>100mg x 30ml</v>
      </c>
      <c r="F182" s="5" t="str">
        <f>"FRASCO CON GOTERO"</f>
        <v>FRASCO CON GOTERO</v>
      </c>
      <c r="G182" s="5" t="str">
        <f>"PARACETAMOL"</f>
        <v>PARACETAMOL</v>
      </c>
      <c r="H182" s="6">
        <v>1040</v>
      </c>
      <c r="I182" s="6">
        <v>8820</v>
      </c>
      <c r="J182" s="5" t="s">
        <v>1</v>
      </c>
    </row>
    <row r="183" spans="1:10" x14ac:dyDescent="0.25">
      <c r="A183" s="5" t="str">
        <f>"19956951-1"</f>
        <v>19956951-1</v>
      </c>
      <c r="B183" s="5" t="str">
        <f>"ALF0005"</f>
        <v>ALF0005</v>
      </c>
      <c r="C183" s="5" t="str">
        <f>"N02BA001221"</f>
        <v>N02BA001221</v>
      </c>
      <c r="D183" s="5" t="str">
        <f>"ACETAMINOFEN  150MG/5ML(3%) JARABE"</f>
        <v>ACETAMINOFEN  150MG/5ML(3%) JARABE</v>
      </c>
      <c r="E183" s="5" t="str">
        <f>"150mg/5mL"</f>
        <v>150mg/5mL</v>
      </c>
      <c r="F183" s="5" t="str">
        <f>"FRASCO"</f>
        <v>FRASCO</v>
      </c>
      <c r="G183" s="5" t="str">
        <f>"PARACETAMOL"</f>
        <v>PARACETAMOL</v>
      </c>
      <c r="H183" s="6">
        <v>1485</v>
      </c>
      <c r="I183" s="6">
        <v>4882</v>
      </c>
      <c r="J183" s="5" t="s">
        <v>1</v>
      </c>
    </row>
    <row r="184" spans="1:10" x14ac:dyDescent="0.25">
      <c r="A184" s="5" t="str">
        <f>"19928630-1"</f>
        <v>19928630-1</v>
      </c>
      <c r="B184" s="5" t="str">
        <f>"ALF0070"</f>
        <v>ALF0070</v>
      </c>
      <c r="C184" s="5" t="str">
        <f>"C08CA0101"</f>
        <v>C08CA0101</v>
      </c>
      <c r="D184" s="5" t="str">
        <f>"AMLODIPINO 5mg TAB"</f>
        <v>AMLODIPINO 5mg TAB</v>
      </c>
      <c r="E184" s="5" t="str">
        <f>"5mg"</f>
        <v>5mg</v>
      </c>
      <c r="F184" s="5" t="str">
        <f>"TABLETA"</f>
        <v>TABLETA</v>
      </c>
      <c r="G184" s="5" t="str">
        <f>"C08CA01"</f>
        <v>C08CA01</v>
      </c>
      <c r="H184" s="6">
        <v>39</v>
      </c>
      <c r="I184" s="6">
        <v>1997</v>
      </c>
      <c r="J184" s="5" t="s">
        <v>1</v>
      </c>
    </row>
    <row r="185" spans="1:10" x14ac:dyDescent="0.25">
      <c r="A185" s="5" t="str">
        <f>"R06AD018221"</f>
        <v>R06AD018221</v>
      </c>
      <c r="B185" s="5" t="str">
        <f>"ALF0232"</f>
        <v>ALF0232</v>
      </c>
      <c r="C185" s="5" t="str">
        <f>"R06AA02"</f>
        <v>R06AA02</v>
      </c>
      <c r="D185" s="5" t="str">
        <f>"DIFENHIDRAMINA12.5mg/5mL JARABE X 120ML"</f>
        <v>DIFENHIDRAMINA12.5mg/5mL JARABE X 120ML</v>
      </c>
      <c r="E185" s="5" t="str">
        <f>"12.5mg/5mL"</f>
        <v>12.5mg/5mL</v>
      </c>
      <c r="F185" s="5" t="str">
        <f>"FRASCO"</f>
        <v>FRASCO</v>
      </c>
      <c r="H185" s="6">
        <v>1400</v>
      </c>
      <c r="I185" s="6">
        <v>24421</v>
      </c>
      <c r="J185" s="5" t="s">
        <v>1</v>
      </c>
    </row>
    <row r="186" spans="1:10" x14ac:dyDescent="0.25">
      <c r="A186" s="5" t="str">
        <f>"214251-2"</f>
        <v>214251-2</v>
      </c>
      <c r="B186" s="5" t="str">
        <f>"ALF0402"</f>
        <v>ALF0402</v>
      </c>
      <c r="C186" s="5" t="str">
        <f>"R06AL016011"</f>
        <v>R06AL016011</v>
      </c>
      <c r="D186" s="5" t="str">
        <f>"LORATADINA 10mg TAB"</f>
        <v>LORATADINA 10mg TAB</v>
      </c>
      <c r="E186" s="5" t="str">
        <f>"10mg"</f>
        <v>10mg</v>
      </c>
      <c r="F186" s="5" t="str">
        <f>"TABLETA"</f>
        <v>TABLETA</v>
      </c>
      <c r="H186" s="6">
        <v>40</v>
      </c>
      <c r="I186" s="6">
        <v>1978</v>
      </c>
      <c r="J186" s="5" t="s">
        <v>1</v>
      </c>
    </row>
    <row r="187" spans="1:10" x14ac:dyDescent="0.25">
      <c r="A187" s="5" t="str">
        <f>"212723-1"</f>
        <v>212723-1</v>
      </c>
      <c r="B187" s="5" t="str">
        <f>"ALF0403"</f>
        <v>ALF0403</v>
      </c>
      <c r="C187" s="5" t="str">
        <f>"R06AL016221"</f>
        <v>R06AL016221</v>
      </c>
      <c r="D187" s="5" t="str">
        <f>"LORATADINA 5mg/5mL  JARABE x 100mL"</f>
        <v>LORATADINA 5mg/5mL  JARABE x 100mL</v>
      </c>
      <c r="E187" s="5" t="str">
        <f>"5mg/5mL"</f>
        <v>5mg/5mL</v>
      </c>
      <c r="F187" s="5" t="str">
        <f>"FRASCO"</f>
        <v>FRASCO</v>
      </c>
      <c r="G187" s="5" t="str">
        <f>"LORATADINA"</f>
        <v>LORATADINA</v>
      </c>
      <c r="H187" s="6">
        <v>1820</v>
      </c>
      <c r="I187" s="6">
        <v>14440</v>
      </c>
      <c r="J187" s="5" t="s">
        <v>1</v>
      </c>
    </row>
    <row r="188" spans="1:10" x14ac:dyDescent="0.25">
      <c r="A188" s="5" t="str">
        <f>"19951877-1"</f>
        <v>19951877-1</v>
      </c>
      <c r="B188" s="5" t="str">
        <f>"ALF0234"</f>
        <v>ALF0234</v>
      </c>
      <c r="C188" s="5" t="str">
        <f>"C01DA08"</f>
        <v>C01DA08</v>
      </c>
      <c r="D188" s="5" t="str">
        <f>"DINITRATO DE ISOSORBIDE 10mg TAB"</f>
        <v>DINITRATO DE ISOSORBIDE 10mg TAB</v>
      </c>
      <c r="E188" s="5" t="str">
        <f>"10mg"</f>
        <v>10mg</v>
      </c>
      <c r="F188" s="5" t="str">
        <f t="shared" ref="F188:F194" si="4">"TABLETA"</f>
        <v>TABLETA</v>
      </c>
      <c r="H188" s="6">
        <v>51</v>
      </c>
      <c r="I188" s="6">
        <v>350</v>
      </c>
      <c r="J188" s="5" t="s">
        <v>1</v>
      </c>
    </row>
    <row r="189" spans="1:10" x14ac:dyDescent="0.25">
      <c r="A189" s="5" t="str">
        <f>"14961-1"</f>
        <v>14961-1</v>
      </c>
      <c r="B189" s="5" t="str">
        <f>"ALF0251"</f>
        <v>ALF0251</v>
      </c>
      <c r="C189" s="5" t="str">
        <f>"C09AE002011"</f>
        <v>C09AE002011</v>
      </c>
      <c r="D189" s="5" t="str">
        <f>"ENALAPRIL 5mg TAB"</f>
        <v>ENALAPRIL 5mg TAB</v>
      </c>
      <c r="E189" s="5" t="str">
        <f>"5mg"</f>
        <v>5mg</v>
      </c>
      <c r="F189" s="5" t="str">
        <f t="shared" si="4"/>
        <v>TABLETA</v>
      </c>
      <c r="H189" s="6">
        <v>43</v>
      </c>
      <c r="I189" s="6">
        <v>963</v>
      </c>
      <c r="J189" s="5" t="s">
        <v>1</v>
      </c>
    </row>
    <row r="190" spans="1:10" x14ac:dyDescent="0.25">
      <c r="A190" s="5" t="str">
        <f>"37892-3"</f>
        <v>37892-3</v>
      </c>
      <c r="B190" s="5" t="str">
        <f>"ALF0655"</f>
        <v>ALF0655</v>
      </c>
      <c r="C190" s="5" t="str">
        <f>"C08DV016141"</f>
        <v>C08DV016141</v>
      </c>
      <c r="D190" s="5" t="str">
        <f>"VERAPAMILO 80mg TAB"</f>
        <v>VERAPAMILO 80mg TAB</v>
      </c>
      <c r="E190" s="5" t="str">
        <f>"80mg"</f>
        <v>80mg</v>
      </c>
      <c r="F190" s="5" t="str">
        <f t="shared" si="4"/>
        <v>TABLETA</v>
      </c>
      <c r="H190" s="6">
        <v>68</v>
      </c>
      <c r="I190" s="6">
        <v>296</v>
      </c>
      <c r="J190" s="5" t="s">
        <v>1</v>
      </c>
    </row>
    <row r="191" spans="1:10" x14ac:dyDescent="0.25">
      <c r="A191" s="5" t="str">
        <f>"207750-3"</f>
        <v>207750-3</v>
      </c>
      <c r="B191" s="5" t="str">
        <f>"ALF0228"</f>
        <v>ALF0228</v>
      </c>
      <c r="C191" s="5" t="str">
        <f>"M01AB05"</f>
        <v>M01AB05</v>
      </c>
      <c r="D191" s="5" t="str">
        <f>"DICLOFENACO 50mg TAB"</f>
        <v>DICLOFENACO 50mg TAB</v>
      </c>
      <c r="E191" s="5" t="str">
        <f>"50mg"</f>
        <v>50mg</v>
      </c>
      <c r="F191" s="5" t="str">
        <f t="shared" si="4"/>
        <v>TABLETA</v>
      </c>
      <c r="H191" s="6">
        <v>55</v>
      </c>
      <c r="I191" s="6">
        <v>370</v>
      </c>
      <c r="J191" s="5" t="s">
        <v>1</v>
      </c>
    </row>
    <row r="192" spans="1:10" x14ac:dyDescent="0.25">
      <c r="A192" s="5" t="str">
        <f>"48329-1"</f>
        <v>48329-1</v>
      </c>
      <c r="B192" s="5" t="str">
        <f>"ALF0436"</f>
        <v>ALF0436</v>
      </c>
      <c r="C192" s="5" t="str">
        <f>"M03BM015011"</f>
        <v>M03BM015011</v>
      </c>
      <c r="D192" s="5" t="str">
        <f>"METOCARBAMOL 750mg TAB"</f>
        <v>METOCARBAMOL 750mg TAB</v>
      </c>
      <c r="E192" s="5" t="str">
        <f>"750mg"</f>
        <v>750mg</v>
      </c>
      <c r="F192" s="5" t="str">
        <f t="shared" si="4"/>
        <v>TABLETA</v>
      </c>
      <c r="H192" s="6">
        <v>163</v>
      </c>
      <c r="I192" s="6">
        <v>916</v>
      </c>
      <c r="J192" s="5" t="s">
        <v>1</v>
      </c>
    </row>
    <row r="193" spans="1:10" x14ac:dyDescent="0.25">
      <c r="A193" s="5" t="str">
        <f>"A12AC001011"</f>
        <v>A12AC001011</v>
      </c>
      <c r="B193" s="5" t="str">
        <f>"ALF0135"</f>
        <v>ALF0135</v>
      </c>
      <c r="C193" s="5" t="str">
        <f>"A12AA04"</f>
        <v>A12AA04</v>
      </c>
      <c r="D193" s="5" t="str">
        <f>"CARBONATO DE CALCIO 600mg TAB"</f>
        <v>CARBONATO DE CALCIO 600mg TAB</v>
      </c>
      <c r="E193" s="5" t="str">
        <f>"600mg"</f>
        <v>600mg</v>
      </c>
      <c r="F193" s="5" t="str">
        <f t="shared" si="4"/>
        <v>TABLETA</v>
      </c>
      <c r="H193" s="6">
        <v>165</v>
      </c>
      <c r="I193" s="6">
        <v>330</v>
      </c>
      <c r="J193" s="5" t="s">
        <v>1</v>
      </c>
    </row>
    <row r="194" spans="1:10" x14ac:dyDescent="0.25">
      <c r="A194" s="5" t="str">
        <f>"41240-5"</f>
        <v>41240-5</v>
      </c>
      <c r="B194" s="5" t="str">
        <f>"ALF0236"</f>
        <v>ALF0236</v>
      </c>
      <c r="C194" s="5" t="str">
        <f>"G02AE005701"</f>
        <v>G02AE005701</v>
      </c>
      <c r="D194" s="5" t="str">
        <f>"DIOSMINA 500mg TAB (DAFLON)"</f>
        <v>DIOSMINA 500mg TAB (DAFLON)</v>
      </c>
      <c r="E194" s="5" t="str">
        <f>"500mg"</f>
        <v>500mg</v>
      </c>
      <c r="F194" s="5" t="str">
        <f t="shared" si="4"/>
        <v>TABLETA</v>
      </c>
      <c r="H194" s="6">
        <v>3360</v>
      </c>
      <c r="I194" s="6">
        <v>4500</v>
      </c>
      <c r="J194" s="5" t="s">
        <v>0</v>
      </c>
    </row>
    <row r="195" spans="1:10" x14ac:dyDescent="0.25">
      <c r="B195" s="5" t="str">
        <f>"ALF0859"</f>
        <v>ALF0859</v>
      </c>
      <c r="C195" s="5" t="str">
        <f>"D07AH007321"</f>
        <v>D07AH007321</v>
      </c>
      <c r="D195" s="5" t="str">
        <f>"HIDROCORTIZONA CREMA 1 %"</f>
        <v>HIDROCORTIZONA CREMA 1 %</v>
      </c>
      <c r="E195" s="5" t="str">
        <f>"1%"</f>
        <v>1%</v>
      </c>
      <c r="F195" s="5" t="str">
        <f>"TUBO COLAPSIBLE"</f>
        <v>TUBO COLAPSIBLE</v>
      </c>
      <c r="H195" s="6">
        <v>2500</v>
      </c>
      <c r="I195" s="6">
        <v>10000</v>
      </c>
      <c r="J195" s="5" t="s">
        <v>1</v>
      </c>
    </row>
    <row r="196" spans="1:10" x14ac:dyDescent="0.25">
      <c r="A196" s="5" t="str">
        <f>"24416"</f>
        <v>24416</v>
      </c>
      <c r="B196" s="5" t="str">
        <f>"ALF0881"</f>
        <v>ALF0881</v>
      </c>
      <c r="C196" s="5" t="str">
        <f>"R03DK003221"</f>
        <v>R03DK003221</v>
      </c>
      <c r="D196" s="5" t="str">
        <f>"KETOTIFENO 1MG/5ML JARABE"</f>
        <v>KETOTIFENO 1MG/5ML JARABE</v>
      </c>
      <c r="E196" s="5" t="str">
        <f>"1MG/5ML"</f>
        <v>1MG/5ML</v>
      </c>
      <c r="F196" s="5" t="str">
        <f>"FRASCO"</f>
        <v>FRASCO</v>
      </c>
      <c r="H196" s="6">
        <v>4185</v>
      </c>
      <c r="I196" s="6">
        <v>4500</v>
      </c>
      <c r="J196" s="5" t="s">
        <v>1</v>
      </c>
    </row>
    <row r="197" spans="1:10" x14ac:dyDescent="0.25">
      <c r="A197" s="5" t="str">
        <f>"19963970-1"</f>
        <v>19963970-1</v>
      </c>
      <c r="B197" s="5" t="str">
        <f>"ALF0945"</f>
        <v>ALF0945</v>
      </c>
      <c r="C197" s="5" t="str">
        <f>"ALF0945"</f>
        <v>ALF0945</v>
      </c>
      <c r="D197" s="5" t="str">
        <f>"SULFATO FERROSO JARABE 120ML 4%"</f>
        <v>SULFATO FERROSO JARABE 120ML 4%</v>
      </c>
      <c r="E197" s="5" t="str">
        <f>"4%"</f>
        <v>4%</v>
      </c>
      <c r="F197" s="5" t="str">
        <f>"FRASCO"</f>
        <v>FRASCO</v>
      </c>
      <c r="G197" s="5" t="str">
        <f>"SULFATO FERROSO"</f>
        <v>SULFATO FERROSO</v>
      </c>
      <c r="H197" s="6">
        <v>1056</v>
      </c>
      <c r="I197" s="6">
        <v>3300</v>
      </c>
      <c r="J197" s="5" t="s">
        <v>1</v>
      </c>
    </row>
    <row r="198" spans="1:10" x14ac:dyDescent="0.25">
      <c r="B198" s="5" t="str">
        <f>"ALF1100"</f>
        <v>ALF1100</v>
      </c>
      <c r="C198" s="5" t="str">
        <f>"ALF1100"</f>
        <v>ALF1100</v>
      </c>
      <c r="D198" s="5" t="str">
        <f>"LORAZEPAN 2MG TABLETA"</f>
        <v>LORAZEPAN 2MG TABLETA</v>
      </c>
      <c r="E198" s="5" t="str">
        <f>"2MG"</f>
        <v>2MG</v>
      </c>
      <c r="F198" s="5" t="str">
        <f>"TABLETA"</f>
        <v>TABLETA</v>
      </c>
      <c r="H198" s="6">
        <v>333.33</v>
      </c>
      <c r="I198" s="6">
        <v>450</v>
      </c>
      <c r="J198" s="5" t="s">
        <v>1</v>
      </c>
    </row>
    <row r="199" spans="1:10" x14ac:dyDescent="0.25">
      <c r="A199" s="5" t="str">
        <f>"20002258-2"</f>
        <v>20002258-2</v>
      </c>
      <c r="B199" s="5" t="str">
        <f>"ALF0404"</f>
        <v>ALF0404</v>
      </c>
      <c r="C199" s="5" t="str">
        <f>"C09CA0101"</f>
        <v>C09CA0101</v>
      </c>
      <c r="D199" s="5" t="str">
        <f>"LOSARTAN 100mg TAB"</f>
        <v>LOSARTAN 100mg TAB</v>
      </c>
      <c r="E199" s="5" t="str">
        <f>"100mg"</f>
        <v>100mg</v>
      </c>
      <c r="F199" s="5" t="str">
        <f>"TABLETA"</f>
        <v>TABLETA</v>
      </c>
      <c r="H199" s="6">
        <v>55</v>
      </c>
      <c r="I199" s="6">
        <v>900</v>
      </c>
      <c r="J199" s="5" t="s">
        <v>1</v>
      </c>
    </row>
    <row r="200" spans="1:10" x14ac:dyDescent="0.25">
      <c r="A200" s="5" t="str">
        <f>"19996930-2"</f>
        <v>19996930-2</v>
      </c>
      <c r="B200" s="5" t="str">
        <f>"ALF0406"</f>
        <v>ALF0406</v>
      </c>
      <c r="C200" s="5" t="str">
        <f>"B04AL018011"</f>
        <v>B04AL018011</v>
      </c>
      <c r="D200" s="5" t="str">
        <f>"LOVASTATINA 20mg TAB"</f>
        <v>LOVASTATINA 20mg TAB</v>
      </c>
      <c r="E200" s="5" t="str">
        <f>"20MG"</f>
        <v>20MG</v>
      </c>
      <c r="F200" s="5" t="str">
        <f>"TABLETA"</f>
        <v>TABLETA</v>
      </c>
      <c r="H200" s="6">
        <v>27</v>
      </c>
      <c r="I200" s="6">
        <v>2458</v>
      </c>
      <c r="J200" s="5" t="s">
        <v>1</v>
      </c>
    </row>
    <row r="201" spans="1:10" x14ac:dyDescent="0.25">
      <c r="A201" s="5" t="str">
        <f>"19952186-1"</f>
        <v>19952186-1</v>
      </c>
      <c r="B201" s="5" t="str">
        <f>"ALF0779"</f>
        <v>ALF0779</v>
      </c>
      <c r="C201" s="5" t="str">
        <f>"J01CA025142"</f>
        <v>J01CA025142</v>
      </c>
      <c r="D201" s="5" t="str">
        <f>"AMOXICILINA 500MG CAPSULA"</f>
        <v>AMOXICILINA 500MG CAPSULA</v>
      </c>
      <c r="E201" s="5" t="str">
        <f>"500MG"</f>
        <v>500MG</v>
      </c>
      <c r="F201" s="5" t="str">
        <f>"CAPSULA"</f>
        <v>CAPSULA</v>
      </c>
      <c r="G201" s="5" t="str">
        <f>"AMOXICILINA"</f>
        <v>AMOXICILINA</v>
      </c>
      <c r="H201" s="6">
        <v>187</v>
      </c>
      <c r="I201" s="6">
        <v>970</v>
      </c>
      <c r="J201" s="5" t="s">
        <v>1</v>
      </c>
    </row>
    <row r="202" spans="1:10" x14ac:dyDescent="0.25">
      <c r="A202" s="5" t="str">
        <f>"1980165-2"</f>
        <v>1980165-2</v>
      </c>
      <c r="B202" s="5" t="str">
        <f>"ALF0785"</f>
        <v>ALF0785</v>
      </c>
      <c r="C202" s="5" t="str">
        <f>"ALF0785"</f>
        <v>ALF0785</v>
      </c>
      <c r="D202" s="5" t="str">
        <f>"CLARITROMICINA 250MG/5ML SUSP X 50ML"</f>
        <v>CLARITROMICINA 250MG/5ML SUSP X 50ML</v>
      </c>
      <c r="E202" s="5" t="str">
        <f>"250mg/5ml"</f>
        <v>250mg/5ml</v>
      </c>
      <c r="F202" s="5" t="str">
        <f>"FRASCO"</f>
        <v>FRASCO</v>
      </c>
      <c r="H202" s="6">
        <v>8400</v>
      </c>
      <c r="I202" s="6">
        <v>45441</v>
      </c>
      <c r="J202" s="5" t="s">
        <v>0</v>
      </c>
    </row>
    <row r="203" spans="1:10" x14ac:dyDescent="0.25">
      <c r="A203" s="5" t="str">
        <f>"19956045"</f>
        <v>19956045</v>
      </c>
      <c r="B203" s="5" t="str">
        <f>"ALF0788"</f>
        <v>ALF0788</v>
      </c>
      <c r="C203" s="5" t="str">
        <f>"J01FE007141"</f>
        <v>J01FE007141</v>
      </c>
      <c r="D203" s="5" t="str">
        <f>"ERITROMICINA 500 MG TABLETA"</f>
        <v>ERITROMICINA 500 MG TABLETA</v>
      </c>
      <c r="E203" s="5" t="str">
        <f>"500MG"</f>
        <v>500MG</v>
      </c>
      <c r="F203" s="5" t="str">
        <f>"TABLETA"</f>
        <v>TABLETA</v>
      </c>
      <c r="H203" s="6">
        <v>789</v>
      </c>
      <c r="I203" s="6">
        <v>1447</v>
      </c>
      <c r="J203" s="5" t="s">
        <v>1</v>
      </c>
    </row>
    <row r="204" spans="1:10" x14ac:dyDescent="0.25">
      <c r="A204" s="5" t="str">
        <f>"R01AO006421"</f>
        <v>R01AO006421</v>
      </c>
      <c r="B204" s="5" t="str">
        <f>"ALF0794"</f>
        <v>ALF0794</v>
      </c>
      <c r="C204" s="5" t="str">
        <f>"R01A O006 42 1"</f>
        <v>R01A O006 42 1</v>
      </c>
      <c r="D204" s="5" t="str">
        <f>"OXIMETAZOLINA 0.025% GOTAS NASAL PED X 15 ML"</f>
        <v>OXIMETAZOLINA 0.025% GOTAS NASAL PED X 15 ML</v>
      </c>
      <c r="E204" s="5" t="str">
        <f>"0.25% x 10ml"</f>
        <v>0.25% x 10ml</v>
      </c>
      <c r="F204" s="5" t="str">
        <f>"FRASCO CON GOTERO"</f>
        <v>FRASCO CON GOTERO</v>
      </c>
      <c r="G204" s="5" t="str">
        <f>"OXIMETAZOLINA HIDROCLORURO"</f>
        <v>OXIMETAZOLINA HIDROCLORURO</v>
      </c>
      <c r="H204" s="6">
        <v>5070</v>
      </c>
      <c r="I204" s="6">
        <v>10500</v>
      </c>
      <c r="J204" s="5" t="s">
        <v>1</v>
      </c>
    </row>
    <row r="205" spans="1:10" x14ac:dyDescent="0.25">
      <c r="A205" s="5" t="str">
        <f>"R01AO006421"</f>
        <v>R01AO006421</v>
      </c>
      <c r="B205" s="5" t="str">
        <f>"ALF0795"</f>
        <v>ALF0795</v>
      </c>
      <c r="C205" s="5" t="str">
        <f>"R01A O006 42 2"</f>
        <v>R01A O006 42 2</v>
      </c>
      <c r="D205" s="5" t="str">
        <f>"OXIMETAZOLINA 0.05% GOTAS NASAL ADULTO"</f>
        <v>OXIMETAZOLINA 0.05% GOTAS NASAL ADULTO</v>
      </c>
      <c r="E205" s="5" t="str">
        <f>"0.05% x10ml"</f>
        <v>0.05% x10ml</v>
      </c>
      <c r="F205" s="5" t="str">
        <f>"FRASCO CON GOTERO"</f>
        <v>FRASCO CON GOTERO</v>
      </c>
      <c r="G205" s="5" t="str">
        <f>"OXIMETAZOLINA HIDROCLORURO"</f>
        <v>OXIMETAZOLINA HIDROCLORURO</v>
      </c>
      <c r="H205" s="6">
        <v>1900</v>
      </c>
      <c r="I205" s="6">
        <v>10500</v>
      </c>
      <c r="J205" s="5" t="s">
        <v>1</v>
      </c>
    </row>
    <row r="206" spans="1:10" x14ac:dyDescent="0.25">
      <c r="A206" s="5" t="str">
        <f>"29653-1"</f>
        <v>29653-1</v>
      </c>
      <c r="B206" s="5" t="str">
        <f>"ALF0442"</f>
        <v>ALF0442</v>
      </c>
      <c r="C206" s="5" t="str">
        <f>"P01AM020012"</f>
        <v>P01AM020012</v>
      </c>
      <c r="D206" s="5" t="str">
        <f>"MetroNIDAzolLL 500mg TABLETA"</f>
        <v>MetroNIDAzolLL 500mg TABLETA</v>
      </c>
      <c r="E206" s="5" t="str">
        <f>"500MG"</f>
        <v>500MG</v>
      </c>
      <c r="F206" s="5" t="str">
        <f>"TABLETA"</f>
        <v>TABLETA</v>
      </c>
      <c r="G206" s="5" t="str">
        <f>"METRONIDAZOL"</f>
        <v>METRONIDAZOL</v>
      </c>
      <c r="H206" s="6">
        <v>106</v>
      </c>
      <c r="I206" s="6">
        <v>273</v>
      </c>
      <c r="J206" s="5" t="s">
        <v>1</v>
      </c>
    </row>
    <row r="207" spans="1:10" x14ac:dyDescent="0.25">
      <c r="A207" s="5" t="str">
        <f>"27222-1"</f>
        <v>27222-1</v>
      </c>
      <c r="B207" s="5" t="str">
        <f>"ALF0882"</f>
        <v>ALF0882</v>
      </c>
      <c r="C207" s="5" t="str">
        <f>"P01AM022232"</f>
        <v>P01AM022232</v>
      </c>
      <c r="D207" s="5" t="str">
        <f>"MetroNIDAzolL SUSPENSION 250mg/5ML"</f>
        <v>MetroNIDAzolL SUSPENSION 250mg/5ML</v>
      </c>
      <c r="E207" s="5" t="str">
        <f>"250MG/5ML"</f>
        <v>250MG/5ML</v>
      </c>
      <c r="F207" s="5" t="str">
        <f>"FRASCO"</f>
        <v>FRASCO</v>
      </c>
      <c r="G207" s="5" t="str">
        <f>"METRONIDAZOL"</f>
        <v>METRONIDAZOL</v>
      </c>
      <c r="H207" s="6">
        <v>2835</v>
      </c>
      <c r="I207" s="6">
        <v>9000</v>
      </c>
      <c r="J207" s="5" t="s">
        <v>1</v>
      </c>
    </row>
    <row r="208" spans="1:10" x14ac:dyDescent="0.25">
      <c r="A208" s="5" t="str">
        <f>"J01FE007231"</f>
        <v>J01FE007231</v>
      </c>
      <c r="B208" s="5" t="str">
        <f>"ALF0944"</f>
        <v>ALF0944</v>
      </c>
      <c r="C208" s="5" t="str">
        <f>"J01FA0102"</f>
        <v>J01FA0102</v>
      </c>
      <c r="D208" s="5" t="str">
        <f>"ERITROMICINA SUSPENCION 250mg/5mL X 60mL"</f>
        <v>ERITROMICINA SUSPENCION 250mg/5mL X 60mL</v>
      </c>
      <c r="E208" s="5" t="str">
        <f>"250mg/5mL"</f>
        <v>250mg/5mL</v>
      </c>
      <c r="F208" s="5" t="str">
        <f>"FRASCO"</f>
        <v>FRASCO</v>
      </c>
      <c r="H208" s="6">
        <v>3540</v>
      </c>
      <c r="I208" s="6">
        <v>11063</v>
      </c>
      <c r="J208" s="5" t="s">
        <v>1</v>
      </c>
    </row>
    <row r="209" spans="1:10" x14ac:dyDescent="0.25">
      <c r="B209" s="5" t="str">
        <f>"ALF1108"</f>
        <v>ALF1108</v>
      </c>
      <c r="C209" s="5" t="str">
        <f>"ALF1108"</f>
        <v>ALF1108</v>
      </c>
      <c r="D209" s="5" t="str">
        <f>"TIMOLOL 0.5% GOTAS OFTALMICA"</f>
        <v>TIMOLOL 0.5% GOTAS OFTALMICA</v>
      </c>
      <c r="E209" s="5" t="str">
        <f>"0.5%"</f>
        <v>0.5%</v>
      </c>
      <c r="F209" s="5" t="str">
        <f>"FRASCO CON GOTERO"</f>
        <v>FRASCO CON GOTERO</v>
      </c>
      <c r="H209" s="6">
        <v>2196</v>
      </c>
      <c r="I209" s="6">
        <v>1803.25</v>
      </c>
      <c r="J209" s="5" t="s">
        <v>1</v>
      </c>
    </row>
    <row r="210" spans="1:10" x14ac:dyDescent="0.25">
      <c r="B210" s="5" t="str">
        <f>"ALF1231"</f>
        <v>ALF1231</v>
      </c>
      <c r="D210" s="5" t="str">
        <f>"NITAZOXANIDA 500MG TABLETA"</f>
        <v>NITAZOXANIDA 500MG TABLETA</v>
      </c>
      <c r="E210" s="5" t="str">
        <f>"500MG"</f>
        <v>500MG</v>
      </c>
      <c r="F210" s="5" t="str">
        <f>"UNIDAD"</f>
        <v>UNIDAD</v>
      </c>
      <c r="H210" s="6">
        <v>4095</v>
      </c>
      <c r="I210" s="6">
        <v>9500</v>
      </c>
      <c r="J210" s="5" t="s">
        <v>0</v>
      </c>
    </row>
    <row r="211" spans="1:10" x14ac:dyDescent="0.25">
      <c r="A211" s="5" t="str">
        <f>"C02AA011011"</f>
        <v>C02AA011011</v>
      </c>
      <c r="B211" s="5" t="str">
        <f>"ALF0051"</f>
        <v>ALF0051</v>
      </c>
      <c r="C211" s="5" t="str">
        <f>"C02AB02"</f>
        <v>C02AB02</v>
      </c>
      <c r="D211" s="5" t="str">
        <f>"ALFAMETILDOPA 250mg TAB"</f>
        <v>ALFAMETILDOPA 250mg TAB</v>
      </c>
      <c r="E211" s="5" t="str">
        <f>"250mg"</f>
        <v>250mg</v>
      </c>
      <c r="F211" s="5" t="str">
        <f>"TABLETA"</f>
        <v>TABLETA</v>
      </c>
      <c r="G211" s="5" t="str">
        <f>"C02AB02"</f>
        <v>C02AB02</v>
      </c>
      <c r="H211" s="6">
        <v>300</v>
      </c>
      <c r="I211" s="6">
        <v>860</v>
      </c>
      <c r="J211" s="5" t="s">
        <v>1</v>
      </c>
    </row>
    <row r="212" spans="1:10" x14ac:dyDescent="0.25">
      <c r="A212" s="5" t="str">
        <f>"44553-1"</f>
        <v>44553-1</v>
      </c>
      <c r="B212" s="5" t="str">
        <f>"ALF0915"</f>
        <v>ALF0915</v>
      </c>
      <c r="C212" s="5" t="str">
        <f>"N02AX02"</f>
        <v>N02AX02</v>
      </c>
      <c r="D212" s="5" t="str">
        <f>"TRAMADOL TAB 50mg"</f>
        <v>TRAMADOL TAB 50mg</v>
      </c>
      <c r="E212" s="5" t="str">
        <f>"50MG"</f>
        <v>50MG</v>
      </c>
      <c r="F212" s="5" t="str">
        <f>"TABLETA"</f>
        <v>TABLETA</v>
      </c>
      <c r="H212" s="6">
        <v>500</v>
      </c>
      <c r="I212" s="6">
        <v>675</v>
      </c>
      <c r="J212" s="5" t="s">
        <v>0</v>
      </c>
    </row>
    <row r="213" spans="1:10" x14ac:dyDescent="0.25">
      <c r="A213" s="5" t="str">
        <f>"19950434-1"</f>
        <v>19950434-1</v>
      </c>
      <c r="B213" s="5" t="str">
        <f>"ALF0082"</f>
        <v>ALF0082</v>
      </c>
      <c r="C213" s="5" t="str">
        <f>"A11AA01"</f>
        <v>A11AA01</v>
      </c>
      <c r="D213" s="5" t="str">
        <f>"ANEMIDOX CAPSULA"</f>
        <v>ANEMIDOX CAPSULA</v>
      </c>
      <c r="E213" s="5" t="str">
        <f>"COMPUESTO"</f>
        <v>COMPUESTO</v>
      </c>
      <c r="F213" s="5" t="str">
        <f>"CAPSULA"</f>
        <v>CAPSULA</v>
      </c>
      <c r="H213" s="6">
        <v>2294</v>
      </c>
      <c r="I213" s="6">
        <v>2868</v>
      </c>
      <c r="J213" s="5" t="s">
        <v>0</v>
      </c>
    </row>
    <row r="214" spans="1:10" x14ac:dyDescent="0.25">
      <c r="A214" s="5" t="str">
        <f>"38540-5"</f>
        <v>38540-5</v>
      </c>
      <c r="B214" s="5" t="str">
        <f>"ALF0383"</f>
        <v>ALF0383</v>
      </c>
      <c r="C214" s="5" t="str">
        <f>"60586"</f>
        <v>60586</v>
      </c>
      <c r="D214" s="5" t="str">
        <f>"LACTULOSA 66.7g/100ML  FCO x 240mL (LATULAX)"</f>
        <v>LACTULOSA 66.7g/100ML  FCO x 240mL (LATULAX)</v>
      </c>
      <c r="E214" s="5" t="str">
        <f>"240ML"</f>
        <v>240ML</v>
      </c>
      <c r="F214" s="5" t="str">
        <f>"FRASCO"</f>
        <v>FRASCO</v>
      </c>
      <c r="H214" s="6">
        <v>68400</v>
      </c>
      <c r="I214" s="6">
        <v>68000</v>
      </c>
      <c r="J214" s="5" t="s">
        <v>0</v>
      </c>
    </row>
    <row r="215" spans="1:10" x14ac:dyDescent="0.25">
      <c r="A215" s="5" t="str">
        <f>"19903745-1"</f>
        <v>19903745-1</v>
      </c>
      <c r="B215" s="5" t="str">
        <f>"ALF0271"</f>
        <v>ALF0271</v>
      </c>
      <c r="C215" s="5" t="str">
        <f>"A11DA01"</f>
        <v>A11DA01</v>
      </c>
      <c r="D215" s="5" t="str">
        <f>"NEUROBION AMPOLLA /2ML"</f>
        <v>NEUROBION AMPOLLA /2ML</v>
      </c>
      <c r="F215" s="5" t="str">
        <f>"AMPOLLA"</f>
        <v>AMPOLLA</v>
      </c>
      <c r="H215" s="6">
        <v>10000</v>
      </c>
      <c r="I215" s="6">
        <v>10870</v>
      </c>
      <c r="J215" s="5" t="s">
        <v>0</v>
      </c>
    </row>
    <row r="216" spans="1:10" x14ac:dyDescent="0.25">
      <c r="A216" s="5" t="str">
        <f>"19926495-1"</f>
        <v>19926495-1</v>
      </c>
      <c r="B216" s="5" t="str">
        <f>"ALF0837"</f>
        <v>ALF0837</v>
      </c>
      <c r="C216" s="5" t="str">
        <f>"J02AX04"</f>
        <v>J02AX04</v>
      </c>
      <c r="D216" s="5" t="str">
        <f>"CASPOFUNGINA  IV 50MG AMPOLLA"</f>
        <v>CASPOFUNGINA  IV 50MG AMPOLLA</v>
      </c>
      <c r="E216" s="5" t="str">
        <f>"50MG"</f>
        <v>50MG</v>
      </c>
      <c r="F216" s="5" t="str">
        <f>"AMPOLLA"</f>
        <v>AMPOLLA</v>
      </c>
      <c r="H216" s="6">
        <v>826528</v>
      </c>
      <c r="I216" s="6">
        <v>826528</v>
      </c>
      <c r="J216" s="5" t="s">
        <v>1</v>
      </c>
    </row>
    <row r="217" spans="1:10" x14ac:dyDescent="0.25">
      <c r="A217" s="5" t="str">
        <f>"19931619"</f>
        <v>19931619</v>
      </c>
      <c r="B217" s="5" t="str">
        <f>"ALF0877"</f>
        <v>ALF0877</v>
      </c>
      <c r="C217" s="5" t="str">
        <f>"J01DH03"</f>
        <v>J01DH03</v>
      </c>
      <c r="D217" s="5" t="str">
        <f>"ERTAPENEM 1 G ( INVAZ 1g )"</f>
        <v>ERTAPENEM 1 G ( INVAZ 1g )</v>
      </c>
      <c r="E217" s="5" t="str">
        <f>"1 g"</f>
        <v>1 g</v>
      </c>
      <c r="F217" s="5" t="str">
        <f>"AMPOLLA"</f>
        <v>AMPOLLA</v>
      </c>
      <c r="H217" s="6">
        <v>144235</v>
      </c>
      <c r="I217" s="6">
        <v>149576.97</v>
      </c>
      <c r="J217" s="5" t="s">
        <v>0</v>
      </c>
    </row>
    <row r="218" spans="1:10" x14ac:dyDescent="0.25">
      <c r="A218" s="5" t="str">
        <f>"21419-1"</f>
        <v>21419-1</v>
      </c>
      <c r="B218" s="5" t="str">
        <f>"ALF0461"</f>
        <v>ALF0461</v>
      </c>
      <c r="C218" s="5" t="str">
        <f>"M01AX17"</f>
        <v>M01AX17</v>
      </c>
      <c r="D218" s="5" t="str">
        <f>"NIMESULIDA 100mg TAB"</f>
        <v>NIMESULIDA 100mg TAB</v>
      </c>
      <c r="E218" s="5" t="str">
        <f>"100mg"</f>
        <v>100mg</v>
      </c>
      <c r="F218" s="5" t="str">
        <f>"TABLETA"</f>
        <v>TABLETA</v>
      </c>
      <c r="H218" s="6">
        <v>276</v>
      </c>
      <c r="I218" s="6">
        <v>1700</v>
      </c>
      <c r="J218" s="5" t="s">
        <v>0</v>
      </c>
    </row>
    <row r="219" spans="1:10" x14ac:dyDescent="0.25">
      <c r="A219" s="5" t="str">
        <f>"19906237-1"</f>
        <v>19906237-1</v>
      </c>
      <c r="B219" s="5" t="str">
        <f>"ALF0501"</f>
        <v>ALF0501</v>
      </c>
      <c r="C219" s="5" t="str">
        <f>"H02AP027012"</f>
        <v>H02AP027012</v>
      </c>
      <c r="D219" s="5" t="str">
        <f>"predNISOLONA 50mg TAB"</f>
        <v>predNISOLONA 50mg TAB</v>
      </c>
      <c r="E219" s="5" t="str">
        <f>"50mg"</f>
        <v>50mg</v>
      </c>
      <c r="F219" s="5" t="str">
        <f>"TABLETA"</f>
        <v>TABLETA</v>
      </c>
      <c r="H219" s="6">
        <v>933</v>
      </c>
      <c r="I219" s="6">
        <v>1120</v>
      </c>
      <c r="J219" s="5" t="s">
        <v>1</v>
      </c>
    </row>
    <row r="220" spans="1:10" x14ac:dyDescent="0.25">
      <c r="A220" s="5" t="str">
        <f>"1983607-1"</f>
        <v>1983607-1</v>
      </c>
      <c r="B220" s="5" t="str">
        <f>"ALF0667"</f>
        <v>ALF0667</v>
      </c>
      <c r="C220" s="5" t="str">
        <f>"71531"</f>
        <v>71531</v>
      </c>
      <c r="D220" s="5" t="str">
        <f>"VITAMINA E CAPSULAS 400UI (AQUASOL)"</f>
        <v>VITAMINA E CAPSULAS 400UI (AQUASOL)</v>
      </c>
      <c r="E220" s="5" t="str">
        <f>"400UI"</f>
        <v>400UI</v>
      </c>
      <c r="F220" s="5" t="str">
        <f>"CAPSULA"</f>
        <v>CAPSULA</v>
      </c>
      <c r="H220" s="6">
        <v>276</v>
      </c>
      <c r="I220" s="6">
        <v>606</v>
      </c>
      <c r="J220" s="5" t="s">
        <v>0</v>
      </c>
    </row>
    <row r="221" spans="1:10" x14ac:dyDescent="0.25">
      <c r="A221" s="5" t="str">
        <f>"19976365-1"</f>
        <v>19976365-1</v>
      </c>
      <c r="B221" s="5" t="str">
        <f>"ALF0854"</f>
        <v>ALF0854</v>
      </c>
      <c r="C221" s="5" t="str">
        <f>"H03AL006011"</f>
        <v>H03AL006011</v>
      </c>
      <c r="D221" s="5" t="str">
        <f>"LEVOTIROXINA 50 mg TAB"</f>
        <v>LEVOTIROXINA 50 mg TAB</v>
      </c>
      <c r="E221" s="5" t="str">
        <f>"50MG"</f>
        <v>50MG</v>
      </c>
      <c r="F221" s="5" t="str">
        <f>"TABLETA"</f>
        <v>TABLETA</v>
      </c>
      <c r="H221" s="6">
        <v>63</v>
      </c>
      <c r="I221" s="6">
        <v>680</v>
      </c>
      <c r="J221" s="5" t="s">
        <v>1</v>
      </c>
    </row>
    <row r="222" spans="1:10" x14ac:dyDescent="0.25">
      <c r="A222" s="5" t="str">
        <f>"19989907"</f>
        <v>19989907</v>
      </c>
      <c r="B222" s="5" t="str">
        <f>"ALF0891"</f>
        <v>ALF0891</v>
      </c>
      <c r="C222" s="5" t="str">
        <f>"J01C D016232"</f>
        <v>J01C D016232</v>
      </c>
      <c r="D222" s="5" t="str">
        <f>"DICLOXACILINA 250MG/5ML"</f>
        <v>DICLOXACILINA 250MG/5ML</v>
      </c>
      <c r="E222" s="5" t="str">
        <f>"250MG/5ML"</f>
        <v>250MG/5ML</v>
      </c>
      <c r="F222" s="5" t="str">
        <f>"FRASCO"</f>
        <v>FRASCO</v>
      </c>
      <c r="H222" s="6">
        <v>3360</v>
      </c>
      <c r="I222" s="6">
        <v>7500</v>
      </c>
      <c r="J222" s="5" t="s">
        <v>1</v>
      </c>
    </row>
    <row r="223" spans="1:10" x14ac:dyDescent="0.25">
      <c r="B223" s="5" t="str">
        <f>"ALF1048"</f>
        <v>ALF1048</v>
      </c>
      <c r="C223" s="5" t="str">
        <f>"ALF1048"</f>
        <v>ALF1048</v>
      </c>
      <c r="D223" s="5" t="str">
        <f>"PRED-NISONA 50mg TABLETA"</f>
        <v>PRED-NISONA 50mg TABLETA</v>
      </c>
      <c r="E223" s="5" t="str">
        <f>"50MG"</f>
        <v>50MG</v>
      </c>
      <c r="F223" s="5" t="str">
        <f>"TABLETA"</f>
        <v>TABLETA</v>
      </c>
      <c r="H223" s="6">
        <v>950</v>
      </c>
      <c r="I223" s="6">
        <v>1400</v>
      </c>
      <c r="J223" s="5" t="s">
        <v>1</v>
      </c>
    </row>
    <row r="224" spans="1:10" x14ac:dyDescent="0.25">
      <c r="B224" s="5" t="str">
        <f>"ALF1120"</f>
        <v>ALF1120</v>
      </c>
      <c r="C224" s="5" t="str">
        <f>"ALF1120"</f>
        <v>ALF1120</v>
      </c>
      <c r="D224" s="5" t="str">
        <f>"OLMESARTAN 40MG"</f>
        <v>OLMESARTAN 40MG</v>
      </c>
      <c r="F224" s="5" t="str">
        <f>"TABLETA"</f>
        <v>TABLETA</v>
      </c>
      <c r="H224" s="6">
        <v>2620</v>
      </c>
      <c r="I224" s="6">
        <v>3400</v>
      </c>
      <c r="J224" s="5" t="s">
        <v>0</v>
      </c>
    </row>
    <row r="225" spans="1:10" x14ac:dyDescent="0.25">
      <c r="B225" s="5" t="str">
        <f>"ALF1151"</f>
        <v>ALF1151</v>
      </c>
      <c r="C225" s="5" t="str">
        <f>"ALF1151"</f>
        <v>ALF1151</v>
      </c>
      <c r="D225" s="5" t="str">
        <f>"BENZOATO BENCILO SOLUCION TOPICA 120ML"</f>
        <v>BENZOATO BENCILO SOLUCION TOPICA 120ML</v>
      </c>
      <c r="F225" s="5" t="str">
        <f>"SOLUCION"</f>
        <v>SOLUCION</v>
      </c>
      <c r="H225" s="6">
        <v>7000</v>
      </c>
      <c r="I225" s="6">
        <v>23000</v>
      </c>
      <c r="J225" s="5" t="s">
        <v>1</v>
      </c>
    </row>
    <row r="226" spans="1:10" x14ac:dyDescent="0.25">
      <c r="B226" s="5" t="str">
        <f>"ALF1240"</f>
        <v>ALF1240</v>
      </c>
      <c r="D226" s="5" t="str">
        <f>"RISPERIDONA 2MG TABLETA"</f>
        <v>RISPERIDONA 2MG TABLETA</v>
      </c>
      <c r="E226" s="5" t="str">
        <f>"2MG"</f>
        <v>2MG</v>
      </c>
      <c r="F226" s="5" t="str">
        <f>"UNIDAD"</f>
        <v>UNIDAD</v>
      </c>
      <c r="H226" s="6">
        <v>3520</v>
      </c>
      <c r="I226" s="6">
        <v>4752</v>
      </c>
      <c r="J226" s="5" t="s">
        <v>0</v>
      </c>
    </row>
    <row r="227" spans="1:10" x14ac:dyDescent="0.25">
      <c r="A227" s="5" t="str">
        <f>"200640-2"</f>
        <v>200640-2</v>
      </c>
      <c r="B227" s="5" t="str">
        <f>"ALF0064"</f>
        <v>ALF0064</v>
      </c>
      <c r="C227" s="5" t="str">
        <f>"B05BA1001"</f>
        <v>B05BA1001</v>
      </c>
      <c r="D227" s="5" t="str">
        <f>"AMINOACIDO ESENCIALES CON O SIN ELECTROLITOS SOLUCION ORAL    PTN"</f>
        <v>AMINOACIDO ESENCIALES CON O SIN ELECTROLITOS SOLUCION ORAL    PTN</v>
      </c>
      <c r="E227" s="5" t="str">
        <f>"250CAL"</f>
        <v>250CAL</v>
      </c>
      <c r="F227" s="5" t="str">
        <f>"LATA"</f>
        <v>LATA</v>
      </c>
      <c r="H227" s="6">
        <v>30075</v>
      </c>
      <c r="I227" s="6">
        <v>32000</v>
      </c>
      <c r="J227" s="5" t="s">
        <v>1</v>
      </c>
    </row>
    <row r="228" spans="1:10" x14ac:dyDescent="0.25">
      <c r="B228" s="5" t="str">
        <f>"ALF0684"</f>
        <v>ALF0684</v>
      </c>
      <c r="C228" s="5" t="str">
        <f>"ALF0684"</f>
        <v>ALF0684</v>
      </c>
      <c r="D228" s="5" t="str">
        <f>"FORMULA LACTEA EN POLVO 400GR NAN PRO 1"</f>
        <v>FORMULA LACTEA EN POLVO 400GR NAN PRO 1</v>
      </c>
      <c r="E228" s="5" t="str">
        <f>"400GR"</f>
        <v>400GR</v>
      </c>
      <c r="F228" s="5" t="str">
        <f>"LATA"</f>
        <v>LATA</v>
      </c>
      <c r="H228" s="6">
        <v>47000</v>
      </c>
      <c r="I228" s="6">
        <v>57000</v>
      </c>
      <c r="J228" s="5" t="s">
        <v>0</v>
      </c>
    </row>
    <row r="229" spans="1:10" x14ac:dyDescent="0.25">
      <c r="B229" s="5" t="str">
        <f>"ALF0686"</f>
        <v>ALF0686</v>
      </c>
      <c r="C229" s="5" t="str">
        <f>"ALF0686"</f>
        <v>ALF0686</v>
      </c>
      <c r="D229" s="5" t="str">
        <f>"FORMULA LACTEA EN POLVO 400GR NAN PREMATURO"</f>
        <v>FORMULA LACTEA EN POLVO 400GR NAN PREMATURO</v>
      </c>
      <c r="E229" s="5" t="str">
        <f>"400gr"</f>
        <v>400gr</v>
      </c>
      <c r="F229" s="5" t="str">
        <f>"LATA"</f>
        <v>LATA</v>
      </c>
      <c r="H229" s="6">
        <v>52702</v>
      </c>
      <c r="I229" s="6">
        <v>59000</v>
      </c>
      <c r="J229" s="5" t="s">
        <v>0</v>
      </c>
    </row>
    <row r="230" spans="1:10" x14ac:dyDescent="0.25">
      <c r="B230" s="5" t="str">
        <f>"ALF0687"</f>
        <v>ALF0687</v>
      </c>
      <c r="C230" s="5" t="str">
        <f>"ALF0687"</f>
        <v>ALF0687</v>
      </c>
      <c r="D230" s="5" t="str">
        <f>"FORMULA LACTEA EN POLVO 400GR NAN SIN LACTOSA"</f>
        <v>FORMULA LACTEA EN POLVO 400GR NAN SIN LACTOSA</v>
      </c>
      <c r="E230" s="5" t="str">
        <f>"400gr"</f>
        <v>400gr</v>
      </c>
      <c r="F230" s="5" t="str">
        <f>"LATA"</f>
        <v>LATA</v>
      </c>
      <c r="H230" s="6">
        <v>38000</v>
      </c>
      <c r="I230" s="6">
        <v>62800</v>
      </c>
      <c r="J230" s="5" t="s">
        <v>0</v>
      </c>
    </row>
    <row r="231" spans="1:10" x14ac:dyDescent="0.25">
      <c r="B231" s="5" t="str">
        <f>"ALF0711"</f>
        <v>ALF0711</v>
      </c>
      <c r="C231" s="5" t="str">
        <f>"ALF0711"</f>
        <v>ALF0711</v>
      </c>
      <c r="D231" s="5" t="str">
        <f>"FORMULA LACTEA EN POLVO( NUTRIBEN) HIDROLIZADA X 400GR"</f>
        <v>FORMULA LACTEA EN POLVO( NUTRIBEN) HIDROLIZADA X 400GR</v>
      </c>
      <c r="E231" s="5" t="str">
        <f>"400GR"</f>
        <v>400GR</v>
      </c>
      <c r="F231" s="5" t="str">
        <f>"LATA"</f>
        <v>LATA</v>
      </c>
      <c r="H231" s="6">
        <v>56300</v>
      </c>
      <c r="I231" s="6">
        <v>70000</v>
      </c>
      <c r="J231" s="5" t="s">
        <v>0</v>
      </c>
    </row>
    <row r="232" spans="1:10" x14ac:dyDescent="0.25">
      <c r="B232" s="5" t="str">
        <f>"ALF0888"</f>
        <v>ALF0888</v>
      </c>
      <c r="C232" s="5" t="str">
        <f>"V06CL001251"</f>
        <v>V06CL001251</v>
      </c>
      <c r="D232" s="5" t="str">
        <f>"FORMULA LACTEA EN POLVO 400GR N2"</f>
        <v>FORMULA LACTEA EN POLVO 400GR N2</v>
      </c>
      <c r="F232" s="5" t="str">
        <f>"POTE"</f>
        <v>POTE</v>
      </c>
      <c r="H232" s="6">
        <v>39500</v>
      </c>
      <c r="I232" s="6">
        <v>39000</v>
      </c>
      <c r="J232" s="5" t="s">
        <v>0</v>
      </c>
    </row>
    <row r="233" spans="1:10" x14ac:dyDescent="0.25">
      <c r="B233" s="5" t="str">
        <f>"ALF0897"</f>
        <v>ALF0897</v>
      </c>
      <c r="C233" s="5" t="str">
        <f>"ALF0897"</f>
        <v>ALF0897</v>
      </c>
      <c r="D233" s="5" t="str">
        <f>"FORMULA LACTEA EN POLVO 900GR N"</f>
        <v>FORMULA LACTEA EN POLVO 900GR N</v>
      </c>
      <c r="F233" s="5" t="str">
        <f>"POTE"</f>
        <v>POTE</v>
      </c>
      <c r="H233" s="6">
        <v>98762</v>
      </c>
      <c r="I233" s="6">
        <v>69000</v>
      </c>
      <c r="J233" s="5" t="s">
        <v>0</v>
      </c>
    </row>
    <row r="234" spans="1:10" x14ac:dyDescent="0.25">
      <c r="B234" s="5" t="str">
        <f>"ALF0911"</f>
        <v>ALF0911</v>
      </c>
      <c r="C234" s="5" t="str">
        <f>"ALF0911"</f>
        <v>ALF0911</v>
      </c>
      <c r="D234" s="5" t="str">
        <f>"FORMULA LACTEA EN POLVO 400GR (NAN  A. R)"</f>
        <v>FORMULA LACTEA EN POLVO 400GR (NAN  A. R)</v>
      </c>
      <c r="F234" s="5" t="str">
        <f>"POTE"</f>
        <v>POTE</v>
      </c>
      <c r="H234" s="6">
        <v>54200</v>
      </c>
      <c r="I234" s="6">
        <v>47190</v>
      </c>
      <c r="J234" s="5" t="s">
        <v>0</v>
      </c>
    </row>
    <row r="235" spans="1:10" x14ac:dyDescent="0.25">
      <c r="A235" s="5" t="str">
        <f>"N03AV011141"</f>
        <v>N03AV011141</v>
      </c>
      <c r="B235" s="5" t="str">
        <f>"ALF0025"</f>
        <v>ALF0025</v>
      </c>
      <c r="C235" s="5" t="str">
        <f>"N03AG011141"</f>
        <v>N03AG011141</v>
      </c>
      <c r="D235" s="5" t="str">
        <f>"ACIDO VALPROICO 250mg CAP"</f>
        <v>ACIDO VALPROICO 250mg CAP</v>
      </c>
      <c r="E235" s="5" t="str">
        <f>"250mg"</f>
        <v>250mg</v>
      </c>
      <c r="F235" s="5" t="str">
        <f>"CAPSULA"</f>
        <v>CAPSULA</v>
      </c>
      <c r="H235" s="6">
        <v>174</v>
      </c>
      <c r="I235" s="6">
        <v>645</v>
      </c>
      <c r="J235" s="5" t="s">
        <v>1</v>
      </c>
    </row>
    <row r="236" spans="1:10" x14ac:dyDescent="0.25">
      <c r="A236" s="5" t="str">
        <f>"39613-12"</f>
        <v>39613-12</v>
      </c>
      <c r="B236" s="5" t="str">
        <f>"ALF0293"</f>
        <v>ALF0293</v>
      </c>
      <c r="C236" s="5" t="str">
        <f>"J02AC01"</f>
        <v>J02AC01</v>
      </c>
      <c r="D236" s="5" t="str">
        <f>"FLUCONAZOL 200mg TAB"</f>
        <v>FLUCONAZOL 200mg TAB</v>
      </c>
      <c r="E236" s="5" t="str">
        <f>"200MG"</f>
        <v>200MG</v>
      </c>
      <c r="F236" s="5" t="str">
        <f>"TABLETA"</f>
        <v>TABLETA</v>
      </c>
      <c r="H236" s="6">
        <v>294</v>
      </c>
      <c r="I236" s="6">
        <v>16572</v>
      </c>
      <c r="J236" s="5" t="s">
        <v>1</v>
      </c>
    </row>
    <row r="237" spans="1:10" x14ac:dyDescent="0.25">
      <c r="A237" s="5" t="str">
        <f>"19931778"</f>
        <v>19931778</v>
      </c>
      <c r="B237" s="5" t="str">
        <f>"ALF0851"</f>
        <v>ALF0851</v>
      </c>
      <c r="C237" s="5" t="str">
        <f>"N04BA019101"</f>
        <v>N04BA019101</v>
      </c>
      <c r="D237" s="5" t="str">
        <f>"AMANTADINA 100MG  TABLETA"</f>
        <v>AMANTADINA 100MG  TABLETA</v>
      </c>
      <c r="E237" s="5" t="str">
        <f>"100mg"</f>
        <v>100mg</v>
      </c>
      <c r="F237" s="5" t="str">
        <f>"TABLETA"</f>
        <v>TABLETA</v>
      </c>
      <c r="G237" s="5" t="str">
        <f>"AMANTADINA CLORHIDRATO"</f>
        <v>AMANTADINA CLORHIDRATO</v>
      </c>
      <c r="H237" s="6">
        <v>300</v>
      </c>
      <c r="I237" s="6">
        <v>3000</v>
      </c>
      <c r="J237" s="5" t="s">
        <v>1</v>
      </c>
    </row>
    <row r="238" spans="1:10" x14ac:dyDescent="0.25">
      <c r="A238" s="5" t="str">
        <f>"19981181-1"</f>
        <v>19981181-1</v>
      </c>
      <c r="B238" s="5" t="str">
        <f>"ALF0218"</f>
        <v>ALF0218</v>
      </c>
      <c r="C238" s="5" t="str">
        <f>"J01XX09"</f>
        <v>J01XX09</v>
      </c>
      <c r="D238" s="5" t="str">
        <f>"DAPTOMICINA 350MG AMPOLLA"</f>
        <v>DAPTOMICINA 350MG AMPOLLA</v>
      </c>
      <c r="E238" s="5" t="str">
        <f>"500 MG"</f>
        <v>500 MG</v>
      </c>
      <c r="F238" s="5" t="str">
        <f>"AMPOLLA"</f>
        <v>AMPOLLA</v>
      </c>
      <c r="H238" s="6">
        <v>358989</v>
      </c>
      <c r="I238" s="6">
        <v>488250</v>
      </c>
      <c r="J238" s="5" t="s">
        <v>0</v>
      </c>
    </row>
    <row r="239" spans="1:10" x14ac:dyDescent="0.25">
      <c r="A239" s="5" t="str">
        <f>"20039358-4"</f>
        <v>20039358-4</v>
      </c>
      <c r="B239" s="5" t="str">
        <f>"ALF0639"</f>
        <v>ALF0639</v>
      </c>
      <c r="C239" s="5" t="str">
        <f>"C09CA03"</f>
        <v>C09CA03</v>
      </c>
      <c r="D239" s="5" t="str">
        <f>"VALSARTAN160MG TABLETAS"</f>
        <v>VALSARTAN160MG TABLETAS</v>
      </c>
      <c r="E239" s="5" t="str">
        <f>"160mg"</f>
        <v>160mg</v>
      </c>
      <c r="F239" s="5" t="str">
        <f>"TABLETA"</f>
        <v>TABLETA</v>
      </c>
      <c r="H239" s="6">
        <v>990</v>
      </c>
      <c r="I239" s="6">
        <v>2291.1999999999998</v>
      </c>
      <c r="J239" s="5" t="s">
        <v>0</v>
      </c>
    </row>
    <row r="240" spans="1:10" x14ac:dyDescent="0.25">
      <c r="A240" s="5" t="str">
        <f>"G02AE005161"</f>
        <v>G02AE005161</v>
      </c>
      <c r="B240" s="5" t="str">
        <f>"ALF0434"</f>
        <v>ALF0434</v>
      </c>
      <c r="C240" s="5" t="str">
        <f>"G02AB01"</f>
        <v>G02AB01</v>
      </c>
      <c r="D240" s="5" t="str">
        <f>"METILERGOMETRINA MALEATO 0.2mg /1 mL (METHERGIN)"</f>
        <v>METILERGOMETRINA MALEATO 0.2mg /1 mL (METHERGIN)</v>
      </c>
      <c r="E240" s="5" t="str">
        <f>"0.2mg/1ml"</f>
        <v>0.2mg/1ml</v>
      </c>
      <c r="F240" s="5" t="str">
        <f>"AMPOLLA"</f>
        <v>AMPOLLA</v>
      </c>
      <c r="H240" s="6">
        <v>7416</v>
      </c>
      <c r="I240" s="6">
        <v>14000</v>
      </c>
      <c r="J240" s="5" t="s">
        <v>1</v>
      </c>
    </row>
    <row r="241" spans="1:10" x14ac:dyDescent="0.25">
      <c r="A241" s="5" t="str">
        <f>"19969337-1"</f>
        <v>19969337-1</v>
      </c>
      <c r="B241" s="5" t="str">
        <f>"ALF0484"</f>
        <v>ALF0484</v>
      </c>
      <c r="C241" s="5" t="str">
        <f>"G02AE005161"</f>
        <v>G02AE005161</v>
      </c>
      <c r="D241" s="5" t="str">
        <f>"OXITOCINA 10UI AMP"</f>
        <v>OXITOCINA 10UI AMP</v>
      </c>
      <c r="F241" s="5" t="str">
        <f>"AMPOLLA"</f>
        <v>AMPOLLA</v>
      </c>
      <c r="H241" s="6">
        <v>1820</v>
      </c>
      <c r="I241" s="6">
        <v>5500</v>
      </c>
      <c r="J241" s="5" t="s">
        <v>1</v>
      </c>
    </row>
    <row r="242" spans="1:10" x14ac:dyDescent="0.25">
      <c r="B242" s="5" t="str">
        <f>"ALF1177"</f>
        <v>ALF1177</v>
      </c>
      <c r="C242" s="5" t="str">
        <f>"ALF1177"</f>
        <v>ALF1177</v>
      </c>
      <c r="D242" s="5" t="str">
        <f>"INFLUENZA( AYB)"</f>
        <v>INFLUENZA( AYB)</v>
      </c>
      <c r="F242" s="5" t="str">
        <f>"AMPOLLA"</f>
        <v>AMPOLLA</v>
      </c>
      <c r="H242" s="6">
        <v>84000</v>
      </c>
      <c r="I242" s="6">
        <v>421000</v>
      </c>
      <c r="J242" s="5" t="s">
        <v>0</v>
      </c>
    </row>
    <row r="243" spans="1:10" x14ac:dyDescent="0.25">
      <c r="B243" s="5" t="str">
        <f>"ALF1186"</f>
        <v>ALF1186</v>
      </c>
      <c r="C243" s="5" t="str">
        <f>"ALF1186"</f>
        <v>ALF1186</v>
      </c>
      <c r="D243" s="5" t="str">
        <f>"PIRIDOSTIGMINA BROMURO 60MG(MESTINON) TABLETA"</f>
        <v>PIRIDOSTIGMINA BROMURO 60MG(MESTINON) TABLETA</v>
      </c>
      <c r="E243" s="5" t="str">
        <f>"60MG"</f>
        <v>60MG</v>
      </c>
      <c r="F243" s="5" t="str">
        <f>"TABLETA"</f>
        <v>TABLETA</v>
      </c>
      <c r="H243" s="6">
        <v>1410</v>
      </c>
      <c r="I243" s="6">
        <v>4610</v>
      </c>
      <c r="J243" s="5" t="s">
        <v>1</v>
      </c>
    </row>
    <row r="244" spans="1:10" x14ac:dyDescent="0.25">
      <c r="B244" s="5" t="str">
        <f>"ALF1236"</f>
        <v>ALF1236</v>
      </c>
      <c r="D244" s="5" t="str">
        <f>"GLICOPIRRONIO 50UG/1U- INDACATEROL 110UG/1U CAPSULA LIBERACION MODIFICADA"</f>
        <v>GLICOPIRRONIO 50UG/1U- INDACATEROL 110UG/1U CAPSULA LIBERACION MODIFICADA</v>
      </c>
      <c r="E244" s="5" t="str">
        <f>"50UG/1U"</f>
        <v>50UG/1U</v>
      </c>
      <c r="F244" s="5" t="str">
        <f t="shared" ref="F244" si="5">"UNIDAD"</f>
        <v>UNIDAD</v>
      </c>
      <c r="H244" s="6">
        <v>145468</v>
      </c>
      <c r="I244" s="6">
        <v>254569</v>
      </c>
      <c r="J244" s="5" t="s">
        <v>0</v>
      </c>
    </row>
    <row r="245" spans="1:10" x14ac:dyDescent="0.25">
      <c r="A245" s="5" t="str">
        <f>"19995161-3"</f>
        <v>19995161-3</v>
      </c>
      <c r="B245" s="5" t="str">
        <f>"ALF0115"</f>
        <v>ALF0115</v>
      </c>
      <c r="C245" s="5" t="str">
        <f>"M03AC0301"</f>
        <v>M03AC0301</v>
      </c>
      <c r="D245" s="5" t="str">
        <f>"BROMURO DE ROCURONIO  50mg/5mL AMP"</f>
        <v>BROMURO DE ROCURONIO  50mg/5mL AMP</v>
      </c>
      <c r="E245" s="5" t="str">
        <f>"50mg/5mL"</f>
        <v>50mg/5mL</v>
      </c>
      <c r="F245" s="5" t="str">
        <f>"AMPOLLA"</f>
        <v>AMPOLLA</v>
      </c>
      <c r="G245" s="5" t="str">
        <f>"BROMURO DE ROCURONIO"</f>
        <v>BROMURO DE ROCURONIO</v>
      </c>
      <c r="H245" s="6">
        <v>17500</v>
      </c>
      <c r="I245" s="6">
        <v>34650</v>
      </c>
      <c r="J245" s="5" t="s">
        <v>0</v>
      </c>
    </row>
    <row r="246" spans="1:10" x14ac:dyDescent="0.25">
      <c r="A246" s="5" t="str">
        <f>"19977464-1"</f>
        <v>19977464-1</v>
      </c>
      <c r="B246" s="5" t="str">
        <f>"ALF0159"</f>
        <v>ALF0159</v>
      </c>
      <c r="C246" s="5" t="str">
        <f>"J01DE01"</f>
        <v>J01DE01</v>
      </c>
      <c r="D246" s="5" t="str">
        <f>"CEFEPIMA 1g AMP"</f>
        <v>CEFEPIMA 1g AMP</v>
      </c>
      <c r="E246" s="5" t="str">
        <f>"1g"</f>
        <v>1g</v>
      </c>
      <c r="F246" s="5" t="str">
        <f>"AMPOLLA"</f>
        <v>AMPOLLA</v>
      </c>
      <c r="G246" s="5" t="str">
        <f>"CEFEPIMA"</f>
        <v>CEFEPIMA</v>
      </c>
      <c r="H246" s="6">
        <v>6942</v>
      </c>
      <c r="I246" s="6">
        <v>19210</v>
      </c>
      <c r="J246" s="5" t="s">
        <v>1</v>
      </c>
    </row>
    <row r="247" spans="1:10" x14ac:dyDescent="0.25">
      <c r="A247" s="5" t="str">
        <f>"19936001-1"</f>
        <v>19936001-1</v>
      </c>
      <c r="B247" s="5" t="str">
        <f>"ALF0440"</f>
        <v>ALF0440</v>
      </c>
      <c r="C247" s="5" t="str">
        <f>"J01XM021701"</f>
        <v>J01XM021701</v>
      </c>
      <c r="D247" s="5" t="str">
        <f>"MetroNIDAzolL 500mg AMP x 100mL"</f>
        <v>MetroNIDAzolL 500mg AMP x 100mL</v>
      </c>
      <c r="E247" s="5" t="str">
        <f>"500mg/100mL"</f>
        <v>500mg/100mL</v>
      </c>
      <c r="F247" s="5" t="str">
        <f>"AMPOLLA"</f>
        <v>AMPOLLA</v>
      </c>
      <c r="G247" s="5" t="str">
        <f>"METRONIDAZOL"</f>
        <v>METRONIDAZOL</v>
      </c>
      <c r="H247" s="6">
        <v>2275</v>
      </c>
      <c r="I247" s="6">
        <v>31774</v>
      </c>
      <c r="J247" s="5" t="s">
        <v>1</v>
      </c>
    </row>
    <row r="248" spans="1:10" x14ac:dyDescent="0.25">
      <c r="A248" s="5" t="str">
        <f>"J02AF009701"</f>
        <v>J02AF009701</v>
      </c>
      <c r="B248" s="5" t="str">
        <f>"ALF0295"</f>
        <v>ALF0295</v>
      </c>
      <c r="C248" s="5" t="str">
        <f>"J02AF009701"</f>
        <v>J02AF009701</v>
      </c>
      <c r="D248" s="5" t="str">
        <f>"FLUCONAZOL 2mg/mL AMP x 100mL"</f>
        <v>FLUCONAZOL 2mg/mL AMP x 100mL</v>
      </c>
      <c r="E248" s="5" t="str">
        <f>"2mg/mL"</f>
        <v>2mg/mL</v>
      </c>
      <c r="F248" s="5" t="str">
        <f>"AMPOLLA"</f>
        <v>AMPOLLA</v>
      </c>
      <c r="H248" s="6">
        <v>8840</v>
      </c>
      <c r="I248" s="6">
        <v>166887</v>
      </c>
      <c r="J248" s="5" t="s">
        <v>1</v>
      </c>
    </row>
    <row r="249" spans="1:10" x14ac:dyDescent="0.25">
      <c r="A249" s="5" t="str">
        <f>"19904364-1"</f>
        <v>19904364-1</v>
      </c>
      <c r="B249" s="5" t="str">
        <f>"ALF0913"</f>
        <v>ALF0913</v>
      </c>
      <c r="C249" s="5" t="str">
        <f>"J05A N014 25 1"</f>
        <v>J05A N014 25 1</v>
      </c>
      <c r="D249" s="5" t="str">
        <f>"NEVIRAPINA SUSPENSION ORAL 50mg/5ML x 240ml"</f>
        <v>NEVIRAPINA SUSPENSION ORAL 50mg/5ML x 240ml</v>
      </c>
      <c r="E249" s="5" t="str">
        <f>"50MG/5ML"</f>
        <v>50MG/5ML</v>
      </c>
      <c r="F249" s="5" t="str">
        <f>"FRASCO"</f>
        <v>FRASCO</v>
      </c>
      <c r="H249" s="6">
        <v>55000</v>
      </c>
      <c r="I249" s="6">
        <v>322500</v>
      </c>
      <c r="J249" s="5" t="s">
        <v>1</v>
      </c>
    </row>
    <row r="250" spans="1:10" x14ac:dyDescent="0.25">
      <c r="A250" s="5" t="str">
        <f>"31838-1"</f>
        <v>31838-1</v>
      </c>
      <c r="B250" s="5" t="str">
        <f>"ALF0433"</f>
        <v>ALF0433</v>
      </c>
      <c r="C250" s="5" t="str">
        <f>"C01AA08"</f>
        <v>C01AA08</v>
      </c>
      <c r="D250" s="5" t="str">
        <f>"BETAMETILDIGOXINA 0.1mg TAB (LANITOP)"</f>
        <v>BETAMETILDIGOXINA 0.1mg TAB (LANITOP)</v>
      </c>
      <c r="E250" s="5" t="str">
        <f>"0.1mg"</f>
        <v>0.1mg</v>
      </c>
      <c r="F250" s="5" t="str">
        <f>"TABLETA"</f>
        <v>TABLETA</v>
      </c>
      <c r="H250" s="6">
        <v>968</v>
      </c>
      <c r="I250" s="6">
        <v>3827</v>
      </c>
      <c r="J250" s="5" t="s">
        <v>1</v>
      </c>
    </row>
    <row r="251" spans="1:10" x14ac:dyDescent="0.25">
      <c r="A251" s="5" t="str">
        <f>"19962724"</f>
        <v>19962724</v>
      </c>
      <c r="B251" s="5" t="str">
        <f>"ALF0134"</f>
        <v>ALF0134</v>
      </c>
      <c r="C251" s="5" t="str">
        <f>"A07BC006251"</f>
        <v>A07BC006251</v>
      </c>
      <c r="D251" s="5" t="str">
        <f>"CARBON ACTIVADO SOBRE 15GR"</f>
        <v>CARBON ACTIVADO SOBRE 15GR</v>
      </c>
      <c r="E251" s="5" t="str">
        <f>"USP"</f>
        <v>USP</v>
      </c>
      <c r="F251" s="5" t="str">
        <f>"SOBRE"</f>
        <v>SOBRE</v>
      </c>
      <c r="H251" s="6">
        <v>1118.5999999999999</v>
      </c>
      <c r="I251" s="6">
        <v>1509</v>
      </c>
      <c r="J251" s="5" t="s">
        <v>1</v>
      </c>
    </row>
    <row r="252" spans="1:10" x14ac:dyDescent="0.25">
      <c r="A252" s="5" t="str">
        <f>"35430-1"</f>
        <v>35430-1</v>
      </c>
      <c r="B252" s="5" t="str">
        <f>"ALF0443"</f>
        <v>ALF0443</v>
      </c>
      <c r="C252" s="5" t="str">
        <f>"N01AM023701"</f>
        <v>N01AM023701</v>
      </c>
      <c r="D252" s="5" t="str">
        <f>"MIDAZOLAN 5MG /10ML"</f>
        <v>MIDAZOLAN 5MG /10ML</v>
      </c>
      <c r="E252" s="5" t="str">
        <f>"5mg"</f>
        <v>5mg</v>
      </c>
      <c r="F252" s="5" t="str">
        <f>"AMPOLLA"</f>
        <v>AMPOLLA</v>
      </c>
      <c r="H252" s="6">
        <v>5872.9</v>
      </c>
      <c r="I252" s="6">
        <v>14000</v>
      </c>
      <c r="J252" s="5" t="s">
        <v>1</v>
      </c>
    </row>
    <row r="253" spans="1:10" x14ac:dyDescent="0.25">
      <c r="B253" s="5" t="str">
        <f>"ALF1173"</f>
        <v>ALF1173</v>
      </c>
      <c r="C253" s="5" t="str">
        <f>"ALF1173"</f>
        <v>ALF1173</v>
      </c>
      <c r="D253" s="5" t="str">
        <f>"ROCEFIN 1GR AMPOLLA"</f>
        <v>ROCEFIN 1GR AMPOLLA</v>
      </c>
      <c r="E253" s="5" t="str">
        <f>"1GR"</f>
        <v>1GR</v>
      </c>
      <c r="F253" s="5" t="str">
        <f>"AMPOLLA"</f>
        <v>AMPOLLA</v>
      </c>
      <c r="G253" s="5" t="str">
        <f>"CEFTRIAXONA"</f>
        <v>CEFTRIAXONA</v>
      </c>
      <c r="H253" s="6">
        <v>18593</v>
      </c>
      <c r="I253" s="6">
        <v>22950</v>
      </c>
      <c r="J253" s="5" t="s">
        <v>0</v>
      </c>
    </row>
    <row r="254" spans="1:10" x14ac:dyDescent="0.25">
      <c r="B254" s="5" t="str">
        <f>"ALF1248"</f>
        <v>ALF1248</v>
      </c>
      <c r="D254" s="5" t="str">
        <f>"DICLOFENACO GEL 1% TOPICO"</f>
        <v>DICLOFENACO GEL 1% TOPICO</v>
      </c>
      <c r="F254" s="5" t="str">
        <f>"UNIDAD"</f>
        <v>UNIDAD</v>
      </c>
      <c r="H254" s="6">
        <v>2700</v>
      </c>
      <c r="I254" s="6">
        <v>3750</v>
      </c>
      <c r="J254" s="5" t="s">
        <v>0</v>
      </c>
    </row>
    <row r="255" spans="1:10" x14ac:dyDescent="0.25">
      <c r="A255" s="5" t="str">
        <f>"31540-2"</f>
        <v>31540-2</v>
      </c>
      <c r="B255" s="5" t="str">
        <f>"ALF0393"</f>
        <v>ALF0393</v>
      </c>
      <c r="C255" s="5" t="str">
        <f>"N01BL011702"</f>
        <v>N01BL011702</v>
      </c>
      <c r="D255" s="5" t="str">
        <f>"LIDOCAINA 2% x 50mL (ROXICAINA)"</f>
        <v>LIDOCAINA 2% x 50mL (ROXICAINA)</v>
      </c>
      <c r="E255" s="5" t="str">
        <f>"2%"</f>
        <v>2%</v>
      </c>
      <c r="F255" s="5" t="str">
        <f>"FRASCO"</f>
        <v>FRASCO</v>
      </c>
      <c r="H255" s="6">
        <v>8250</v>
      </c>
      <c r="I255" s="6">
        <v>14088</v>
      </c>
      <c r="J255" s="5" t="s">
        <v>1</v>
      </c>
    </row>
    <row r="256" spans="1:10" x14ac:dyDescent="0.25">
      <c r="A256" s="5" t="str">
        <f>"218168-3"</f>
        <v>218168-3</v>
      </c>
      <c r="B256" s="5" t="str">
        <f>"ALF0394"</f>
        <v>ALF0394</v>
      </c>
      <c r="C256" s="5" t="str">
        <f>"N01BL011701"</f>
        <v>N01BL011701</v>
      </c>
      <c r="D256" s="5" t="str">
        <f>"LIDOCAINA+EPINEFRINA 1% x 50mL (ROXICAINA)"</f>
        <v>LIDOCAINA+EPINEFRINA 1% x 50mL (ROXICAINA)</v>
      </c>
      <c r="E256" s="5" t="str">
        <f>"1%"</f>
        <v>1%</v>
      </c>
      <c r="F256" s="5" t="str">
        <f>"FRASCO"</f>
        <v>FRASCO</v>
      </c>
      <c r="G256" s="5" t="str">
        <f>"LIDOCAINA+EPINEFRINA"</f>
        <v>LIDOCAINA+EPINEFRINA</v>
      </c>
      <c r="H256" s="6">
        <v>11000</v>
      </c>
      <c r="I256" s="6">
        <v>14490</v>
      </c>
      <c r="J256" s="5" t="s">
        <v>1</v>
      </c>
    </row>
    <row r="257" spans="1:10" x14ac:dyDescent="0.25">
      <c r="A257" s="5" t="str">
        <f>"218170-3"</f>
        <v>218170-3</v>
      </c>
      <c r="B257" s="5" t="str">
        <f>"ALF0395"</f>
        <v>ALF0395</v>
      </c>
      <c r="C257" s="5" t="str">
        <f>"N01BL011702"</f>
        <v>N01BL011702</v>
      </c>
      <c r="D257" s="5" t="str">
        <f>"LIDOCAINA+EPINEFRINA 2% x 50mL (ROXICAINA)"</f>
        <v>LIDOCAINA+EPINEFRINA 2% x 50mL (ROXICAINA)</v>
      </c>
      <c r="E257" s="5" t="str">
        <f>"2%"</f>
        <v>2%</v>
      </c>
      <c r="F257" s="5" t="str">
        <f>"FRASCO"</f>
        <v>FRASCO</v>
      </c>
      <c r="G257" s="5" t="str">
        <f>"LIDOCAINA"</f>
        <v>LIDOCAINA</v>
      </c>
      <c r="H257" s="6">
        <v>9000</v>
      </c>
      <c r="I257" s="6">
        <v>14088</v>
      </c>
      <c r="J257" s="5" t="s">
        <v>1</v>
      </c>
    </row>
    <row r="258" spans="1:10" x14ac:dyDescent="0.25">
      <c r="A258" s="5" t="str">
        <f>"38998-1"</f>
        <v>38998-1</v>
      </c>
      <c r="B258" s="5" t="str">
        <f>"ALF0584"</f>
        <v>ALF0584</v>
      </c>
      <c r="C258" s="5" t="str">
        <f>"R03AT005461"</f>
        <v>R03AT005461</v>
      </c>
      <c r="D258" s="5" t="str">
        <f>"TERBUTALINA 0.5MG/1ML"</f>
        <v>TERBUTALINA 0.5MG/1ML</v>
      </c>
      <c r="E258" s="5" t="str">
        <f>"0.5MG/1ML"</f>
        <v>0.5MG/1ML</v>
      </c>
      <c r="F258" s="5" t="str">
        <f>"AMPOLLA"</f>
        <v>AMPOLLA</v>
      </c>
      <c r="H258" s="6">
        <v>600</v>
      </c>
      <c r="I258" s="6">
        <v>3000</v>
      </c>
      <c r="J258" s="5" t="s">
        <v>1</v>
      </c>
    </row>
    <row r="259" spans="1:10" x14ac:dyDescent="0.25">
      <c r="A259" s="5" t="str">
        <f>"19928458-1"</f>
        <v>19928458-1</v>
      </c>
      <c r="B259" s="5" t="str">
        <f>"ALF0572"</f>
        <v>ALF0572</v>
      </c>
      <c r="C259" s="5" t="str">
        <f>"A02BS014 011"</f>
        <v>A02BS014 011</v>
      </c>
      <c r="D259" s="5" t="str">
        <f>"SUCRALFATO 1g TAB"</f>
        <v>SUCRALFATO 1g TAB</v>
      </c>
      <c r="E259" s="5" t="str">
        <f>"1gr"</f>
        <v>1gr</v>
      </c>
      <c r="F259" s="5" t="str">
        <f>"TABLETA"</f>
        <v>TABLETA</v>
      </c>
      <c r="H259" s="6">
        <v>234</v>
      </c>
      <c r="I259" s="6">
        <v>724</v>
      </c>
      <c r="J259" s="5" t="s">
        <v>1</v>
      </c>
    </row>
    <row r="260" spans="1:10" x14ac:dyDescent="0.25">
      <c r="A260" s="5" t="str">
        <f>"19940674-1"</f>
        <v>19940674-1</v>
      </c>
      <c r="B260" s="5" t="str">
        <f>"ALF0310"</f>
        <v>ALF0310</v>
      </c>
      <c r="C260" s="5" t="str">
        <f>"A12AA20"</f>
        <v>A12AA20</v>
      </c>
      <c r="D260" s="5" t="str">
        <f>"GLUCONATO DE CALCIO 10% AMP"</f>
        <v>GLUCONATO DE CALCIO 10% AMP</v>
      </c>
      <c r="E260" s="5" t="str">
        <f>"10% X10ML"</f>
        <v>10% X10ML</v>
      </c>
      <c r="F260" s="5" t="str">
        <f t="shared" ref="F260:F266" si="6">"AMPOLLA"</f>
        <v>AMPOLLA</v>
      </c>
      <c r="G260" s="5" t="str">
        <f>"GLUCONATO DE CALCIO"</f>
        <v>GLUCONATO DE CALCIO</v>
      </c>
      <c r="H260" s="6">
        <v>912</v>
      </c>
      <c r="I260" s="6">
        <v>2461</v>
      </c>
      <c r="J260" s="5" t="s">
        <v>1</v>
      </c>
    </row>
    <row r="261" spans="1:10" x14ac:dyDescent="0.25">
      <c r="A261" s="5" t="str">
        <f>"19910142-1"</f>
        <v>19910142-1</v>
      </c>
      <c r="B261" s="5" t="str">
        <f>"ALF0576"</f>
        <v>ALF0576</v>
      </c>
      <c r="C261" s="5" t="str">
        <f>"N03AM001701"</f>
        <v>N03AM001701</v>
      </c>
      <c r="D261" s="5" t="str">
        <f>"SULFATO DE MAGNESIO 20% 10mL AMP"</f>
        <v>SULFATO DE MAGNESIO 20% 10mL AMP</v>
      </c>
      <c r="E261" s="5" t="str">
        <f>"20%/10ml"</f>
        <v>20%/10ml</v>
      </c>
      <c r="F261" s="5" t="str">
        <f t="shared" si="6"/>
        <v>AMPOLLA</v>
      </c>
      <c r="H261" s="6">
        <v>875</v>
      </c>
      <c r="I261" s="6">
        <v>2510</v>
      </c>
      <c r="J261" s="5" t="s">
        <v>1</v>
      </c>
    </row>
    <row r="262" spans="1:10" x14ac:dyDescent="0.25">
      <c r="A262" s="5" t="str">
        <f>"C07AM017161"</f>
        <v>C07AM017161</v>
      </c>
      <c r="B262" s="5" t="str">
        <f>"ALF0673"</f>
        <v>ALF0673</v>
      </c>
      <c r="C262" s="5" t="str">
        <f>"C07AB0202"</f>
        <v>C07AB0202</v>
      </c>
      <c r="D262" s="5" t="str">
        <f>"METOPROLOL 5MG/5MLAMPOLLA"</f>
        <v>METOPROLOL 5MG/5MLAMPOLLA</v>
      </c>
      <c r="E262" s="5" t="str">
        <f>"5MG/5ML"</f>
        <v>5MG/5ML</v>
      </c>
      <c r="F262" s="5" t="str">
        <f t="shared" si="6"/>
        <v>AMPOLLA</v>
      </c>
      <c r="G262" s="5" t="str">
        <f>"METOPROLOL"</f>
        <v>METOPROLOL</v>
      </c>
      <c r="H262" s="6">
        <v>14681</v>
      </c>
      <c r="I262" s="6">
        <v>19819</v>
      </c>
      <c r="J262" s="5" t="s">
        <v>1</v>
      </c>
    </row>
    <row r="263" spans="1:10" x14ac:dyDescent="0.25">
      <c r="A263" s="5" t="str">
        <f>"38995"</f>
        <v>38995</v>
      </c>
      <c r="B263" s="5" t="str">
        <f>"ALF0689"</f>
        <v>ALF0689</v>
      </c>
      <c r="C263" s="5" t="str">
        <f>"N01B B013 70 1"</f>
        <v>N01B B013 70 1</v>
      </c>
      <c r="D263" s="5" t="str">
        <f>"BUPIVACAINA  PESADA- 20MG/ 4ML AMPOLLA (BUPIROP)"</f>
        <v>BUPIVACAINA  PESADA- 20MG/ 4ML AMPOLLA (BUPIROP)</v>
      </c>
      <c r="E263" s="5" t="str">
        <f>"0.5% x 10ml"</f>
        <v>0.5% x 10ml</v>
      </c>
      <c r="F263" s="5" t="str">
        <f t="shared" si="6"/>
        <v>AMPOLLA</v>
      </c>
      <c r="G263" s="5" t="str">
        <f>"BUPIVACAINA"</f>
        <v>BUPIVACAINA</v>
      </c>
      <c r="H263" s="6">
        <v>3000</v>
      </c>
      <c r="I263" s="6">
        <v>5270</v>
      </c>
      <c r="J263" s="5" t="s">
        <v>1</v>
      </c>
    </row>
    <row r="264" spans="1:10" x14ac:dyDescent="0.25">
      <c r="A264" s="5" t="str">
        <f>"52033-3"</f>
        <v>52033-3</v>
      </c>
      <c r="B264" s="5" t="str">
        <f>"ALF0690"</f>
        <v>ALF0690</v>
      </c>
      <c r="C264" s="5" t="str">
        <f>"N01B B013 70 1"</f>
        <v>N01B B013 70 1</v>
      </c>
      <c r="D264" s="5" t="str">
        <f>"BUPIVACAINA0.5%  X 10ML((BUPIROP)"</f>
        <v>BUPIVACAINA0.5%  X 10ML((BUPIROP)</v>
      </c>
      <c r="E264" s="5" t="str">
        <f>"0.5% x 10ml"</f>
        <v>0.5% x 10ml</v>
      </c>
      <c r="F264" s="5" t="str">
        <f t="shared" si="6"/>
        <v>AMPOLLA</v>
      </c>
      <c r="G264" s="5" t="str">
        <f>"BUPIVACAINA"</f>
        <v>BUPIVACAINA</v>
      </c>
      <c r="H264" s="6">
        <v>9750</v>
      </c>
      <c r="I264" s="6">
        <v>12375</v>
      </c>
      <c r="J264" s="5" t="s">
        <v>1</v>
      </c>
    </row>
    <row r="265" spans="1:10" x14ac:dyDescent="0.25">
      <c r="A265" s="5" t="str">
        <f>"52041"</f>
        <v>52041</v>
      </c>
      <c r="B265" s="5" t="str">
        <f>"ALF0691"</f>
        <v>ALF0691</v>
      </c>
      <c r="C265" s="5" t="str">
        <f>"N01B B013 70 1"</f>
        <v>N01B B013 70 1</v>
      </c>
      <c r="D265" s="5" t="str">
        <f>"BUPIVACAINA 0.5%  X 20ML AMP (BUPIROP SIMPLE)"</f>
        <v>BUPIVACAINA 0.5%  X 20ML AMP (BUPIROP SIMPLE)</v>
      </c>
      <c r="E265" s="5" t="str">
        <f>"0.5% X 20ML"</f>
        <v>0.5% X 20ML</v>
      </c>
      <c r="F265" s="5" t="str">
        <f t="shared" si="6"/>
        <v>AMPOLLA</v>
      </c>
      <c r="H265" s="6">
        <v>17400</v>
      </c>
      <c r="I265" s="6">
        <v>17550</v>
      </c>
      <c r="J265" s="5" t="s">
        <v>1</v>
      </c>
    </row>
    <row r="266" spans="1:10" x14ac:dyDescent="0.25">
      <c r="A266" s="5" t="str">
        <f>"19903029-1"</f>
        <v>19903029-1</v>
      </c>
      <c r="B266" s="5" t="str">
        <f>"ALF0692"</f>
        <v>ALF0692</v>
      </c>
      <c r="C266" s="5" t="str">
        <f>"N01BB01"</f>
        <v>N01BB01</v>
      </c>
      <c r="D266" s="5" t="str">
        <f>"BUPIVACAINA 0.75% PESADO X4ML(BUPINEST)"</f>
        <v>BUPIVACAINA 0.75% PESADO X4ML(BUPINEST)</v>
      </c>
      <c r="E266" s="5" t="str">
        <f>"0.75% X 4ML"</f>
        <v>0.75% X 4ML</v>
      </c>
      <c r="F266" s="5" t="str">
        <f t="shared" si="6"/>
        <v>AMPOLLA</v>
      </c>
      <c r="H266" s="6">
        <v>15458</v>
      </c>
      <c r="I266" s="6">
        <v>15625</v>
      </c>
      <c r="J266" s="5" t="s">
        <v>1</v>
      </c>
    </row>
    <row r="267" spans="1:10" x14ac:dyDescent="0.25">
      <c r="A267" s="5" t="str">
        <f>"19960774"</f>
        <v>19960774</v>
      </c>
      <c r="B267" s="5" t="str">
        <f>"ALF0737"</f>
        <v>ALF0737</v>
      </c>
      <c r="C267" s="5" t="str">
        <f>"N01BB013701"</f>
        <v>N01BB013701</v>
      </c>
      <c r="D267" s="5" t="str">
        <f>"BUPIVACAINA 0.5 CON EPINEFRINA X 20 ML AMPOLLA(BUPIROP)"</f>
        <v>BUPIVACAINA 0.5 CON EPINEFRINA X 20 ML AMPOLLA(BUPIROP)</v>
      </c>
      <c r="E267" s="5" t="str">
        <f>"0.5/20ML"</f>
        <v>0.5/20ML</v>
      </c>
      <c r="F267" s="5" t="str">
        <f>"FRASCO"</f>
        <v>FRASCO</v>
      </c>
      <c r="G267" s="5" t="str">
        <f>"BUPIVACAINA"</f>
        <v>BUPIVACAINA</v>
      </c>
      <c r="H267" s="6">
        <v>3000</v>
      </c>
      <c r="I267" s="6">
        <v>14700</v>
      </c>
      <c r="J267" s="5" t="s">
        <v>1</v>
      </c>
    </row>
    <row r="268" spans="1:10" x14ac:dyDescent="0.25">
      <c r="B268" s="5" t="str">
        <f>"ALF0940"</f>
        <v>ALF0940</v>
      </c>
      <c r="C268" s="5" t="str">
        <f>"ALF0940"</f>
        <v>ALF0940</v>
      </c>
      <c r="D268" s="5" t="str">
        <f>"ROXICAINA SPRAY X80GRA"</f>
        <v>ROXICAINA SPRAY X80GRA</v>
      </c>
      <c r="F268" s="5" t="str">
        <f>"FRASCO"</f>
        <v>FRASCO</v>
      </c>
      <c r="H268" s="6">
        <v>42000</v>
      </c>
      <c r="I268" s="6">
        <v>56700</v>
      </c>
      <c r="J268" s="5" t="s">
        <v>1</v>
      </c>
    </row>
    <row r="269" spans="1:10" x14ac:dyDescent="0.25">
      <c r="B269" s="5" t="str">
        <f>"ALF1216"</f>
        <v>ALF1216</v>
      </c>
      <c r="C269" s="5" t="str">
        <f>"ALF1216"</f>
        <v>ALF1216</v>
      </c>
      <c r="D269" s="5" t="str">
        <f>"ROXICAINA 2% SIN EPINEFRINA X 10ML"</f>
        <v>ROXICAINA 2% SIN EPINEFRINA X 10ML</v>
      </c>
      <c r="E269" s="5" t="str">
        <f>"10ML"</f>
        <v>10ML</v>
      </c>
      <c r="F269" s="5" t="str">
        <f>"UNIDAD"</f>
        <v>UNIDAD</v>
      </c>
      <c r="H269" s="6">
        <v>996</v>
      </c>
      <c r="I269" s="6">
        <v>1500</v>
      </c>
      <c r="J269" s="5" t="s">
        <v>1</v>
      </c>
    </row>
    <row r="270" spans="1:10" x14ac:dyDescent="0.25">
      <c r="A270" s="5" t="str">
        <f>"20004900-1"</f>
        <v>20004900-1</v>
      </c>
      <c r="B270" s="5" t="str">
        <f>"ALF0283"</f>
        <v>ALF0283</v>
      </c>
      <c r="C270" s="5" t="str">
        <f>"N03A F003 01 3"</f>
        <v>N03A F003 01 3</v>
      </c>
      <c r="D270" s="5" t="str">
        <f>"FENOBARBITAL SODICO 100mg TAB"</f>
        <v>FENOBARBITAL SODICO 100mg TAB</v>
      </c>
      <c r="E270" s="5" t="str">
        <f>"100mg"</f>
        <v>100mg</v>
      </c>
      <c r="F270" s="5" t="str">
        <f>"TABLETA"</f>
        <v>TABLETA</v>
      </c>
      <c r="H270" s="6">
        <v>90</v>
      </c>
      <c r="I270" s="6">
        <v>200</v>
      </c>
      <c r="J270" s="5" t="s">
        <v>1</v>
      </c>
    </row>
    <row r="271" spans="1:10" x14ac:dyDescent="0.25">
      <c r="A271" s="5" t="str">
        <f>"19905549-1"</f>
        <v>19905549-1</v>
      </c>
      <c r="B271" s="5" t="str">
        <f>"ALF0284"</f>
        <v>ALF0284</v>
      </c>
      <c r="C271" s="5" t="str">
        <f>"N03AF004702"</f>
        <v>N03AF004702</v>
      </c>
      <c r="D271" s="5" t="str">
        <f>"FENOBARBITAL SODICO 200mg/mL AMP"</f>
        <v>FENOBARBITAL SODICO 200mg/mL AMP</v>
      </c>
      <c r="E271" s="5" t="str">
        <f>"200mg/mL"</f>
        <v>200mg/mL</v>
      </c>
      <c r="F271" s="5" t="str">
        <f>"AMPOLLA"</f>
        <v>AMPOLLA</v>
      </c>
      <c r="H271" s="6">
        <v>1510</v>
      </c>
      <c r="I271" s="6">
        <v>1575</v>
      </c>
      <c r="J271" s="5" t="s">
        <v>1</v>
      </c>
    </row>
    <row r="272" spans="1:10" x14ac:dyDescent="0.25">
      <c r="A272" s="5" t="str">
        <f>"N03AF004701"</f>
        <v>N03AF004701</v>
      </c>
      <c r="B272" s="5" t="str">
        <f>"ALF0285"</f>
        <v>ALF0285</v>
      </c>
      <c r="C272" s="5" t="str">
        <f>"N03A F004701"</f>
        <v>N03A F004701</v>
      </c>
      <c r="D272" s="5" t="str">
        <f>"FENOBARBITAL SODICO 40 mg/mL AMP"</f>
        <v>FENOBARBITAL SODICO 40 mg/mL AMP</v>
      </c>
      <c r="E272" s="5" t="str">
        <f>"40 MG/ML"</f>
        <v>40 MG/ML</v>
      </c>
      <c r="F272" s="5" t="str">
        <f>"AMPOLLA"</f>
        <v>AMPOLLA</v>
      </c>
      <c r="H272" s="6">
        <v>1940</v>
      </c>
      <c r="I272" s="6">
        <v>2000</v>
      </c>
      <c r="J272" s="5" t="s">
        <v>1</v>
      </c>
    </row>
    <row r="273" spans="1:10" x14ac:dyDescent="0.25">
      <c r="A273" s="5" t="str">
        <f>"20497-1"</f>
        <v>20497-1</v>
      </c>
      <c r="B273" s="5" t="str">
        <f>"ALF0052"</f>
        <v>ALF0052</v>
      </c>
      <c r="C273" s="5" t="str">
        <f>"A03FA05"</f>
        <v>A03FA05</v>
      </c>
      <c r="D273" s="5" t="str">
        <f>"ALIZAPRIDA 50mg AMP ( PLITICAN)"</f>
        <v>ALIZAPRIDA 50mg AMP ( PLITICAN)</v>
      </c>
      <c r="E273" s="5" t="str">
        <f>"50mg"</f>
        <v>50mg</v>
      </c>
      <c r="F273" s="5" t="str">
        <f>"AMPOLLA"</f>
        <v>AMPOLLA</v>
      </c>
      <c r="G273" s="5" t="str">
        <f>"A03FA05"</f>
        <v>A03FA05</v>
      </c>
      <c r="H273" s="6">
        <v>7400</v>
      </c>
      <c r="I273" s="6">
        <v>48552</v>
      </c>
      <c r="J273" s="5" t="s">
        <v>0</v>
      </c>
    </row>
    <row r="274" spans="1:10" x14ac:dyDescent="0.25">
      <c r="A274" s="5" t="str">
        <f>"56400-1"</f>
        <v>56400-1</v>
      </c>
      <c r="B274" s="5" t="str">
        <f>"ALF0327"</f>
        <v>ALF0327</v>
      </c>
      <c r="C274" s="5" t="str">
        <f>"B01AB05"</f>
        <v>B01AB05</v>
      </c>
      <c r="D274" s="5" t="str">
        <f>"HEPARINA BAJO P/MOLECULAR 60mg"</f>
        <v>HEPARINA BAJO P/MOLECULAR 60mg</v>
      </c>
      <c r="E274" s="5" t="str">
        <f>"60mg"</f>
        <v>60mg</v>
      </c>
      <c r="F274" s="5" t="str">
        <f>"JERINGA"</f>
        <v>JERINGA</v>
      </c>
      <c r="H274" s="6">
        <v>18900</v>
      </c>
      <c r="I274" s="6">
        <v>81500</v>
      </c>
      <c r="J274" s="5" t="s">
        <v>1</v>
      </c>
    </row>
    <row r="275" spans="1:10" x14ac:dyDescent="0.25">
      <c r="A275" s="5" t="str">
        <f>"20014730-3"</f>
        <v>20014730-3</v>
      </c>
      <c r="B275" s="5" t="str">
        <f>"ALF0669"</f>
        <v>ALF0669</v>
      </c>
      <c r="C275" s="5" t="str">
        <f>"B01AW001011"</f>
        <v>B01AW001011</v>
      </c>
      <c r="D275" s="5" t="str">
        <f>"WARFARINA 5mg TAB"</f>
        <v>WARFARINA 5mg TAB</v>
      </c>
      <c r="E275" s="5" t="str">
        <f>"5mg"</f>
        <v>5mg</v>
      </c>
      <c r="F275" s="5" t="str">
        <f t="shared" ref="F275:F279" si="7">"TABLETA"</f>
        <v>TABLETA</v>
      </c>
      <c r="H275" s="6">
        <v>113</v>
      </c>
      <c r="I275" s="6">
        <v>2100</v>
      </c>
      <c r="J275" s="5" t="s">
        <v>1</v>
      </c>
    </row>
    <row r="276" spans="1:10" x14ac:dyDescent="0.25">
      <c r="A276" s="5" t="str">
        <f>"N06AF013141"</f>
        <v>N06AF013141</v>
      </c>
      <c r="B276" s="5" t="str">
        <f>"ALF0297"</f>
        <v>ALF0297</v>
      </c>
      <c r="C276" s="5" t="str">
        <f>"N06AB03"</f>
        <v>N06AB03</v>
      </c>
      <c r="D276" s="5" t="str">
        <f>"FLUOXETINA  20mg TAB"</f>
        <v>FLUOXETINA  20mg TAB</v>
      </c>
      <c r="E276" s="5" t="str">
        <f>"20mg"</f>
        <v>20mg</v>
      </c>
      <c r="F276" s="5" t="str">
        <f t="shared" si="7"/>
        <v>TABLETA</v>
      </c>
      <c r="H276" s="6">
        <v>48</v>
      </c>
      <c r="I276" s="6">
        <v>1650</v>
      </c>
      <c r="J276" s="5" t="s">
        <v>1</v>
      </c>
    </row>
    <row r="277" spans="1:10" x14ac:dyDescent="0.25">
      <c r="A277" s="5" t="str">
        <f>"19990483-1"</f>
        <v>19990483-1</v>
      </c>
      <c r="B277" s="5" t="str">
        <f>"ALF0594"</f>
        <v>ALF0594</v>
      </c>
      <c r="C277" s="5" t="str">
        <f>"N06AT023011"</f>
        <v>N06AT023011</v>
      </c>
      <c r="D277" s="5" t="str">
        <f>"TRAZODONA 50mg TAB"</f>
        <v>TRAZODONA 50mg TAB</v>
      </c>
      <c r="E277" s="5" t="str">
        <f>"50mg"</f>
        <v>50mg</v>
      </c>
      <c r="F277" s="5" t="str">
        <f t="shared" si="7"/>
        <v>TABLETA</v>
      </c>
      <c r="H277" s="6">
        <v>106</v>
      </c>
      <c r="I277" s="6">
        <v>1617</v>
      </c>
      <c r="J277" s="5" t="s">
        <v>1</v>
      </c>
    </row>
    <row r="278" spans="1:10" x14ac:dyDescent="0.25">
      <c r="A278" s="5" t="str">
        <f>"207751-3"</f>
        <v>207751-3</v>
      </c>
      <c r="B278" s="5" t="str">
        <f>"ALF0399"</f>
        <v>ALF0399</v>
      </c>
      <c r="C278" s="5" t="str">
        <f>"A07DL015141"</f>
        <v>A07DL015141</v>
      </c>
      <c r="D278" s="5" t="str">
        <f>"LOPERAMIDA 2mg TAB"</f>
        <v>LOPERAMIDA 2mg TAB</v>
      </c>
      <c r="E278" s="5" t="str">
        <f>"2mg"</f>
        <v>2mg</v>
      </c>
      <c r="F278" s="5" t="str">
        <f t="shared" si="7"/>
        <v>TABLETA</v>
      </c>
      <c r="H278" s="6">
        <v>66</v>
      </c>
      <c r="I278" s="6">
        <v>697</v>
      </c>
      <c r="J278" s="5" t="s">
        <v>1</v>
      </c>
    </row>
    <row r="279" spans="1:10" x14ac:dyDescent="0.25">
      <c r="A279" s="5" t="str">
        <f>"19955834-1"</f>
        <v>19955834-1</v>
      </c>
      <c r="B279" s="5" t="str">
        <f>"ALF0339"</f>
        <v>ALF0339</v>
      </c>
      <c r="C279" s="5" t="str">
        <f>"A03BH013021"</f>
        <v>A03BH013021</v>
      </c>
      <c r="D279" s="5" t="str">
        <f>"HIOSCINA N-BUTIL BROMURO 10mg TAB"</f>
        <v>HIOSCINA N-BUTIL BROMURO 10mg TAB</v>
      </c>
      <c r="E279" s="5" t="str">
        <f>"10mg"</f>
        <v>10mg</v>
      </c>
      <c r="F279" s="5" t="str">
        <f t="shared" si="7"/>
        <v>TABLETA</v>
      </c>
      <c r="H279" s="6">
        <v>120</v>
      </c>
      <c r="I279" s="6">
        <v>691</v>
      </c>
      <c r="J279" s="5" t="s">
        <v>1</v>
      </c>
    </row>
    <row r="280" spans="1:10" x14ac:dyDescent="0.25">
      <c r="A280" s="5" t="str">
        <f>"36471-2"</f>
        <v>36471-2</v>
      </c>
      <c r="B280" s="5" t="str">
        <f>"ALF0373"</f>
        <v>ALF0373</v>
      </c>
      <c r="C280" s="5" t="str">
        <f>"M01AE03"</f>
        <v>M01AE03</v>
      </c>
      <c r="D280" s="5" t="str">
        <f>"KETOPROFENO 100mg AMP"</f>
        <v>KETOPROFENO 100mg AMP</v>
      </c>
      <c r="E280" s="5" t="str">
        <f>"100mg"</f>
        <v>100mg</v>
      </c>
      <c r="F280" s="5" t="str">
        <f>"AMPOLLA"</f>
        <v>AMPOLLA</v>
      </c>
      <c r="H280" s="6">
        <v>790</v>
      </c>
      <c r="I280" s="6">
        <v>10500</v>
      </c>
      <c r="J280" s="5" t="s">
        <v>0</v>
      </c>
    </row>
    <row r="281" spans="1:10" x14ac:dyDescent="0.25">
      <c r="A281" s="5" t="str">
        <f>"A10AI008701"</f>
        <v>A10AI008701</v>
      </c>
      <c r="B281" s="5" t="str">
        <f>"ALF0354"</f>
        <v>ALF0354</v>
      </c>
      <c r="C281" s="5" t="str">
        <f>"J06BA02"</f>
        <v>J06BA02</v>
      </c>
      <c r="D281" s="5" t="str">
        <f>"LANTUS 100 IU/ML ( INSULINA GLARGINA ) X 10ML"</f>
        <v>LANTUS 100 IU/ML ( INSULINA GLARGINA ) X 10ML</v>
      </c>
      <c r="E281" s="5" t="str">
        <f>"100ui/ml"</f>
        <v>100ui/ml</v>
      </c>
      <c r="F281" s="5" t="str">
        <f>"AMPOLLA"</f>
        <v>AMPOLLA</v>
      </c>
      <c r="H281" s="6">
        <v>129753</v>
      </c>
      <c r="I281" s="6">
        <v>104404.43</v>
      </c>
      <c r="J281" s="5" t="s">
        <v>1</v>
      </c>
    </row>
    <row r="282" spans="1:10" x14ac:dyDescent="0.25">
      <c r="A282" s="5" t="str">
        <f>"19952942-2"</f>
        <v>19952942-2</v>
      </c>
      <c r="B282" s="5" t="str">
        <f>"ALF0254"</f>
        <v>ALF0254</v>
      </c>
      <c r="C282" s="5" t="str">
        <f>"A07FA03"</f>
        <v>A07FA03</v>
      </c>
      <c r="D282" s="5" t="str">
        <f>"ESPORAS  DE BACILLOS CLAUSIL 2000 MILLONES UFC   x 5mL"</f>
        <v>ESPORAS  DE BACILLOS CLAUSIL 2000 MILLONES UFC   x 5mL</v>
      </c>
      <c r="E282" s="5" t="str">
        <f>"2000MILLONES"</f>
        <v>2000MILLONES</v>
      </c>
      <c r="F282" s="5" t="str">
        <f>"AMPOLLA"</f>
        <v>AMPOLLA</v>
      </c>
      <c r="H282" s="6">
        <v>5840</v>
      </c>
      <c r="I282" s="6">
        <v>12500</v>
      </c>
      <c r="J282" s="5" t="s">
        <v>0</v>
      </c>
    </row>
    <row r="283" spans="1:10" x14ac:dyDescent="0.25">
      <c r="A283" s="5" t="str">
        <f>"A10AI008701"</f>
        <v>A10AI008701</v>
      </c>
      <c r="B283" s="5" t="str">
        <f>"ALF0678"</f>
        <v>ALF0678</v>
      </c>
      <c r="C283" s="5" t="str">
        <f>"A10AB0601"</f>
        <v>A10AB0601</v>
      </c>
      <c r="D283" s="5" t="str">
        <f>"INSULINA GLULISINA 100UI/3ML AMP (APIDRA)"</f>
        <v>INSULINA GLULISINA 100UI/3ML AMP (APIDRA)</v>
      </c>
      <c r="E283" s="5" t="str">
        <f>"100UI/ML"</f>
        <v>100UI/ML</v>
      </c>
      <c r="F283" s="5" t="str">
        <f>"AMPOLLA"</f>
        <v>AMPOLLA</v>
      </c>
      <c r="H283" s="6">
        <v>16685.84</v>
      </c>
      <c r="I283" s="6">
        <v>31321.33</v>
      </c>
      <c r="J283" s="5" t="s">
        <v>1</v>
      </c>
    </row>
    <row r="284" spans="1:10" x14ac:dyDescent="0.25">
      <c r="A284" s="5" t="str">
        <f>"227601-1"</f>
        <v>227601-1</v>
      </c>
      <c r="B284" s="5" t="str">
        <f>"ALF0858"</f>
        <v>ALF0858</v>
      </c>
      <c r="C284" s="5" t="str">
        <f>"B04AC035251"</f>
        <v>B04AC035251</v>
      </c>
      <c r="D284" s="5" t="str">
        <f>"COLESTIRAMINA 4MG SOBRE"</f>
        <v>COLESTIRAMINA 4MG SOBRE</v>
      </c>
      <c r="E284" s="5" t="str">
        <f>"100mg"</f>
        <v>100mg</v>
      </c>
      <c r="F284" s="5" t="str">
        <f>"SOBRE"</f>
        <v>SOBRE</v>
      </c>
      <c r="H284" s="6">
        <v>1094</v>
      </c>
      <c r="I284" s="6">
        <v>3800</v>
      </c>
      <c r="J284" s="5" t="s">
        <v>1</v>
      </c>
    </row>
    <row r="285" spans="1:10" x14ac:dyDescent="0.25">
      <c r="B285" s="5" t="str">
        <f>"ALF0918"</f>
        <v>ALF0918</v>
      </c>
      <c r="C285" s="5" t="str">
        <f>"ALF0918"</f>
        <v>ALF0918</v>
      </c>
      <c r="D285" s="5" t="str">
        <f>"SECNIDAZOL 1GR TABLETA"</f>
        <v>SECNIDAZOL 1GR TABLETA</v>
      </c>
      <c r="E285" s="5" t="str">
        <f>"1GR"</f>
        <v>1GR</v>
      </c>
      <c r="F285" s="5" t="str">
        <f>"TABLETA"</f>
        <v>TABLETA</v>
      </c>
      <c r="H285" s="6">
        <v>12425</v>
      </c>
      <c r="I285" s="6">
        <v>5811</v>
      </c>
      <c r="J285" s="5" t="s">
        <v>0</v>
      </c>
    </row>
    <row r="286" spans="1:10" x14ac:dyDescent="0.25">
      <c r="B286" s="5" t="str">
        <f>"ALF0941"</f>
        <v>ALF0941</v>
      </c>
      <c r="C286" s="5" t="str">
        <f>"ALF0941"</f>
        <v>ALF0941</v>
      </c>
      <c r="D286" s="5" t="str">
        <f>"ACICLOVIR ( UNGUENTO TOPICO AL 5%)"</f>
        <v>ACICLOVIR ( UNGUENTO TOPICO AL 5%)</v>
      </c>
      <c r="E286" s="5" t="str">
        <f>"5%"</f>
        <v>5%</v>
      </c>
      <c r="F286" s="5" t="str">
        <f>"TUBO COLAPSIBLE"</f>
        <v>TUBO COLAPSIBLE</v>
      </c>
      <c r="H286" s="6">
        <v>6500</v>
      </c>
      <c r="I286" s="6">
        <v>8100</v>
      </c>
      <c r="J286" s="5" t="s">
        <v>0</v>
      </c>
    </row>
    <row r="287" spans="1:10" x14ac:dyDescent="0.25">
      <c r="B287" s="5" t="str">
        <f>"ALF1127"</f>
        <v>ALF1127</v>
      </c>
      <c r="C287" s="5" t="str">
        <f>"ALF1127"</f>
        <v>ALF1127</v>
      </c>
      <c r="D287" s="5" t="str">
        <f>"RIFAMICINA SPRAR SVSODICA: cada 100ml(como sal sódica) 1g"</f>
        <v>RIFAMICINA SPRAR SVSODICA: cada 100ml(como sal sódica) 1g</v>
      </c>
      <c r="F287" s="5" t="str">
        <f>"FRASCO"</f>
        <v>FRASCO</v>
      </c>
      <c r="H287" s="6">
        <v>31750</v>
      </c>
      <c r="I287" s="6">
        <v>30375</v>
      </c>
      <c r="J287" s="5" t="s">
        <v>0</v>
      </c>
    </row>
    <row r="288" spans="1:10" x14ac:dyDescent="0.25">
      <c r="B288" s="5" t="str">
        <f>"ALF1136"</f>
        <v>ALF1136</v>
      </c>
      <c r="C288" s="5" t="str">
        <f>"ALF1136"</f>
        <v>ALF1136</v>
      </c>
      <c r="D288" s="5" t="str">
        <f>"VACUNA MENINGOCOCO(GRUPO A,C,Y,W 135) MENACTRA AMPOLLA"</f>
        <v>VACUNA MENINGOCOCO(GRUPO A,C,Y,W 135) MENACTRA AMPOLLA</v>
      </c>
      <c r="F288" s="5" t="str">
        <f>"AMPOLLA"</f>
        <v>AMPOLLA</v>
      </c>
      <c r="H288" s="6">
        <v>322000</v>
      </c>
      <c r="I288" s="6">
        <v>421200</v>
      </c>
      <c r="J288" s="5" t="s">
        <v>0</v>
      </c>
    </row>
    <row r="289" spans="1:10" x14ac:dyDescent="0.25">
      <c r="B289" s="5" t="str">
        <f>"ALF1162"</f>
        <v>ALF1162</v>
      </c>
      <c r="C289" s="5" t="str">
        <f>"ALF1162"</f>
        <v>ALF1162</v>
      </c>
      <c r="D289" s="5" t="str">
        <f>"CLOROQUINA (DIFOSFATO OSULFATO)150 mg/ de base"</f>
        <v>CLOROQUINA (DIFOSFATO OSULFATO)150 mg/ de base</v>
      </c>
      <c r="E289" s="5" t="str">
        <f>"60MG"</f>
        <v>60MG</v>
      </c>
      <c r="F289" s="5" t="str">
        <f>"TABLETA"</f>
        <v>TABLETA</v>
      </c>
      <c r="G289" s="5" t="str">
        <f>"CLOROQUINA"</f>
        <v>CLOROQUINA</v>
      </c>
      <c r="H289" s="6">
        <v>290</v>
      </c>
      <c r="I289" s="6">
        <v>350</v>
      </c>
      <c r="J289" s="5" t="s">
        <v>1</v>
      </c>
    </row>
    <row r="290" spans="1:10" x14ac:dyDescent="0.25">
      <c r="B290" s="5" t="str">
        <f>"ALF1253"</f>
        <v>ALF1253</v>
      </c>
      <c r="D290" s="5" t="str">
        <f>"INSULINA GLARGINA/100U/ML X3ML"</f>
        <v>INSULINA GLARGINA/100U/ML X3ML</v>
      </c>
      <c r="F290" s="5" t="str">
        <f t="shared" ref="F290" si="8">"UNIDAD"</f>
        <v>UNIDAD</v>
      </c>
      <c r="H290" s="6">
        <v>28877.58</v>
      </c>
      <c r="I290" s="6">
        <v>31321.33</v>
      </c>
      <c r="J290" s="5" t="s">
        <v>1</v>
      </c>
    </row>
    <row r="291" spans="1:10" x14ac:dyDescent="0.25">
      <c r="A291" s="5" t="str">
        <f>"54615-5"</f>
        <v>54615-5</v>
      </c>
      <c r="B291" s="5" t="str">
        <f>"ALF0023"</f>
        <v>ALF0023</v>
      </c>
      <c r="C291" s="5" t="str">
        <f>"N01AI018901"</f>
        <v>N01AI018901</v>
      </c>
      <c r="D291" s="5" t="str">
        <f>"TRANEXÁMICO ÁCIDO500MG/5MLSOLUCIÓN INYECTABLE"</f>
        <v>TRANEXÁMICO ÁCIDO500MG/5MLSOLUCIÓN INYECTABLE</v>
      </c>
      <c r="E291" s="5" t="str">
        <f>"500mg/5ml"</f>
        <v>500mg/5ml</v>
      </c>
      <c r="F291" s="5" t="str">
        <f t="shared" ref="F291:F308" si="9">"AMPOLLA"</f>
        <v>AMPOLLA</v>
      </c>
      <c r="H291" s="6">
        <v>9200</v>
      </c>
      <c r="I291" s="6">
        <v>14500</v>
      </c>
      <c r="J291" s="5" t="s">
        <v>1</v>
      </c>
    </row>
    <row r="292" spans="1:10" x14ac:dyDescent="0.25">
      <c r="A292" s="5" t="str">
        <f>"19939439-4"</f>
        <v>19939439-4</v>
      </c>
      <c r="B292" s="5" t="str">
        <f>"ALF0056"</f>
        <v>ALF0056</v>
      </c>
      <c r="C292" s="5" t="str">
        <f>"J01DC008232"</f>
        <v>J01DC008232</v>
      </c>
      <c r="D292" s="5" t="str">
        <f>"AMIKACINA 100mg AMPOLLA"</f>
        <v>AMIKACINA 100mg AMPOLLA</v>
      </c>
      <c r="E292" s="5" t="str">
        <f>"100mg/2mL"</f>
        <v>100mg/2mL</v>
      </c>
      <c r="F292" s="5" t="str">
        <f t="shared" si="9"/>
        <v>AMPOLLA</v>
      </c>
      <c r="G292" s="5" t="str">
        <f>"SULFATO DE AMIKACINA"</f>
        <v>SULFATO DE AMIKACINA</v>
      </c>
      <c r="H292" s="6">
        <v>689</v>
      </c>
      <c r="I292" s="6">
        <v>6100</v>
      </c>
      <c r="J292" s="5" t="s">
        <v>1</v>
      </c>
    </row>
    <row r="293" spans="1:10" x14ac:dyDescent="0.25">
      <c r="A293" s="5" t="str">
        <f>"19960589-5"</f>
        <v>19960589-5</v>
      </c>
      <c r="B293" s="5" t="str">
        <f>"ALF0057"</f>
        <v>ALF0057</v>
      </c>
      <c r="C293" s="5" t="str">
        <f>"J01DC043721"</f>
        <v>J01DC043721</v>
      </c>
      <c r="D293" s="5" t="str">
        <f>"AMIKACINA 500mg AMPOLLA"</f>
        <v>AMIKACINA 500mg AMPOLLA</v>
      </c>
      <c r="E293" s="5" t="str">
        <f>"500mg/mL"</f>
        <v>500mg/mL</v>
      </c>
      <c r="F293" s="5" t="str">
        <f t="shared" si="9"/>
        <v>AMPOLLA</v>
      </c>
      <c r="G293" s="5" t="str">
        <f>"SULFATO DE AMIKACINA"</f>
        <v>SULFATO DE AMIKACINA</v>
      </c>
      <c r="H293" s="6">
        <v>1250</v>
      </c>
      <c r="I293" s="6">
        <v>13500</v>
      </c>
      <c r="J293" s="5" t="s">
        <v>1</v>
      </c>
    </row>
    <row r="294" spans="1:10" x14ac:dyDescent="0.25">
      <c r="A294" s="5" t="str">
        <f>"19951820-1"</f>
        <v>19951820-1</v>
      </c>
      <c r="B294" s="5" t="str">
        <f>"ALF0074"</f>
        <v>ALF0074</v>
      </c>
      <c r="C294" s="5" t="str">
        <f>"J01CA028721"</f>
        <v>J01CA028721</v>
      </c>
      <c r="D294" s="5" t="str">
        <f>"AMPICILINA SÓDICA + SULBACTAM SÓDICO1 g + 0,5 gPOLVO ESTÉRIL PARA INYECCIÓN"</f>
        <v>AMPICILINA SÓDICA + SULBACTAM SÓDICO1 g + 0,5 gPOLVO ESTÉRIL PARA INYECCIÓN</v>
      </c>
      <c r="E294" s="5" t="str">
        <f>"1.5g"</f>
        <v>1.5g</v>
      </c>
      <c r="F294" s="5" t="str">
        <f t="shared" si="9"/>
        <v>AMPOLLA</v>
      </c>
      <c r="G294" s="5" t="str">
        <f>"AMPICILINA + SULBACTAM"</f>
        <v>AMPICILINA + SULBACTAM</v>
      </c>
      <c r="H294" s="6">
        <v>2055</v>
      </c>
      <c r="I294" s="6">
        <v>23446</v>
      </c>
      <c r="J294" s="5" t="s">
        <v>1</v>
      </c>
    </row>
    <row r="295" spans="1:10" x14ac:dyDescent="0.25">
      <c r="A295" s="5" t="str">
        <f>"220025-12"</f>
        <v>220025-12</v>
      </c>
      <c r="B295" s="5" t="str">
        <f>"ALF0078"</f>
        <v>ALF0078</v>
      </c>
      <c r="C295" s="5" t="str">
        <f>"J01CA026722"</f>
        <v>J01CA026722</v>
      </c>
      <c r="D295" s="5" t="str">
        <f>"AMPICILINA (SAL SÓDICA)1 g de basePOLVO ESTÉRIL PARA INYECCIÓN"</f>
        <v>AMPICILINA (SAL SÓDICA)1 g de basePOLVO ESTÉRIL PARA INYECCIÓN</v>
      </c>
      <c r="E295" s="5" t="str">
        <f>"1g"</f>
        <v>1g</v>
      </c>
      <c r="F295" s="5" t="str">
        <f t="shared" si="9"/>
        <v>AMPOLLA</v>
      </c>
      <c r="G295" s="5" t="str">
        <f>"AMPICILINA"</f>
        <v>AMPICILINA</v>
      </c>
      <c r="H295" s="6">
        <v>1392</v>
      </c>
      <c r="I295" s="6">
        <v>6697</v>
      </c>
      <c r="J295" s="5" t="s">
        <v>1</v>
      </c>
    </row>
    <row r="296" spans="1:10" x14ac:dyDescent="0.25">
      <c r="A296" s="5" t="str">
        <f>"220025-12"</f>
        <v>220025-12</v>
      </c>
      <c r="B296" s="5" t="str">
        <f>"ALF0079"</f>
        <v>ALF0079</v>
      </c>
      <c r="C296" s="5" t="str">
        <f>"J01XM021701"</f>
        <v>J01XM021701</v>
      </c>
      <c r="D296" s="5" t="str">
        <f>"AMPICILINA (SAL SÓDICA)500 mg de basePOLVO ESTÉRIL PARA INYECCIÓN"</f>
        <v>AMPICILINA (SAL SÓDICA)500 mg de basePOLVO ESTÉRIL PARA INYECCIÓN</v>
      </c>
      <c r="E296" s="5" t="str">
        <f>"500mg"</f>
        <v>500mg</v>
      </c>
      <c r="F296" s="5" t="str">
        <f t="shared" si="9"/>
        <v>AMPOLLA</v>
      </c>
      <c r="G296" s="5" t="str">
        <f>"AMPICILINA"</f>
        <v>AMPICILINA</v>
      </c>
      <c r="H296" s="6">
        <v>1313</v>
      </c>
      <c r="I296" s="6">
        <v>7127</v>
      </c>
      <c r="J296" s="5" t="s">
        <v>1</v>
      </c>
    </row>
    <row r="297" spans="1:10" x14ac:dyDescent="0.25">
      <c r="A297" s="5" t="str">
        <f>"20002231-1"</f>
        <v>20002231-1</v>
      </c>
      <c r="B297" s="5" t="str">
        <f>"ALF0081"</f>
        <v>ALF0081</v>
      </c>
      <c r="C297" s="5" t="str">
        <f>"J01CP005721"</f>
        <v>J01CP005721</v>
      </c>
      <c r="D297" s="5" t="str">
        <f>"ANFOTERICINA B 50mg AMP"</f>
        <v>ANFOTERICINA B 50mg AMP</v>
      </c>
      <c r="E297" s="5" t="str">
        <f>"50mg"</f>
        <v>50mg</v>
      </c>
      <c r="F297" s="5" t="str">
        <f t="shared" si="9"/>
        <v>AMPOLLA</v>
      </c>
      <c r="H297" s="6">
        <v>56908</v>
      </c>
      <c r="I297" s="6">
        <v>73917</v>
      </c>
      <c r="J297" s="5" t="s">
        <v>1</v>
      </c>
    </row>
    <row r="298" spans="1:10" x14ac:dyDescent="0.25">
      <c r="A298" s="5" t="str">
        <f>"20015208-3"</f>
        <v>20015208-3</v>
      </c>
      <c r="B298" s="5" t="str">
        <f>"ALF0066"</f>
        <v>ALF0066</v>
      </c>
      <c r="C298" s="5" t="str">
        <f>"R03DA022701"</f>
        <v>R03DA022701</v>
      </c>
      <c r="D298" s="5" t="str">
        <f>"AMINOFILINA 240mg AMPOLLA X 10 mL"</f>
        <v>AMINOFILINA 240mg AMPOLLA X 10 mL</v>
      </c>
      <c r="E298" s="5" t="str">
        <f>"240mg"</f>
        <v>240mg</v>
      </c>
      <c r="F298" s="5" t="str">
        <f t="shared" si="9"/>
        <v>AMPOLLA</v>
      </c>
      <c r="G298" s="5" t="str">
        <f>"AMINOFILINA"</f>
        <v>AMINOFILINA</v>
      </c>
      <c r="H298" s="6">
        <v>3125</v>
      </c>
      <c r="I298" s="6">
        <v>4100</v>
      </c>
      <c r="J298" s="5" t="s">
        <v>1</v>
      </c>
    </row>
    <row r="299" spans="1:10" x14ac:dyDescent="0.25">
      <c r="A299" s="5" t="str">
        <f>"20023698-9"</f>
        <v>20023698-9</v>
      </c>
      <c r="B299" s="5" t="str">
        <f>"ALF0088"</f>
        <v>ALF0088</v>
      </c>
      <c r="C299" s="5" t="str">
        <f>"N07AA033701"</f>
        <v>N07AA033701</v>
      </c>
      <c r="D299" s="5" t="str">
        <f>"ATROPINA SULFATO 1mg AMP"</f>
        <v>ATROPINA SULFATO 1mg AMP</v>
      </c>
      <c r="E299" s="5" t="str">
        <f>"1MG/1ML"</f>
        <v>1MG/1ML</v>
      </c>
      <c r="F299" s="5" t="str">
        <f t="shared" si="9"/>
        <v>AMPOLLA</v>
      </c>
      <c r="G299" s="5" t="str">
        <f>"ATROPINA SULFATO"</f>
        <v>ATROPINA SULFATO</v>
      </c>
      <c r="H299" s="6">
        <v>464</v>
      </c>
      <c r="I299" s="6">
        <v>1391</v>
      </c>
      <c r="J299" s="5" t="s">
        <v>1</v>
      </c>
    </row>
    <row r="300" spans="1:10" x14ac:dyDescent="0.25">
      <c r="A300" s="5" t="str">
        <f>"19937565-3"</f>
        <v>19937565-3</v>
      </c>
      <c r="B300" s="5" t="str">
        <f>"ALF0091"</f>
        <v>ALF0091</v>
      </c>
      <c r="C300" s="5" t="str">
        <f>"J01DA035722"</f>
        <v>J01DA035722</v>
      </c>
      <c r="D300" s="5" t="str">
        <f>"AZTREONAM 1g AMP"</f>
        <v>AZTREONAM 1g AMP</v>
      </c>
      <c r="E300" s="5" t="str">
        <f>"1g"</f>
        <v>1g</v>
      </c>
      <c r="F300" s="5" t="str">
        <f t="shared" si="9"/>
        <v>AMPOLLA</v>
      </c>
      <c r="H300" s="6">
        <v>14394</v>
      </c>
      <c r="I300" s="6">
        <v>66132</v>
      </c>
      <c r="J300" s="5" t="s">
        <v>1</v>
      </c>
    </row>
    <row r="301" spans="1:10" x14ac:dyDescent="0.25">
      <c r="A301" s="5" t="str">
        <f>"H02AB005701"</f>
        <v>H02AB005701</v>
      </c>
      <c r="B301" s="5" t="str">
        <f>"ALF0100"</f>
        <v>ALF0100</v>
      </c>
      <c r="C301" s="5" t="str">
        <f>"H02AB01"</f>
        <v>H02AB01</v>
      </c>
      <c r="D301" s="5" t="str">
        <f>"BETAMETASONA 4mg AMP"</f>
        <v>BETAMETASONA 4mg AMP</v>
      </c>
      <c r="E301" s="5" t="str">
        <f>"4mg"</f>
        <v>4mg</v>
      </c>
      <c r="F301" s="5" t="str">
        <f t="shared" si="9"/>
        <v>AMPOLLA</v>
      </c>
      <c r="G301" s="5" t="str">
        <f>"H02AB01"</f>
        <v>H02AB01</v>
      </c>
      <c r="H301" s="6">
        <v>455</v>
      </c>
      <c r="I301" s="6">
        <v>3500</v>
      </c>
      <c r="J301" s="5" t="s">
        <v>1</v>
      </c>
    </row>
    <row r="302" spans="1:10" x14ac:dyDescent="0.25">
      <c r="A302" s="5" t="str">
        <f>"20008613-1"</f>
        <v>20008613-1</v>
      </c>
      <c r="B302" s="5" t="str">
        <f>"ALF0426"</f>
        <v>ALF0426</v>
      </c>
      <c r="C302" s="5" t="str">
        <f>"N02AM008701"</f>
        <v>N02AM008701</v>
      </c>
      <c r="D302" s="5" t="str">
        <f>"MEPERIDINA CLORHIDRATO 100mg AMP"</f>
        <v>MEPERIDINA CLORHIDRATO 100mg AMP</v>
      </c>
      <c r="E302" s="5" t="str">
        <f>"100mg/2mL"</f>
        <v>100mg/2mL</v>
      </c>
      <c r="F302" s="5" t="str">
        <f t="shared" si="9"/>
        <v>AMPOLLA</v>
      </c>
      <c r="G302" s="5" t="str">
        <f>"PETIDINA"</f>
        <v>PETIDINA</v>
      </c>
      <c r="H302" s="6">
        <v>1390</v>
      </c>
      <c r="I302" s="6">
        <v>1700</v>
      </c>
      <c r="J302" s="5" t="s">
        <v>1</v>
      </c>
    </row>
    <row r="303" spans="1:10" x14ac:dyDescent="0.25">
      <c r="A303" s="5" t="str">
        <f>"20013906-1"</f>
        <v>20013906-1</v>
      </c>
      <c r="B303" s="5" t="str">
        <f>"ALF0449"</f>
        <v>ALF0449</v>
      </c>
      <c r="C303" s="5" t="str">
        <f>"N02AM024701"</f>
        <v>N02AM024701</v>
      </c>
      <c r="D303" s="5" t="str">
        <f>"MORFINA CLORHIDRATO 10MG"</f>
        <v>MORFINA CLORHIDRATO 10MG</v>
      </c>
      <c r="E303" s="5" t="str">
        <f>"10 MG"</f>
        <v>10 MG</v>
      </c>
      <c r="F303" s="5" t="str">
        <f t="shared" si="9"/>
        <v>AMPOLLA</v>
      </c>
      <c r="H303" s="6">
        <v>1230</v>
      </c>
      <c r="I303" s="6">
        <v>1800</v>
      </c>
      <c r="J303" s="5" t="s">
        <v>1</v>
      </c>
    </row>
    <row r="304" spans="1:10" x14ac:dyDescent="0.25">
      <c r="A304" s="5" t="str">
        <f>"19950966-1"</f>
        <v>19950966-1</v>
      </c>
      <c r="B304" s="5" t="str">
        <f>"ALF0591"</f>
        <v>ALF0591</v>
      </c>
      <c r="C304" s="5" t="str">
        <f>"N02AT020701"</f>
        <v>N02AT020701</v>
      </c>
      <c r="D304" s="5" t="str">
        <f>"TRAMADOL  50mg/mL AMP"</f>
        <v>TRAMADOL  50mg/mL AMP</v>
      </c>
      <c r="E304" s="5" t="str">
        <f>"50mg/mL"</f>
        <v>50mg/mL</v>
      </c>
      <c r="F304" s="5" t="str">
        <f t="shared" si="9"/>
        <v>AMPOLLA</v>
      </c>
      <c r="G304" s="5" t="str">
        <f>"TRAMADOL"</f>
        <v>TRAMADOL</v>
      </c>
      <c r="H304" s="6">
        <v>430</v>
      </c>
      <c r="I304" s="6">
        <v>1310</v>
      </c>
      <c r="J304" s="5" t="s">
        <v>1</v>
      </c>
    </row>
    <row r="305" spans="1:10" x14ac:dyDescent="0.25">
      <c r="A305" s="5" t="str">
        <f>"19934552-2"</f>
        <v>19934552-2</v>
      </c>
      <c r="B305" s="5" t="str">
        <f>"ALF0592"</f>
        <v>ALF0592</v>
      </c>
      <c r="C305" s="5" t="str">
        <f>"N02AT020702"</f>
        <v>N02AT020702</v>
      </c>
      <c r="D305" s="5" t="str">
        <f>"TRAMADOL 100mg/mL AMP"</f>
        <v>TRAMADOL 100mg/mL AMP</v>
      </c>
      <c r="E305" s="5" t="str">
        <f>"100mg/mL"</f>
        <v>100mg/mL</v>
      </c>
      <c r="F305" s="5" t="str">
        <f t="shared" si="9"/>
        <v>AMPOLLA</v>
      </c>
      <c r="G305" s="5" t="str">
        <f>"TRAMADOL"</f>
        <v>TRAMADOL</v>
      </c>
      <c r="H305" s="6">
        <v>660</v>
      </c>
      <c r="I305" s="6">
        <v>4262</v>
      </c>
      <c r="J305" s="5" t="s">
        <v>1</v>
      </c>
    </row>
    <row r="306" spans="1:10" x14ac:dyDescent="0.25">
      <c r="A306" s="5" t="str">
        <f>"19936614-1"</f>
        <v>19936614-1</v>
      </c>
      <c r="B306" s="5" t="str">
        <f>"ALF0116"</f>
        <v>ALF0116</v>
      </c>
      <c r="C306" s="5" t="str">
        <f>"M03AC03"</f>
        <v>M03AC03</v>
      </c>
      <c r="D306" s="5" t="str">
        <f>"BROMURO DE VECURONIO 10mg/2.5mL AMP"</f>
        <v>BROMURO DE VECURONIO 10mg/2.5mL AMP</v>
      </c>
      <c r="E306" s="5" t="str">
        <f>"10mg/2.5mL"</f>
        <v>10mg/2.5mL</v>
      </c>
      <c r="F306" s="5" t="str">
        <f t="shared" si="9"/>
        <v>AMPOLLA</v>
      </c>
      <c r="G306" s="5" t="str">
        <f>"BROMURO DE VECURONIO"</f>
        <v>BROMURO DE VECURONIO</v>
      </c>
      <c r="H306" s="6">
        <v>26000</v>
      </c>
      <c r="I306" s="6">
        <v>66700</v>
      </c>
      <c r="J306" s="5" t="s">
        <v>1</v>
      </c>
    </row>
    <row r="307" spans="1:10" x14ac:dyDescent="0.25">
      <c r="A307" s="5" t="str">
        <f>"19926750-7"</f>
        <v>19926750-7</v>
      </c>
      <c r="B307" s="5" t="str">
        <f>"ALF0117"</f>
        <v>ALF0117</v>
      </c>
      <c r="C307" s="5" t="str">
        <f>"M03AC03"</f>
        <v>M03AC03</v>
      </c>
      <c r="D307" s="5" t="str">
        <f>"BROMURO DE VECURONIO 4mg/1 ml"</f>
        <v>BROMURO DE VECURONIO 4mg/1 ml</v>
      </c>
      <c r="E307" s="5" t="str">
        <f>"4mg/ml"</f>
        <v>4mg/ml</v>
      </c>
      <c r="F307" s="5" t="str">
        <f t="shared" si="9"/>
        <v>AMPOLLA</v>
      </c>
      <c r="G307" s="5" t="str">
        <f>"BROMURO DE VECURONIO"</f>
        <v>BROMURO DE VECURONIO</v>
      </c>
      <c r="H307" s="6">
        <v>7425</v>
      </c>
      <c r="I307" s="6">
        <v>66700</v>
      </c>
      <c r="J307" s="5" t="s">
        <v>0</v>
      </c>
    </row>
    <row r="308" spans="1:10" x14ac:dyDescent="0.25">
      <c r="A308" s="5" t="str">
        <f>"19950778-2"</f>
        <v>19950778-2</v>
      </c>
      <c r="B308" s="5" t="str">
        <f>"ALF0372"</f>
        <v>ALF0372</v>
      </c>
      <c r="C308" s="5" t="str">
        <f>"N01AK001702"</f>
        <v>N01AK001702</v>
      </c>
      <c r="D308" s="5" t="str">
        <f>"KETAMINA 500mg/mL AMP"</f>
        <v>KETAMINA 500mg/mL AMP</v>
      </c>
      <c r="E308" s="5" t="str">
        <f>"500mg/10mL"</f>
        <v>500mg/10mL</v>
      </c>
      <c r="F308" s="5" t="str">
        <f t="shared" si="9"/>
        <v>AMPOLLA</v>
      </c>
      <c r="G308" s="5" t="str">
        <f>"KETAMINA"</f>
        <v>KETAMINA</v>
      </c>
      <c r="H308" s="6">
        <v>10600</v>
      </c>
      <c r="I308" s="6">
        <v>21000</v>
      </c>
      <c r="J308" s="5" t="s">
        <v>1</v>
      </c>
    </row>
    <row r="309" spans="1:10" x14ac:dyDescent="0.25">
      <c r="A309" s="5" t="str">
        <f>"19982149-2"</f>
        <v>19982149-2</v>
      </c>
      <c r="B309" s="5" t="str">
        <f>"ALF0589"</f>
        <v>ALF0589</v>
      </c>
      <c r="C309" s="5" t="str">
        <f>"N01AT015721"</f>
        <v>N01AT015721</v>
      </c>
      <c r="D309" s="5" t="str">
        <f>"TIOPENTAL SODICO1g AMP"</f>
        <v>TIOPENTAL SODICO1g AMP</v>
      </c>
      <c r="E309" s="5" t="str">
        <f>"1g"</f>
        <v>1g</v>
      </c>
      <c r="F309" s="5" t="str">
        <f>"AMPOLLA"</f>
        <v>AMPOLLA</v>
      </c>
      <c r="G309" s="5" t="str">
        <f>"PENTOTAL SODICO"</f>
        <v>PENTOTAL SODICO</v>
      </c>
      <c r="H309" s="6">
        <v>11700</v>
      </c>
      <c r="I309" s="6">
        <v>25575</v>
      </c>
      <c r="J309" s="5" t="s">
        <v>1</v>
      </c>
    </row>
    <row r="310" spans="1:10" x14ac:dyDescent="0.25">
      <c r="A310" s="5" t="str">
        <f>"45382-3"</f>
        <v>45382-3</v>
      </c>
      <c r="B310" s="5" t="str">
        <f>"ALF0186"</f>
        <v>ALF0186</v>
      </c>
      <c r="C310" s="5" t="str">
        <f>"D07AB004321"</f>
        <v>D07AB004321</v>
      </c>
      <c r="D310" s="5" t="str">
        <f>"CLEMASTINA 2mg/2mL AMP (TAVEGYL)"</f>
        <v>CLEMASTINA 2mg/2mL AMP (TAVEGYL)</v>
      </c>
      <c r="E310" s="5" t="str">
        <f>"2mg/2mL"</f>
        <v>2mg/2mL</v>
      </c>
      <c r="F310" s="5" t="str">
        <f>"AMPOLLA"</f>
        <v>AMPOLLA</v>
      </c>
      <c r="G310" s="5" t="str">
        <f>"CLEMASTINA"</f>
        <v>CLEMASTINA</v>
      </c>
      <c r="H310" s="6">
        <v>13200</v>
      </c>
      <c r="I310" s="6">
        <v>18000</v>
      </c>
      <c r="J310" s="5" t="s">
        <v>0</v>
      </c>
    </row>
    <row r="311" spans="1:10" x14ac:dyDescent="0.25">
      <c r="A311" s="5" t="str">
        <f>"19996378-4"</f>
        <v>19996378-4</v>
      </c>
      <c r="B311" s="5" t="str">
        <f>"ALF0469"</f>
        <v>ALF0469</v>
      </c>
      <c r="C311" s="5" t="str">
        <f>"C01CA0301"</f>
        <v>C01CA0301</v>
      </c>
      <c r="D311" s="5" t="str">
        <f>"NOREPINEFRINA 4mg AMP"</f>
        <v>NOREPINEFRINA 4mg AMP</v>
      </c>
      <c r="E311" s="5" t="str">
        <f>"1MG/ML"</f>
        <v>1MG/ML</v>
      </c>
      <c r="F311" s="5" t="str">
        <f>"AMPOLLA"</f>
        <v>AMPOLLA</v>
      </c>
      <c r="H311" s="6">
        <v>2550</v>
      </c>
      <c r="I311" s="6">
        <v>27239</v>
      </c>
      <c r="J311" s="5" t="s">
        <v>1</v>
      </c>
    </row>
    <row r="312" spans="1:10" x14ac:dyDescent="0.25">
      <c r="A312" s="5" t="str">
        <f>"19978181-1"</f>
        <v>19978181-1</v>
      </c>
      <c r="B312" s="5" t="str">
        <f>"ALF0505"</f>
        <v>ALF0505</v>
      </c>
      <c r="C312" s="5" t="str">
        <f>"C07AP035011"</f>
        <v>C07AP035011</v>
      </c>
      <c r="D312" s="5" t="str">
        <f>"PROPRANOLOL 40mg TABLETA"</f>
        <v>PROPRANOLOL 40mg TABLETA</v>
      </c>
      <c r="E312" s="5" t="str">
        <f>"40mg"</f>
        <v>40mg</v>
      </c>
      <c r="F312" s="5" t="str">
        <f>"TABLETA"</f>
        <v>TABLETA</v>
      </c>
      <c r="G312" s="5" t="str">
        <f>"PROPRANOLOL HIDROCLORURO"</f>
        <v>PROPRANOLOL HIDROCLORURO</v>
      </c>
      <c r="H312" s="6">
        <v>79</v>
      </c>
      <c r="I312" s="6">
        <v>319</v>
      </c>
      <c r="J312" s="5" t="s">
        <v>1</v>
      </c>
    </row>
    <row r="313" spans="1:10" x14ac:dyDescent="0.25">
      <c r="A313" s="5" t="str">
        <f>"19980027-6"</f>
        <v>19980027-6</v>
      </c>
      <c r="B313" s="5" t="str">
        <f>"ALF0161"</f>
        <v>ALF0161</v>
      </c>
      <c r="C313" s="5" t="str">
        <f>"J01DD62"</f>
        <v>J01DD62</v>
      </c>
      <c r="D313" s="5" t="str">
        <f>"CEFOPERAZONA 1g + SULBACTAM 0.5g  (SULPERAZON)"</f>
        <v>CEFOPERAZONA 1g + SULBACTAM 0.5g  (SULPERAZON)</v>
      </c>
      <c r="E313" s="5" t="str">
        <f>"1g + 0.5g"</f>
        <v>1g + 0.5g</v>
      </c>
      <c r="F313" s="5" t="str">
        <f>"FRASCO"</f>
        <v>FRASCO</v>
      </c>
      <c r="H313" s="6">
        <v>45000</v>
      </c>
      <c r="I313" s="6">
        <v>75250</v>
      </c>
      <c r="J313" s="5" t="s">
        <v>0</v>
      </c>
    </row>
    <row r="314" spans="1:10" x14ac:dyDescent="0.25">
      <c r="A314" s="5" t="str">
        <f>"19851-1"</f>
        <v>19851-1</v>
      </c>
      <c r="B314" s="5" t="str">
        <f>"ALF0162"</f>
        <v>ALF0162</v>
      </c>
      <c r="C314" s="5" t="str">
        <f>"J01DD01"</f>
        <v>J01DD01</v>
      </c>
      <c r="D314" s="5" t="str">
        <f>"CefOTAXimaA1g AMP"</f>
        <v>CefOTAXimaA1g AMP</v>
      </c>
      <c r="E314" s="5" t="str">
        <f>"1g"</f>
        <v>1g</v>
      </c>
      <c r="F314" s="5" t="str">
        <f t="shared" ref="F314:F331" si="10">"AMPOLLA"</f>
        <v>AMPOLLA</v>
      </c>
      <c r="H314" s="6">
        <v>2700</v>
      </c>
      <c r="I314" s="6">
        <v>42624</v>
      </c>
      <c r="J314" s="5" t="s">
        <v>0</v>
      </c>
    </row>
    <row r="315" spans="1:10" x14ac:dyDescent="0.25">
      <c r="A315" s="5" t="str">
        <f>"19954690-1"</f>
        <v>19954690-1</v>
      </c>
      <c r="B315" s="5" t="str">
        <f>"ALF0171"</f>
        <v>ALF0171</v>
      </c>
      <c r="C315" s="5" t="str">
        <f>"J01MA02"</f>
        <v>J01MA02</v>
      </c>
      <c r="D315" s="5" t="str">
        <f>"CIPROFLOXACINA (CLORHIDRATO)100 mg/mL (1%)SOLUCIÓN INYECTABLE 100MG"</f>
        <v>CIPROFLOXACINA (CLORHIDRATO)100 mg/mL (1%)SOLUCIÓN INYECTABLE 100MG</v>
      </c>
      <c r="E315" s="5" t="str">
        <f>"100mg"</f>
        <v>100mg</v>
      </c>
      <c r="F315" s="5" t="str">
        <f t="shared" si="10"/>
        <v>AMPOLLA</v>
      </c>
      <c r="G315" s="5" t="str">
        <f>"CIPROFLOXACINO"</f>
        <v>CIPROFLOXACINO</v>
      </c>
      <c r="H315" s="6">
        <v>1859</v>
      </c>
      <c r="I315" s="6">
        <v>12870</v>
      </c>
      <c r="J315" s="5" t="s">
        <v>1</v>
      </c>
    </row>
    <row r="316" spans="1:10" x14ac:dyDescent="0.25">
      <c r="A316" s="5" t="str">
        <f>"20002059-1"</f>
        <v>20002059-1</v>
      </c>
      <c r="B316" s="5" t="str">
        <f>"ALF0184"</f>
        <v>ALF0184</v>
      </c>
      <c r="C316" s="5" t="str">
        <f>"J01FA09"</f>
        <v>J01FA09</v>
      </c>
      <c r="D316" s="5" t="str">
        <f>"CLARITROMICINA 500mg AMP"</f>
        <v>CLARITROMICINA 500mg AMP</v>
      </c>
      <c r="E316" s="5" t="str">
        <f>"500mg"</f>
        <v>500mg</v>
      </c>
      <c r="F316" s="5" t="str">
        <f t="shared" si="10"/>
        <v>AMPOLLA</v>
      </c>
      <c r="H316" s="6">
        <v>23920</v>
      </c>
      <c r="I316" s="6">
        <v>35700</v>
      </c>
      <c r="J316" s="5" t="s">
        <v>1</v>
      </c>
    </row>
    <row r="317" spans="1:10" x14ac:dyDescent="0.25">
      <c r="A317" s="5" t="str">
        <f>"19946811-5"</f>
        <v>19946811-5</v>
      </c>
      <c r="B317" s="5" t="str">
        <f>"ALF0305"</f>
        <v>ALF0305</v>
      </c>
      <c r="C317" s="5" t="str">
        <f>"J01GG003702"</f>
        <v>J01GG003702</v>
      </c>
      <c r="D317" s="5" t="str">
        <f>"GENTAMICINA  40mg/1mL AMP"</f>
        <v>GENTAMICINA  40mg/1mL AMP</v>
      </c>
      <c r="E317" s="5" t="str">
        <f>"40mg/1mL"</f>
        <v>40mg/1mL</v>
      </c>
      <c r="F317" s="5" t="str">
        <f t="shared" si="10"/>
        <v>AMPOLLA</v>
      </c>
      <c r="H317" s="6">
        <v>485</v>
      </c>
      <c r="I317" s="6">
        <v>2300</v>
      </c>
      <c r="J317" s="5" t="s">
        <v>1</v>
      </c>
    </row>
    <row r="318" spans="1:10" x14ac:dyDescent="0.25">
      <c r="A318" s="5" t="str">
        <f>"212533-1"</f>
        <v>212533-1</v>
      </c>
      <c r="B318" s="5" t="str">
        <f>"ALF0306"</f>
        <v>ALF0306</v>
      </c>
      <c r="C318" s="5" t="str">
        <f>"J01GG003704"</f>
        <v>J01GG003704</v>
      </c>
      <c r="D318" s="5" t="str">
        <f>"GENTAMICINA 160 mg/2mL AMPOLLA*"</f>
        <v>GENTAMICINA 160 mg/2mL AMPOLLA*</v>
      </c>
      <c r="E318" s="5" t="str">
        <f>"160mg/2mL"</f>
        <v>160mg/2mL</v>
      </c>
      <c r="F318" s="5" t="str">
        <f t="shared" si="10"/>
        <v>AMPOLLA</v>
      </c>
      <c r="H318" s="6">
        <v>548</v>
      </c>
      <c r="I318" s="6">
        <v>5338</v>
      </c>
      <c r="J318" s="5" t="s">
        <v>0</v>
      </c>
    </row>
    <row r="319" spans="1:10" x14ac:dyDescent="0.25">
      <c r="A319" s="5" t="str">
        <f>"J01GG003701"</f>
        <v>J01GG003701</v>
      </c>
      <c r="B319" s="5" t="str">
        <f>"ALF0307"</f>
        <v>ALF0307</v>
      </c>
      <c r="C319" s="5" t="str">
        <f>"J01GB03"</f>
        <v>J01GB03</v>
      </c>
      <c r="D319" s="5" t="str">
        <f>"GENTAMICINA 20mg/2mL AMP"</f>
        <v>GENTAMICINA 20mg/2mL AMP</v>
      </c>
      <c r="E319" s="5" t="str">
        <f>"20mg/2mL"</f>
        <v>20mg/2mL</v>
      </c>
      <c r="F319" s="5" t="str">
        <f t="shared" si="10"/>
        <v>AMPOLLA</v>
      </c>
      <c r="G319" s="5" t="str">
        <f>"GENTAMICINA"</f>
        <v>GENTAMICINA</v>
      </c>
      <c r="H319" s="6">
        <v>507</v>
      </c>
      <c r="I319" s="6">
        <v>1667</v>
      </c>
      <c r="J319" s="5" t="s">
        <v>1</v>
      </c>
    </row>
    <row r="320" spans="1:10" x14ac:dyDescent="0.25">
      <c r="A320" s="5" t="str">
        <f>"19946811-5"</f>
        <v>19946811-5</v>
      </c>
      <c r="B320" s="5" t="str">
        <f>"ALF0308"</f>
        <v>ALF0308</v>
      </c>
      <c r="C320" s="5" t="str">
        <f>"J01GG003703"</f>
        <v>J01GG003703</v>
      </c>
      <c r="D320" s="5" t="str">
        <f>"GENTAMICINA 80mg/2mL AMP"</f>
        <v>GENTAMICINA 80mg/2mL AMP</v>
      </c>
      <c r="E320" s="5" t="str">
        <f>"80mg/2mL"</f>
        <v>80mg/2mL</v>
      </c>
      <c r="F320" s="5" t="str">
        <f t="shared" si="10"/>
        <v>AMPOLLA</v>
      </c>
      <c r="G320" s="5" t="str">
        <f>"GENTAMICINA"</f>
        <v>GENTAMICINA</v>
      </c>
      <c r="H320" s="6">
        <v>485</v>
      </c>
      <c r="I320" s="6">
        <v>3558</v>
      </c>
      <c r="J320" s="5" t="s">
        <v>1</v>
      </c>
    </row>
    <row r="321" spans="1:10" x14ac:dyDescent="0.25">
      <c r="A321" s="5" t="str">
        <f>"19996741-1"</f>
        <v>19996741-1</v>
      </c>
      <c r="B321" s="5" t="str">
        <f>"ALF0350"</f>
        <v>ALF0350</v>
      </c>
      <c r="C321" s="5" t="str">
        <f>"J01DI004721"</f>
        <v>J01DI004721</v>
      </c>
      <c r="D321" s="5" t="str">
        <f>"IMIPENEM + CLISTATINA 500mg AMP"</f>
        <v>IMIPENEM + CLISTATINA 500mg AMP</v>
      </c>
      <c r="E321" s="5" t="str">
        <f>"500mg+500mg"</f>
        <v>500mg+500mg</v>
      </c>
      <c r="F321" s="5" t="str">
        <f t="shared" si="10"/>
        <v>AMPOLLA</v>
      </c>
      <c r="H321" s="6">
        <v>20000</v>
      </c>
      <c r="I321" s="6">
        <v>119117</v>
      </c>
      <c r="J321" s="5" t="s">
        <v>1</v>
      </c>
    </row>
    <row r="322" spans="1:10" x14ac:dyDescent="0.25">
      <c r="A322" s="5" t="str">
        <f>"19942150-1"</f>
        <v>19942150-1</v>
      </c>
      <c r="B322" s="5" t="str">
        <f>"ALF0427"</f>
        <v>ALF0427</v>
      </c>
      <c r="C322" s="5" t="str">
        <f>"J01CM026722"</f>
        <v>J01CM026722</v>
      </c>
      <c r="D322" s="5" t="str">
        <f>"MEROPENEM 1g AMP"</f>
        <v>MEROPENEM 1g AMP</v>
      </c>
      <c r="E322" s="5" t="str">
        <f>"1g"</f>
        <v>1g</v>
      </c>
      <c r="F322" s="5" t="str">
        <f t="shared" si="10"/>
        <v>AMPOLLA</v>
      </c>
      <c r="H322" s="6">
        <v>28350</v>
      </c>
      <c r="I322" s="6">
        <v>43970</v>
      </c>
      <c r="J322" s="5" t="s">
        <v>1</v>
      </c>
    </row>
    <row r="323" spans="1:10" x14ac:dyDescent="0.25">
      <c r="A323" s="5" t="str">
        <f>"19954438-1"</f>
        <v>19954438-1</v>
      </c>
      <c r="B323" s="5" t="str">
        <f>"ALF0429"</f>
        <v>ALF0429</v>
      </c>
      <c r="C323" s="5" t="str">
        <f>"J01CM026721"</f>
        <v>J01CM026721</v>
      </c>
      <c r="D323" s="5" t="str">
        <f>"MEROPENEN 500mg AMP"</f>
        <v>MEROPENEN 500mg AMP</v>
      </c>
      <c r="E323" s="5" t="str">
        <f>"500mg"</f>
        <v>500mg</v>
      </c>
      <c r="F323" s="5" t="str">
        <f t="shared" si="10"/>
        <v>AMPOLLA</v>
      </c>
      <c r="H323" s="6">
        <v>28350</v>
      </c>
      <c r="I323" s="6">
        <v>21985</v>
      </c>
      <c r="J323" s="5" t="s">
        <v>1</v>
      </c>
    </row>
    <row r="324" spans="1:10" x14ac:dyDescent="0.25">
      <c r="A324" s="5" t="str">
        <f>"222155-2"</f>
        <v>222155-2</v>
      </c>
      <c r="B324" s="5" t="str">
        <f>"ALF0483"</f>
        <v>ALF0483</v>
      </c>
      <c r="C324" s="5" t="str">
        <f>"J01CO004721"</f>
        <v>J01CO004721</v>
      </c>
      <c r="D324" s="5" t="str">
        <f>"OXACILINA SODICA 1g AMP"</f>
        <v>OXACILINA SODICA 1g AMP</v>
      </c>
      <c r="E324" s="5" t="str">
        <f>"1g"</f>
        <v>1g</v>
      </c>
      <c r="F324" s="5" t="str">
        <f t="shared" si="10"/>
        <v>AMPOLLA</v>
      </c>
      <c r="G324" s="5" t="str">
        <f>"OXACILINA"</f>
        <v>OXACILINA</v>
      </c>
      <c r="H324" s="6">
        <v>1596</v>
      </c>
      <c r="I324" s="6">
        <v>8199</v>
      </c>
      <c r="J324" s="5" t="s">
        <v>1</v>
      </c>
    </row>
    <row r="325" spans="1:10" x14ac:dyDescent="0.25">
      <c r="A325" s="5" t="str">
        <f>"219603-3"</f>
        <v>219603-3</v>
      </c>
      <c r="B325" s="5" t="str">
        <f>"ALF0486"</f>
        <v>ALF0486</v>
      </c>
      <c r="C325" s="5" t="str">
        <f>"J01CP005721"</f>
        <v>J01CP005721</v>
      </c>
      <c r="D325" s="5" t="str">
        <f>"PENICILINA / G BENZATINICA 1.20000UI AMP"</f>
        <v>PENICILINA / G BENZATINICA 1.20000UI AMP</v>
      </c>
      <c r="E325" s="5" t="str">
        <f>"1.20000UI"</f>
        <v>1.20000UI</v>
      </c>
      <c r="F325" s="5" t="str">
        <f t="shared" si="10"/>
        <v>AMPOLLA</v>
      </c>
      <c r="G325" s="5" t="str">
        <f>"PENICILINA BENZATINICA"</f>
        <v>PENICILINA BENZATINICA</v>
      </c>
      <c r="H325" s="6">
        <v>1661</v>
      </c>
      <c r="I325" s="6">
        <v>4500</v>
      </c>
      <c r="J325" s="5" t="s">
        <v>1</v>
      </c>
    </row>
    <row r="326" spans="1:10" x14ac:dyDescent="0.25">
      <c r="A326" s="5" t="str">
        <f>"220027-13"</f>
        <v>220027-13</v>
      </c>
      <c r="B326" s="5" t="str">
        <f>"ALF0488"</f>
        <v>ALF0488</v>
      </c>
      <c r="C326" s="5" t="str">
        <f>"J01CP007721"</f>
        <v>J01CP007721</v>
      </c>
      <c r="D326" s="5" t="str">
        <f>"PENICILINA G SODICA 1.000000UI AMP"</f>
        <v>PENICILINA G SODICA 1.000000UI AMP</v>
      </c>
      <c r="E326" s="5" t="str">
        <f>"1.000000UI"</f>
        <v>1.000000UI</v>
      </c>
      <c r="F326" s="5" t="str">
        <f t="shared" si="10"/>
        <v>AMPOLLA</v>
      </c>
      <c r="G326" s="5" t="str">
        <f>"PENICILINA G SODICA"</f>
        <v>PENICILINA G SODICA</v>
      </c>
      <c r="H326" s="6">
        <v>938</v>
      </c>
      <c r="I326" s="6">
        <v>2385</v>
      </c>
      <c r="J326" s="5" t="s">
        <v>1</v>
      </c>
    </row>
    <row r="327" spans="1:10" x14ac:dyDescent="0.25">
      <c r="A327" s="5" t="str">
        <f>"19976389-1"</f>
        <v>19976389-1</v>
      </c>
      <c r="B327" s="5" t="str">
        <f>"ALF0489"</f>
        <v>ALF0489</v>
      </c>
      <c r="C327" s="5" t="str">
        <f>"J01CR0501"</f>
        <v>J01CR0501</v>
      </c>
      <c r="D327" s="5" t="str">
        <f>"PIPERACILINA + TAZOBACTAN 4.5g AMP"</f>
        <v>PIPERACILINA + TAZOBACTAN 4.5g AMP</v>
      </c>
      <c r="E327" s="5" t="str">
        <f>"4.5g"</f>
        <v>4.5g</v>
      </c>
      <c r="F327" s="5" t="str">
        <f t="shared" si="10"/>
        <v>AMPOLLA</v>
      </c>
      <c r="H327" s="6">
        <v>9360</v>
      </c>
      <c r="I327" s="6">
        <v>98671</v>
      </c>
      <c r="J327" s="5" t="s">
        <v>1</v>
      </c>
    </row>
    <row r="328" spans="1:10" x14ac:dyDescent="0.25">
      <c r="A328" s="5" t="str">
        <f>"19951050-1"</f>
        <v>19951050-1</v>
      </c>
      <c r="B328" s="5" t="str">
        <f>"ALF0598"</f>
        <v>ALF0598</v>
      </c>
      <c r="C328" s="5" t="str">
        <f>"J01ET025701"</f>
        <v>J01ET025701</v>
      </c>
      <c r="D328" s="5" t="str">
        <f>"TRIMETROPIM 80mg / SULFAMETOXASOL 400mg AMP"</f>
        <v>TRIMETROPIM 80mg / SULFAMETOXASOL 400mg AMP</v>
      </c>
      <c r="E328" s="5" t="str">
        <f>"80mg / 400mg"</f>
        <v>80mg / 400mg</v>
      </c>
      <c r="F328" s="5" t="str">
        <f t="shared" si="10"/>
        <v>AMPOLLA</v>
      </c>
      <c r="H328" s="6">
        <v>6000</v>
      </c>
      <c r="I328" s="6">
        <v>40840</v>
      </c>
      <c r="J328" s="5" t="s">
        <v>1</v>
      </c>
    </row>
    <row r="329" spans="1:10" x14ac:dyDescent="0.25">
      <c r="A329" s="5" t="str">
        <f>"98181-2"</f>
        <v>98181-2</v>
      </c>
      <c r="B329" s="5" t="str">
        <f>"ALF0640"</f>
        <v>ALF0640</v>
      </c>
      <c r="C329" s="5" t="str">
        <f>"J01XV013721"</f>
        <v>J01XV013721</v>
      </c>
      <c r="D329" s="5" t="str">
        <f>"VANCOMICINA (CLORHIDRATO)500 mg de base POLVO ESTÉRIL PARA INYECCIÓN"</f>
        <v>VANCOMICINA (CLORHIDRATO)500 mg de base POLVO ESTÉRIL PARA INYECCIÓN</v>
      </c>
      <c r="E329" s="5" t="str">
        <f>"500mg"</f>
        <v>500mg</v>
      </c>
      <c r="F329" s="5" t="str">
        <f t="shared" si="10"/>
        <v>AMPOLLA</v>
      </c>
      <c r="G329" s="5" t="str">
        <f>"VANCOMICINA"</f>
        <v>VANCOMICINA</v>
      </c>
      <c r="H329" s="6">
        <v>7200</v>
      </c>
      <c r="I329" s="6">
        <v>50883</v>
      </c>
      <c r="J329" s="5" t="s">
        <v>1</v>
      </c>
    </row>
    <row r="330" spans="1:10" x14ac:dyDescent="0.25">
      <c r="A330" s="5" t="str">
        <f>"20040917-2"</f>
        <v>20040917-2</v>
      </c>
      <c r="B330" s="5" t="str">
        <f>"ALF0573"</f>
        <v>ALF0573</v>
      </c>
      <c r="C330" s="5" t="str">
        <f>"J06AS017701"</f>
        <v>J06AS017701</v>
      </c>
      <c r="D330" s="5" t="str">
        <f>"SUERO ANTIOFIDICO POLIVALENTE 10mL AMP"</f>
        <v>SUERO ANTIOFIDICO POLIVALENTE 10mL AMP</v>
      </c>
      <c r="F330" s="5" t="str">
        <f t="shared" si="10"/>
        <v>AMPOLLA</v>
      </c>
      <c r="H330" s="6">
        <v>183700</v>
      </c>
      <c r="I330" s="6">
        <v>250000</v>
      </c>
      <c r="J330" s="5" t="s">
        <v>1</v>
      </c>
    </row>
    <row r="331" spans="1:10" x14ac:dyDescent="0.25">
      <c r="A331" s="5" t="str">
        <f>"19963887-1"</f>
        <v>19963887-1</v>
      </c>
      <c r="B331" s="5" t="str">
        <f>"ALF0481"</f>
        <v>ALF0481</v>
      </c>
      <c r="C331" s="5" t="str">
        <f>"A04AO008701"</f>
        <v>A04AO008701</v>
      </c>
      <c r="D331" s="5" t="str">
        <f>"ONDASETRON 8mg/4mL AMP"</f>
        <v>ONDASETRON 8mg/4mL AMP</v>
      </c>
      <c r="E331" s="5" t="str">
        <f>"8mg/4mL"</f>
        <v>8mg/4mL</v>
      </c>
      <c r="F331" s="5" t="str">
        <f t="shared" si="10"/>
        <v>AMPOLLA</v>
      </c>
      <c r="H331" s="6">
        <v>2060</v>
      </c>
      <c r="I331" s="6">
        <v>32000</v>
      </c>
      <c r="J331" s="5" t="s">
        <v>0</v>
      </c>
    </row>
    <row r="332" spans="1:10" x14ac:dyDescent="0.25">
      <c r="A332" s="5" t="str">
        <f>"19931156-2"</f>
        <v>19931156-2</v>
      </c>
      <c r="B332" s="5" t="str">
        <f>"ALF0202"</f>
        <v>ALF0202</v>
      </c>
      <c r="C332" s="5" t="str">
        <f>"M04AC034011"</f>
        <v>M04AC034011</v>
      </c>
      <c r="D332" s="5" t="str">
        <f>"COLCHICINA 0.5mg TAB"</f>
        <v>COLCHICINA 0.5mg TAB</v>
      </c>
      <c r="E332" s="5" t="str">
        <f>"0.5mg"</f>
        <v>0.5mg</v>
      </c>
      <c r="F332" s="5" t="str">
        <f>"TABLETA"</f>
        <v>TABLETA</v>
      </c>
      <c r="H332" s="6">
        <v>41</v>
      </c>
      <c r="I332" s="6">
        <v>470</v>
      </c>
      <c r="J332" s="5" t="s">
        <v>1</v>
      </c>
    </row>
    <row r="333" spans="1:10" x14ac:dyDescent="0.25">
      <c r="A333" s="5" t="str">
        <f>"20025518-1"</f>
        <v>20025518-1</v>
      </c>
      <c r="B333" s="5" t="str">
        <f>"ALF0381"</f>
        <v>ALF0381</v>
      </c>
      <c r="C333" s="5" t="str">
        <f>"C07AG0101"</f>
        <v>C07AG0101</v>
      </c>
      <c r="D333" s="5" t="str">
        <f>"LABETALOL HCl 100mg (DIBLORAC)"</f>
        <v>LABETALOL HCl 100mg (DIBLORAC)</v>
      </c>
      <c r="E333" s="5" t="str">
        <f>"100mg"</f>
        <v>100mg</v>
      </c>
      <c r="F333" s="5" t="str">
        <f>"AMPOLLA"</f>
        <v>AMPOLLA</v>
      </c>
      <c r="H333" s="6">
        <v>43750</v>
      </c>
      <c r="I333" s="6">
        <v>105468</v>
      </c>
      <c r="J333" s="5" t="s">
        <v>0</v>
      </c>
    </row>
    <row r="334" spans="1:10" x14ac:dyDescent="0.25">
      <c r="A334" s="5" t="str">
        <f>"19917658-1"</f>
        <v>19917658-1</v>
      </c>
      <c r="B334" s="5" t="str">
        <f>"ALF0229"</f>
        <v>ALF0229</v>
      </c>
      <c r="C334" s="5" t="str">
        <f>"M01AB05"</f>
        <v>M01AB05</v>
      </c>
      <c r="D334" s="5" t="str">
        <f>"DICLOFENACO 75mg/3mL AMP"</f>
        <v>DICLOFENACO 75mg/3mL AMP</v>
      </c>
      <c r="E334" s="5" t="str">
        <f>"75/3ML"</f>
        <v>75/3ML</v>
      </c>
      <c r="F334" s="5" t="str">
        <f>"AMPOLLA"</f>
        <v>AMPOLLA</v>
      </c>
      <c r="G334" s="5" t="str">
        <f>"DICLOFENACO"</f>
        <v>DICLOFENACO</v>
      </c>
      <c r="H334" s="6">
        <v>438</v>
      </c>
      <c r="I334" s="6">
        <v>1972</v>
      </c>
      <c r="J334" s="5" t="s">
        <v>1</v>
      </c>
    </row>
    <row r="335" spans="1:10" x14ac:dyDescent="0.25">
      <c r="A335" s="5" t="str">
        <f>"19940343-2"</f>
        <v>19940343-2</v>
      </c>
      <c r="B335" s="5" t="str">
        <f>"ALF0430"</f>
        <v>ALF0430</v>
      </c>
      <c r="C335" s="5" t="str">
        <f>"A07EM026031"</f>
        <v>A07EM026031</v>
      </c>
      <c r="D335" s="5" t="str">
        <f>"MESALAZINA 500mg TABLETAS"</f>
        <v>MESALAZINA 500mg TABLETAS</v>
      </c>
      <c r="E335" s="5" t="str">
        <f>"500mg"</f>
        <v>500mg</v>
      </c>
      <c r="F335" s="5" t="str">
        <f>"TABLETA"</f>
        <v>TABLETA</v>
      </c>
      <c r="H335" s="6">
        <v>1042</v>
      </c>
      <c r="I335" s="6">
        <v>4000</v>
      </c>
      <c r="J335" s="5" t="s">
        <v>1</v>
      </c>
    </row>
    <row r="336" spans="1:10" x14ac:dyDescent="0.25">
      <c r="A336" s="5" t="str">
        <f>"19901001-1"</f>
        <v>19901001-1</v>
      </c>
      <c r="B336" s="5" t="str">
        <f>"ALF0242"</f>
        <v>ALF0242</v>
      </c>
      <c r="C336" s="5" t="str">
        <f>"C01CD029701"</f>
        <v>C01CD029701</v>
      </c>
      <c r="D336" s="5" t="str">
        <f>"DOPamina200mg AMP"</f>
        <v>DOPamina200mg AMP</v>
      </c>
      <c r="E336" s="5" t="str">
        <f>"200MG"</f>
        <v>200MG</v>
      </c>
      <c r="F336" s="5" t="str">
        <f t="shared" ref="F336:F348" si="11">"AMPOLLA"</f>
        <v>AMPOLLA</v>
      </c>
      <c r="H336" s="6">
        <v>1125</v>
      </c>
      <c r="I336" s="6">
        <v>18000</v>
      </c>
      <c r="J336" s="5" t="s">
        <v>1</v>
      </c>
    </row>
    <row r="337" spans="1:10" x14ac:dyDescent="0.25">
      <c r="A337" s="5" t="str">
        <f>"19930286-1"</f>
        <v>19930286-1</v>
      </c>
      <c r="B337" s="5" t="str">
        <f>"ALF0255"</f>
        <v>ALF0255</v>
      </c>
      <c r="C337" s="5" t="str">
        <f>"B05BM027251"</f>
        <v>B05BM027251</v>
      </c>
      <c r="D337" s="5" t="str">
        <f>"EPINEFrina 1mg AMP (ADRENALINA)"</f>
        <v>EPINEFrina 1mg AMP (ADRENALINA)</v>
      </c>
      <c r="E337" s="5" t="str">
        <f>"1MG/1ML"</f>
        <v>1MG/1ML</v>
      </c>
      <c r="F337" s="5" t="str">
        <f t="shared" si="11"/>
        <v>AMPOLLA</v>
      </c>
      <c r="H337" s="6">
        <v>615</v>
      </c>
      <c r="I337" s="6">
        <v>1450</v>
      </c>
      <c r="J337" s="5" t="s">
        <v>1</v>
      </c>
    </row>
    <row r="338" spans="1:10" x14ac:dyDescent="0.25">
      <c r="A338" s="5" t="str">
        <f>"19976571-4"</f>
        <v>19976571-4</v>
      </c>
      <c r="B338" s="5" t="str">
        <f>"ALF0432"</f>
        <v>ALF0432</v>
      </c>
      <c r="C338" s="5" t="str">
        <f>"C01AB007701"</f>
        <v>C01AB007701</v>
      </c>
      <c r="D338" s="5" t="str">
        <f>"METILDIGOXINA 0.2mg/2ML AMP"</f>
        <v>METILDIGOXINA 0.2mg/2ML AMP</v>
      </c>
      <c r="E338" s="5" t="str">
        <f>"0.2MG"</f>
        <v>0.2MG</v>
      </c>
      <c r="F338" s="5" t="str">
        <f t="shared" si="11"/>
        <v>AMPOLLA</v>
      </c>
      <c r="H338" s="6">
        <v>8100</v>
      </c>
      <c r="I338" s="6">
        <v>11200</v>
      </c>
      <c r="J338" s="5" t="s">
        <v>1</v>
      </c>
    </row>
    <row r="339" spans="1:10" x14ac:dyDescent="0.25">
      <c r="A339" s="5" t="str">
        <f>"19961688-5"</f>
        <v>19961688-5</v>
      </c>
      <c r="B339" s="5" t="str">
        <f>"ALF0289"</f>
        <v>ALF0289</v>
      </c>
      <c r="C339" s="5" t="str">
        <f>"B02BF008701"</f>
        <v>B02BF008701</v>
      </c>
      <c r="D339" s="5" t="str">
        <f>"NO UTILIZAR***********FITOMENADIONA 10mg AMP"</f>
        <v>NO UTILIZAR***********FITOMENADIONA 10mg AMP</v>
      </c>
      <c r="E339" s="5" t="str">
        <f>"10MG"</f>
        <v>10MG</v>
      </c>
      <c r="F339" s="5" t="str">
        <f t="shared" si="11"/>
        <v>AMPOLLA</v>
      </c>
      <c r="G339" s="5" t="str">
        <f>"FITOMENADIONA"</f>
        <v>FITOMENADIONA</v>
      </c>
      <c r="H339" s="6">
        <v>756</v>
      </c>
      <c r="I339" s="6">
        <v>5200</v>
      </c>
      <c r="J339" s="5" t="s">
        <v>1</v>
      </c>
    </row>
    <row r="340" spans="1:10" x14ac:dyDescent="0.25">
      <c r="A340" s="5" t="str">
        <f>"B02BF008701"</f>
        <v>B02BF008701</v>
      </c>
      <c r="B340" s="5" t="str">
        <f>"ALF0290"</f>
        <v>ALF0290</v>
      </c>
      <c r="C340" s="5" t="str">
        <f>"B02B F008701"</f>
        <v>B02B F008701</v>
      </c>
      <c r="D340" s="5" t="str">
        <f>"FITOMENADIONA 1mg AMP"</f>
        <v>FITOMENADIONA 1mg AMP</v>
      </c>
      <c r="E340" s="5" t="str">
        <f>"1MG/0.5ML"</f>
        <v>1MG/0.5ML</v>
      </c>
      <c r="F340" s="5" t="str">
        <f t="shared" si="11"/>
        <v>AMPOLLA</v>
      </c>
      <c r="G340" s="5" t="str">
        <f>"FITOMENADIONA"</f>
        <v>FITOMENADIONA</v>
      </c>
      <c r="H340" s="6">
        <v>863</v>
      </c>
      <c r="I340" s="6">
        <v>7575</v>
      </c>
      <c r="J340" s="5" t="s">
        <v>1</v>
      </c>
    </row>
    <row r="341" spans="1:10" x14ac:dyDescent="0.25">
      <c r="A341" s="5" t="str">
        <f>"19940721-5"</f>
        <v>19940721-5</v>
      </c>
      <c r="B341" s="5" t="str">
        <f>"ALF0332"</f>
        <v>ALF0332</v>
      </c>
      <c r="C341" s="5" t="str">
        <f>"H02AH008721"</f>
        <v>H02AH008721</v>
      </c>
      <c r="D341" s="5" t="str">
        <f>"HIDROCORTISONA 100mg AMP"</f>
        <v>HIDROCORTISONA 100mg AMP</v>
      </c>
      <c r="E341" s="5" t="str">
        <f>"100mg"</f>
        <v>100mg</v>
      </c>
      <c r="F341" s="5" t="str">
        <f t="shared" si="11"/>
        <v>AMPOLLA</v>
      </c>
      <c r="G341" s="5" t="str">
        <f>"HIDROCORTIZONA"</f>
        <v>HIDROCORTIZONA</v>
      </c>
      <c r="H341" s="6">
        <v>2250</v>
      </c>
      <c r="I341" s="6">
        <v>31800</v>
      </c>
      <c r="J341" s="5" t="s">
        <v>1</v>
      </c>
    </row>
    <row r="342" spans="1:10" x14ac:dyDescent="0.25">
      <c r="A342" s="5" t="str">
        <f>"19990590-6"</f>
        <v>19990590-6</v>
      </c>
      <c r="B342" s="5" t="str">
        <f>"ALF0435"</f>
        <v>ALF0435</v>
      </c>
      <c r="C342" s="5" t="str">
        <f>"H02AM013721"</f>
        <v>H02AM013721</v>
      </c>
      <c r="D342" s="5" t="str">
        <f>"METILPREDNISOLONA 500mg AMP"</f>
        <v>METILPREDNISOLONA 500mg AMP</v>
      </c>
      <c r="E342" s="5" t="str">
        <f>"500mg"</f>
        <v>500mg</v>
      </c>
      <c r="F342" s="5" t="str">
        <f t="shared" si="11"/>
        <v>AMPOLLA</v>
      </c>
      <c r="G342" s="5" t="str">
        <f>"METILPREDNISOLONA"</f>
        <v>METILPREDNISOLONA</v>
      </c>
      <c r="H342" s="6">
        <v>15000</v>
      </c>
      <c r="I342" s="6">
        <v>59000</v>
      </c>
      <c r="J342" s="5" t="s">
        <v>1</v>
      </c>
    </row>
    <row r="343" spans="1:10" x14ac:dyDescent="0.25">
      <c r="A343" s="5" t="str">
        <f>"19978645-4"</f>
        <v>19978645-4</v>
      </c>
      <c r="B343" s="5" t="str">
        <f>"ALF0300"</f>
        <v>ALF0300</v>
      </c>
      <c r="C343" s="5" t="str">
        <f>"C03CF017701"</f>
        <v>C03CF017701</v>
      </c>
      <c r="D343" s="5" t="str">
        <f>"FUROSEMIDA 20mg/2mL AMP"</f>
        <v>FUROSEMIDA 20mg/2mL AMP</v>
      </c>
      <c r="E343" s="5" t="str">
        <f>"20mg"</f>
        <v>20mg</v>
      </c>
      <c r="F343" s="5" t="str">
        <f t="shared" si="11"/>
        <v>AMPOLLA</v>
      </c>
      <c r="H343" s="6">
        <v>455</v>
      </c>
      <c r="I343" s="6">
        <v>1663</v>
      </c>
      <c r="J343" s="5" t="s">
        <v>1</v>
      </c>
    </row>
    <row r="344" spans="1:10" x14ac:dyDescent="0.25">
      <c r="A344" s="5" t="str">
        <f>"19970582"</f>
        <v>19970582</v>
      </c>
      <c r="B344" s="5" t="str">
        <f>"ALF0351"</f>
        <v>ALF0351</v>
      </c>
      <c r="C344" s="5" t="str">
        <f>"J06BI007701"</f>
        <v>J06BI007701</v>
      </c>
      <c r="D344" s="5" t="str">
        <f>"INMUNOGLOBULINA ANTI-D (RH) 250mcgX 2ML AMP"</f>
        <v>INMUNOGLOBULINA ANTI-D (RH) 250mcgX 2ML AMP</v>
      </c>
      <c r="E344" s="5" t="str">
        <f>"250mcg/2ml"</f>
        <v>250mcg/2ml</v>
      </c>
      <c r="F344" s="5" t="str">
        <f t="shared" si="11"/>
        <v>AMPOLLA</v>
      </c>
      <c r="H344" s="6">
        <v>300000</v>
      </c>
      <c r="I344" s="6">
        <v>405000</v>
      </c>
      <c r="J344" s="5" t="s">
        <v>1</v>
      </c>
    </row>
    <row r="345" spans="1:10" x14ac:dyDescent="0.25">
      <c r="A345" s="5" t="str">
        <f>"20028659-1"</f>
        <v>20028659-1</v>
      </c>
      <c r="B345" s="5" t="str">
        <f>"ALF0783"</f>
        <v>ALF0783</v>
      </c>
      <c r="C345" s="5" t="str">
        <f>"J01DD02"</f>
        <v>J01DD02</v>
      </c>
      <c r="D345" s="5" t="str">
        <f>"CefTAZLdima X 1 GR AMPOLLA"</f>
        <v>CefTAZLdima X 1 GR AMPOLLA</v>
      </c>
      <c r="E345" s="5" t="str">
        <f>"1gr"</f>
        <v>1gr</v>
      </c>
      <c r="F345" s="5" t="str">
        <f t="shared" si="11"/>
        <v>AMPOLLA</v>
      </c>
      <c r="H345" s="6">
        <v>3700</v>
      </c>
      <c r="I345" s="6">
        <v>35368</v>
      </c>
      <c r="J345" s="5" t="s">
        <v>0</v>
      </c>
    </row>
    <row r="346" spans="1:10" x14ac:dyDescent="0.25">
      <c r="A346" s="5" t="str">
        <f>"19928410-1"</f>
        <v>19928410-1</v>
      </c>
      <c r="B346" s="5" t="str">
        <f>"ALF0694"</f>
        <v>ALF0694</v>
      </c>
      <c r="C346" s="5" t="str">
        <f>"N07A N004 70 1"</f>
        <v>N07A N004 70 1</v>
      </c>
      <c r="D346" s="5" t="str">
        <f>"NEOSTIGMINA0.5MG AMPOLLA"</f>
        <v>NEOSTIGMINA0.5MG AMPOLLA</v>
      </c>
      <c r="E346" s="5" t="str">
        <f>"0.5MG"</f>
        <v>0.5MG</v>
      </c>
      <c r="F346" s="5" t="str">
        <f t="shared" si="11"/>
        <v>AMPOLLA</v>
      </c>
      <c r="H346" s="6">
        <v>750</v>
      </c>
      <c r="I346" s="6">
        <v>3750</v>
      </c>
      <c r="J346" s="5" t="s">
        <v>1</v>
      </c>
    </row>
    <row r="347" spans="1:10" x14ac:dyDescent="0.25">
      <c r="A347" s="5" t="str">
        <f>"218006-3"</f>
        <v>218006-3</v>
      </c>
      <c r="B347" s="5" t="str">
        <f>"ALF0906"</f>
        <v>ALF0906</v>
      </c>
      <c r="C347" s="5" t="str">
        <f>"J01CP005722"</f>
        <v>J01CP005722</v>
      </c>
      <c r="D347" s="5" t="str">
        <f>"PENICILINA /G  BENZATINICA 2400000UI AMP"</f>
        <v>PENICILINA /G  BENZATINICA 2400000UI AMP</v>
      </c>
      <c r="E347" s="5" t="str">
        <f>"2400000UI AMP"</f>
        <v>2400000UI AMP</v>
      </c>
      <c r="F347" s="5" t="str">
        <f t="shared" si="11"/>
        <v>AMPOLLA</v>
      </c>
      <c r="G347" s="5" t="str">
        <f>"PENICILINA BENZATINICA"</f>
        <v>PENICILINA BENZATINICA</v>
      </c>
      <c r="H347" s="6">
        <v>1970</v>
      </c>
      <c r="I347" s="6">
        <v>7800</v>
      </c>
      <c r="J347" s="5" t="s">
        <v>1</v>
      </c>
    </row>
    <row r="348" spans="1:10" x14ac:dyDescent="0.25">
      <c r="B348" s="5" t="str">
        <f>"ALF0979"</f>
        <v>ALF0979</v>
      </c>
      <c r="C348" s="5" t="str">
        <f>"ALF0979"</f>
        <v>ALF0979</v>
      </c>
      <c r="D348" s="5" t="str">
        <f>"CISATRACURIO 10mg/5mL"</f>
        <v>CISATRACURIO 10mg/5mL</v>
      </c>
      <c r="E348" s="5" t="str">
        <f>"10mg/5mL"</f>
        <v>10mg/5mL</v>
      </c>
      <c r="F348" s="5" t="str">
        <f t="shared" si="11"/>
        <v>AMPOLLA</v>
      </c>
      <c r="H348" s="6">
        <v>26250</v>
      </c>
      <c r="I348" s="6">
        <v>34125</v>
      </c>
      <c r="J348" s="5" t="s">
        <v>0</v>
      </c>
    </row>
    <row r="349" spans="1:10" x14ac:dyDescent="0.25">
      <c r="A349" s="5" t="str">
        <f>"19982059-2"</f>
        <v>19982059-2</v>
      </c>
      <c r="B349" s="5" t="str">
        <f>"ALF0010"</f>
        <v>ALF0010</v>
      </c>
      <c r="C349" s="5" t="str">
        <f>"R05CA005451"</f>
        <v>R05CA005451</v>
      </c>
      <c r="D349" s="5" t="str">
        <f>"ACETILCISTEINA 10%  SLN PARA NEVULIZAR FCOx25mL"</f>
        <v>ACETILCISTEINA 10%  SLN PARA NEVULIZAR FCOx25mL</v>
      </c>
      <c r="E349" s="5" t="str">
        <f>"10%"</f>
        <v>10%</v>
      </c>
      <c r="F349" s="5" t="str">
        <f>"FRASCO"</f>
        <v>FRASCO</v>
      </c>
      <c r="H349" s="6">
        <v>23450</v>
      </c>
      <c r="I349" s="6">
        <v>26500</v>
      </c>
      <c r="J349" s="5" t="s">
        <v>1</v>
      </c>
    </row>
    <row r="350" spans="1:10" x14ac:dyDescent="0.25">
      <c r="A350" s="5" t="str">
        <f>"20013148"</f>
        <v>20013148</v>
      </c>
      <c r="B350" s="5" t="str">
        <f>"ALF0011"</f>
        <v>ALF0011</v>
      </c>
      <c r="C350" s="5" t="str">
        <f>"R05CA005701"</f>
        <v>R05CA005701</v>
      </c>
      <c r="D350" s="5" t="str">
        <f>"ACETILCISTEINA  AMP 300mg/3mL"</f>
        <v>ACETILCISTEINA  AMP 300mg/3mL</v>
      </c>
      <c r="E350" s="5" t="str">
        <f>"100mg/mL"</f>
        <v>100mg/mL</v>
      </c>
      <c r="F350" s="5" t="str">
        <f>"AMPOLLA"</f>
        <v>AMPOLLA</v>
      </c>
      <c r="G350" s="5" t="str">
        <f>"ACETILCISTEINA"</f>
        <v>ACETILCISTEINA</v>
      </c>
      <c r="H350" s="6">
        <v>5760</v>
      </c>
      <c r="I350" s="6">
        <v>6400</v>
      </c>
      <c r="J350" s="5" t="s">
        <v>1</v>
      </c>
    </row>
    <row r="351" spans="1:10" x14ac:dyDescent="0.25">
      <c r="A351" s="5" t="str">
        <f>"19966944-5"</f>
        <v>19966944-5</v>
      </c>
      <c r="B351" s="5" t="str">
        <f>"ALF0087"</f>
        <v>ALF0087</v>
      </c>
      <c r="C351" s="5" t="str">
        <f>"C10AA0501"</f>
        <v>C10AA0501</v>
      </c>
      <c r="D351" s="5" t="str">
        <f>"atorvastatina tab 20 mg"</f>
        <v>atorvastatina tab 20 mg</v>
      </c>
      <c r="E351" s="5" t="str">
        <f>"20mg"</f>
        <v>20mg</v>
      </c>
      <c r="F351" s="5" t="str">
        <f>"TABLETA"</f>
        <v>TABLETA</v>
      </c>
      <c r="G351" s="5" t="str">
        <f>"C10AA05"</f>
        <v>C10AA05</v>
      </c>
      <c r="H351" s="6">
        <v>85</v>
      </c>
      <c r="I351" s="6">
        <v>3170</v>
      </c>
      <c r="J351" s="5" t="s">
        <v>1</v>
      </c>
    </row>
    <row r="352" spans="1:10" x14ac:dyDescent="0.25">
      <c r="A352" s="5" t="str">
        <f>"20011402-2"</f>
        <v>20011402-2</v>
      </c>
      <c r="B352" s="5" t="str">
        <f>"ALF0121"</f>
        <v>ALF0121</v>
      </c>
      <c r="C352" s="5" t="str">
        <f>"C09CA06"</f>
        <v>C09CA06</v>
      </c>
      <c r="D352" s="5" t="str">
        <f>"CANDESARTAN 8 MG TAB"</f>
        <v>CANDESARTAN 8 MG TAB</v>
      </c>
      <c r="E352" s="5" t="str">
        <f>"8mg"</f>
        <v>8mg</v>
      </c>
      <c r="F352" s="5" t="str">
        <f>"TABLETA"</f>
        <v>TABLETA</v>
      </c>
      <c r="H352" s="6">
        <v>1678.57</v>
      </c>
      <c r="I352" s="6">
        <v>3010</v>
      </c>
      <c r="J352" s="5" t="s">
        <v>0</v>
      </c>
    </row>
    <row r="353" spans="1:10" x14ac:dyDescent="0.25">
      <c r="A353" s="5" t="str">
        <f>"19950623-1"</f>
        <v>19950623-1</v>
      </c>
      <c r="B353" s="5" t="str">
        <f>"ALF0233"</f>
        <v>ALF0233</v>
      </c>
      <c r="C353" s="5" t="str">
        <f>"N07CA91"</f>
        <v>N07CA91</v>
      </c>
      <c r="D353" s="5" t="str">
        <f>"DIMENHIDRINATO 50mg TAB"</f>
        <v>DIMENHIDRINATO 50mg TAB</v>
      </c>
      <c r="E353" s="5" t="str">
        <f>"50mg"</f>
        <v>50mg</v>
      </c>
      <c r="F353" s="5" t="str">
        <f>"TABLETA"</f>
        <v>TABLETA</v>
      </c>
      <c r="H353" s="6">
        <v>83</v>
      </c>
      <c r="I353" s="6">
        <v>160</v>
      </c>
      <c r="J353" s="5" t="s">
        <v>1</v>
      </c>
    </row>
    <row r="354" spans="1:10" x14ac:dyDescent="0.25">
      <c r="A354" s="5" t="str">
        <f>"19943175-1"</f>
        <v>19943175-1</v>
      </c>
      <c r="B354" s="5" t="str">
        <f>"ALF0103"</f>
        <v>ALF0103</v>
      </c>
      <c r="C354" s="5" t="str">
        <f>"A06AB02"</f>
        <v>A06AB02</v>
      </c>
      <c r="D354" s="5" t="str">
        <f>"BISACODILO 5mg TAB"</f>
        <v>BISACODILO 5mg TAB</v>
      </c>
      <c r="E354" s="5" t="str">
        <f>"5MG"</f>
        <v>5MG</v>
      </c>
      <c r="F354" s="5" t="str">
        <f>"TABLETA"</f>
        <v>TABLETA</v>
      </c>
      <c r="H354" s="6">
        <v>45</v>
      </c>
      <c r="I354" s="6">
        <v>633</v>
      </c>
      <c r="J354" s="5" t="s">
        <v>1</v>
      </c>
    </row>
    <row r="355" spans="1:10" x14ac:dyDescent="0.25">
      <c r="A355" s="5" t="str">
        <f>"19391-1"</f>
        <v>19391-1</v>
      </c>
      <c r="B355" s="5" t="str">
        <f>"ALF0864"</f>
        <v>ALF0864</v>
      </c>
      <c r="C355" s="5" t="str">
        <f>"R06AC026221"</f>
        <v>R06AC026221</v>
      </c>
      <c r="D355" s="5" t="str">
        <f>"CLORFENIRAMINA MALEATO 2MG/5ML"</f>
        <v>CLORFENIRAMINA MALEATO 2MG/5ML</v>
      </c>
      <c r="E355" s="5" t="str">
        <f>"2MG/ML"</f>
        <v>2MG/ML</v>
      </c>
      <c r="F355" s="5" t="str">
        <f>"FRASCO"</f>
        <v>FRASCO</v>
      </c>
      <c r="H355" s="6">
        <v>1800</v>
      </c>
      <c r="I355" s="6">
        <v>3800</v>
      </c>
      <c r="J355" s="5" t="s">
        <v>1</v>
      </c>
    </row>
    <row r="356" spans="1:10" x14ac:dyDescent="0.25">
      <c r="A356" s="5" t="str">
        <f>"19917356-4"</f>
        <v>19917356-4</v>
      </c>
      <c r="B356" s="5" t="str">
        <f>"ALF0504"</f>
        <v>ALF0504</v>
      </c>
      <c r="C356" s="5" t="str">
        <f>"N01AX10"</f>
        <v>N01AX10</v>
      </c>
      <c r="D356" s="5" t="str">
        <f>"PROPOFOL (1%) 10mg/mL  X 20mL (LIPURO)"</f>
        <v>PROPOFOL (1%) 10mg/mL  X 20mL (LIPURO)</v>
      </c>
      <c r="E356" s="5" t="str">
        <f>"10mg/mL"</f>
        <v>10mg/mL</v>
      </c>
      <c r="F356" s="5" t="str">
        <f>"AMPOLLA"</f>
        <v>AMPOLLA</v>
      </c>
      <c r="G356" s="5" t="str">
        <f>"PROPOFOL"</f>
        <v>PROPOFOL</v>
      </c>
      <c r="H356" s="6">
        <v>8800</v>
      </c>
      <c r="I356" s="6">
        <v>25000</v>
      </c>
      <c r="J356" s="5" t="s">
        <v>0</v>
      </c>
    </row>
    <row r="357" spans="1:10" x14ac:dyDescent="0.25">
      <c r="A357" s="5" t="str">
        <f>"48096-1"</f>
        <v>48096-1</v>
      </c>
      <c r="B357" s="5" t="str">
        <f>"ALF0249"</f>
        <v>ALF0249</v>
      </c>
      <c r="C357" s="5" t="str">
        <f>"A11HP015141"</f>
        <v>A11HP015141</v>
      </c>
      <c r="D357" s="5" t="str">
        <f>"ELEMENTOS TRAZA 10mL AMP (TRACUTIL) SUPLEMENTO DE MINERALES"</f>
        <v>ELEMENTOS TRAZA 10mL AMP (TRACUTIL) SUPLEMENTO DE MINERALES</v>
      </c>
      <c r="E357" s="5" t="str">
        <f>"10ML"</f>
        <v>10ML</v>
      </c>
      <c r="F357" s="5" t="str">
        <f>"AMPOLLA"</f>
        <v>AMPOLLA</v>
      </c>
      <c r="H357" s="6">
        <v>14865</v>
      </c>
      <c r="I357" s="6">
        <v>16946</v>
      </c>
      <c r="J357" s="5" t="s">
        <v>1</v>
      </c>
    </row>
    <row r="358" spans="1:10" x14ac:dyDescent="0.25">
      <c r="A358" s="5" t="str">
        <f>"B05AP019771"</f>
        <v>B05AP019771</v>
      </c>
      <c r="B358" s="5" t="str">
        <f>"ALF0721"</f>
        <v>ALF0721</v>
      </c>
      <c r="C358" s="5" t="str">
        <f>"B05A P019 77 1"</f>
        <v>B05A P019 77 1</v>
      </c>
      <c r="D358" s="5" t="str">
        <f>"FRACCION PROTEICA- PLASMA HUM.- 500 ML SOLUCION INYECTABLE"</f>
        <v>FRACCION PROTEICA- PLASMA HUM.- 500 ML SOLUCION INYECTABLE</v>
      </c>
      <c r="E358" s="5" t="str">
        <f>"500ML"</f>
        <v>500ML</v>
      </c>
      <c r="F358" s="5" t="str">
        <f>"FRASCO"</f>
        <v>FRASCO</v>
      </c>
      <c r="H358" s="6">
        <v>38400</v>
      </c>
      <c r="I358" s="6">
        <v>75000</v>
      </c>
      <c r="J358" s="5" t="s">
        <v>1</v>
      </c>
    </row>
    <row r="359" spans="1:10" x14ac:dyDescent="0.25">
      <c r="A359" s="5" t="str">
        <f>"33711-2"</f>
        <v>33711-2</v>
      </c>
      <c r="B359" s="5" t="str">
        <f>"ALF0739"</f>
        <v>ALF0739</v>
      </c>
      <c r="C359" s="5" t="str">
        <f>"ALF0739"</f>
        <v>ALF0739</v>
      </c>
      <c r="D359" s="5" t="str">
        <f>"EMULSIONES GRASAS FRASCO X 250 ML (LIPOFUNDIN)"</f>
        <v>EMULSIONES GRASAS FRASCO X 250 ML (LIPOFUNDIN)</v>
      </c>
      <c r="E359" s="5" t="str">
        <f>"20%"</f>
        <v>20%</v>
      </c>
      <c r="F359" s="5" t="str">
        <f>"FRASCO"</f>
        <v>FRASCO</v>
      </c>
      <c r="H359" s="6">
        <v>25000</v>
      </c>
      <c r="I359" s="6">
        <v>79674</v>
      </c>
      <c r="J359" s="5" t="s">
        <v>1</v>
      </c>
    </row>
    <row r="360" spans="1:10" x14ac:dyDescent="0.25">
      <c r="A360" s="5" t="str">
        <f>"33711-1"</f>
        <v>33711-1</v>
      </c>
      <c r="B360" s="5" t="str">
        <f>"ALF0740"</f>
        <v>ALF0740</v>
      </c>
      <c r="C360" s="5" t="str">
        <f>"B05BA02"</f>
        <v>B05BA02</v>
      </c>
      <c r="D360" s="5" t="str">
        <f>"EMULSIONES GRASAS 20%  X 100 ML"</f>
        <v>EMULSIONES GRASAS 20%  X 100 ML</v>
      </c>
      <c r="E360" s="5" t="str">
        <f>"20% X 100ML"</f>
        <v>20% X 100ML</v>
      </c>
      <c r="F360" s="5" t="str">
        <f>"FRASCO"</f>
        <v>FRASCO</v>
      </c>
      <c r="H360" s="6">
        <v>48600</v>
      </c>
      <c r="I360" s="6">
        <v>53910</v>
      </c>
      <c r="J360" s="5" t="s">
        <v>1</v>
      </c>
    </row>
    <row r="361" spans="1:10" x14ac:dyDescent="0.25">
      <c r="A361" s="5" t="str">
        <f>"19940611"</f>
        <v>19940611</v>
      </c>
      <c r="B361" s="5" t="str">
        <f>"ALF8005"</f>
        <v>ALF8005</v>
      </c>
      <c r="C361" s="5" t="str">
        <f>"N02AT020201"</f>
        <v>N02AT020201</v>
      </c>
      <c r="D361" s="5" t="str">
        <f>"TRAMADOL  GOTAS 100MG/ML"</f>
        <v>TRAMADOL  GOTAS 100MG/ML</v>
      </c>
      <c r="E361" s="5" t="str">
        <f>"100mg"</f>
        <v>100mg</v>
      </c>
      <c r="F361" s="5" t="str">
        <f>"FRASCO CON GOTERO"</f>
        <v>FRASCO CON GOTERO</v>
      </c>
      <c r="G361" s="5" t="str">
        <f>"TRAMADOL"</f>
        <v>TRAMADOL</v>
      </c>
      <c r="H361" s="6">
        <v>1725</v>
      </c>
      <c r="I361" s="6">
        <v>14112</v>
      </c>
      <c r="J361" s="5" t="s">
        <v>1</v>
      </c>
    </row>
    <row r="362" spans="1:10" x14ac:dyDescent="0.25">
      <c r="B362" s="5" t="str">
        <f>"ALF1255"</f>
        <v>ALF1255</v>
      </c>
      <c r="D362" s="5" t="str">
        <f>"AMINOACIDO ESENC CON/SIN ELECTROLI INYEC 1SLN 10%X250ML"</f>
        <v>AMINOACIDO ESENC CON/SIN ELECTROLI INYEC 1SLN 10%X250ML</v>
      </c>
      <c r="F362" s="5" t="str">
        <f>"BOTELLA"</f>
        <v>BOTELLA</v>
      </c>
      <c r="H362" s="6">
        <v>83506</v>
      </c>
      <c r="I362" s="6">
        <v>112733</v>
      </c>
      <c r="J362" s="5" t="s">
        <v>1</v>
      </c>
    </row>
    <row r="363" spans="1:10" x14ac:dyDescent="0.25">
      <c r="A363" s="5" t="str">
        <f>"19914260-1"</f>
        <v>19914260-1</v>
      </c>
      <c r="B363" s="5" t="str">
        <f>"ALF0445"</f>
        <v>ALF0445</v>
      </c>
      <c r="C363" s="5" t="str">
        <f>"A02BB01"</f>
        <v>A02BB01</v>
      </c>
      <c r="D363" s="5" t="str">
        <f>"MISOPROSTOL 200ug TAB"</f>
        <v>MISOPROSTOL 200ug TAB</v>
      </c>
      <c r="E363" s="5" t="str">
        <f>"200ug"</f>
        <v>200ug</v>
      </c>
      <c r="F363" s="5" t="str">
        <f>"TABLETA"</f>
        <v>TABLETA</v>
      </c>
      <c r="H363" s="6">
        <v>3000</v>
      </c>
      <c r="I363" s="6">
        <v>19379</v>
      </c>
      <c r="J363" s="5" t="s">
        <v>0</v>
      </c>
    </row>
    <row r="364" spans="1:10" x14ac:dyDescent="0.25">
      <c r="A364" s="5" t="str">
        <f>"19993255-3"</f>
        <v>19993255-3</v>
      </c>
      <c r="B364" s="5" t="str">
        <f>"ALF0309"</f>
        <v>ALF0309</v>
      </c>
      <c r="C364" s="5" t="str">
        <f>"A10BG004011"</f>
        <v>A10BG004011</v>
      </c>
      <c r="D364" s="5" t="str">
        <f>"GLIBENCLAMIDA 5mg TAB"</f>
        <v>GLIBENCLAMIDA 5mg TAB</v>
      </c>
      <c r="E364" s="5" t="str">
        <f>"5mg"</f>
        <v>5mg</v>
      </c>
      <c r="F364" s="5" t="str">
        <f>"TABLETA"</f>
        <v>TABLETA</v>
      </c>
      <c r="H364" s="6">
        <v>36</v>
      </c>
      <c r="I364" s="6">
        <v>250</v>
      </c>
      <c r="J364" s="5" t="s">
        <v>1</v>
      </c>
    </row>
    <row r="365" spans="1:10" x14ac:dyDescent="0.25">
      <c r="A365" s="5" t="str">
        <f>"19967084-1"</f>
        <v>19967084-1</v>
      </c>
      <c r="B365" s="5" t="str">
        <f>"ALF0024"</f>
        <v>ALF0024</v>
      </c>
      <c r="C365" s="5" t="str">
        <f>"A05AA02"</f>
        <v>A05AA02</v>
      </c>
      <c r="D365" s="5" t="str">
        <f>"ACIDO URSODESOXICOLICO 300mg (URSACOL)"</f>
        <v>ACIDO URSODESOXICOLICO 300mg (URSACOL)</v>
      </c>
      <c r="E365" s="5" t="str">
        <f>"300MG"</f>
        <v>300MG</v>
      </c>
      <c r="F365" s="5" t="str">
        <f>"TABLETA"</f>
        <v>TABLETA</v>
      </c>
      <c r="H365" s="6">
        <v>3088</v>
      </c>
      <c r="I365" s="6">
        <v>4907</v>
      </c>
      <c r="J365" s="5" t="s">
        <v>0</v>
      </c>
    </row>
    <row r="366" spans="1:10" x14ac:dyDescent="0.25">
      <c r="A366" s="5" t="str">
        <f>"20017117-1"</f>
        <v>20017117-1</v>
      </c>
      <c r="B366" s="5" t="str">
        <f>"ALF0855"</f>
        <v>ALF0855</v>
      </c>
      <c r="C366" s="5" t="str">
        <f>"11C V019 14 1"</f>
        <v>11C V019 14 1</v>
      </c>
      <c r="D366" s="5" t="str">
        <f>"VITAMINA A 50.000 UI TAB"</f>
        <v>VITAMINA A 50.000 UI TAB</v>
      </c>
      <c r="E366" s="5" t="str">
        <f>"5000 UI"</f>
        <v>5000 UI</v>
      </c>
      <c r="F366" s="5" t="str">
        <f>"TABLETA"</f>
        <v>TABLETA</v>
      </c>
      <c r="H366" s="6">
        <v>104</v>
      </c>
      <c r="I366" s="6">
        <v>460</v>
      </c>
      <c r="J366" s="5" t="s">
        <v>1</v>
      </c>
    </row>
    <row r="367" spans="1:10" x14ac:dyDescent="0.25">
      <c r="A367" s="5" t="str">
        <f>"19914830-1"</f>
        <v>19914830-1</v>
      </c>
      <c r="B367" s="5" t="str">
        <f>"ALF0856"</f>
        <v>ALF0856</v>
      </c>
      <c r="C367" s="5" t="str">
        <f>"G01AC031501"</f>
        <v>G01AC031501</v>
      </c>
      <c r="D367" s="5" t="str">
        <f>"CLOTRIMAZOL TAB VAGINAL 100 mg"</f>
        <v>CLOTRIMAZOL TAB VAGINAL 100 mg</v>
      </c>
      <c r="E367" s="5" t="str">
        <f>"100mg"</f>
        <v>100mg</v>
      </c>
      <c r="F367" s="5" t="str">
        <f>"TABLETA"</f>
        <v>TABLETA</v>
      </c>
      <c r="H367" s="6">
        <v>186</v>
      </c>
      <c r="I367" s="6">
        <v>1400</v>
      </c>
      <c r="J367" s="5" t="s">
        <v>1</v>
      </c>
    </row>
    <row r="368" spans="1:10" x14ac:dyDescent="0.25">
      <c r="A368" s="5" t="str">
        <f>"43442-2"</f>
        <v>43442-2</v>
      </c>
      <c r="B368" s="5" t="str">
        <f>"ALF0863"</f>
        <v>ALF0863</v>
      </c>
      <c r="C368" s="5" t="str">
        <f>"A02AA018231"</f>
        <v>A02AA018231</v>
      </c>
      <c r="D368" s="5" t="str">
        <f>"HIDROXIDO DE ALUMINIO 4%, HIDROXIDO DE MAGNESIO 4%, SIMETICOMA 0.4%"</f>
        <v>HIDROXIDO DE ALUMINIO 4%, HIDROXIDO DE MAGNESIO 4%, SIMETICOMA 0.4%</v>
      </c>
      <c r="E368" s="5" t="str">
        <f>"4%,4%, 0.4%"</f>
        <v>4%,4%, 0.4%</v>
      </c>
      <c r="F368" s="5" t="str">
        <f>"FRASCO"</f>
        <v>FRASCO</v>
      </c>
      <c r="G368" s="5" t="str">
        <f>"HIDROXIDO DE ALUMINIO"</f>
        <v>HIDROXIDO DE ALUMINIO</v>
      </c>
      <c r="H368" s="6">
        <v>3324</v>
      </c>
      <c r="I368" s="6">
        <v>3800</v>
      </c>
      <c r="J368" s="5" t="s">
        <v>1</v>
      </c>
    </row>
    <row r="369" spans="1:10" x14ac:dyDescent="0.25">
      <c r="B369" s="5" t="str">
        <f>"ALF1188"</f>
        <v>ALF1188</v>
      </c>
      <c r="C369" s="5" t="str">
        <f>"ALF1188"</f>
        <v>ALF1188</v>
      </c>
      <c r="D369" s="5" t="str">
        <f>"DEFLAZACORT 6MG TABLETA"</f>
        <v>DEFLAZACORT 6MG TABLETA</v>
      </c>
      <c r="E369" s="5" t="str">
        <f>"6MG"</f>
        <v>6MG</v>
      </c>
      <c r="F369" s="5" t="str">
        <f>"TABLETA"</f>
        <v>TABLETA</v>
      </c>
      <c r="H369" s="6">
        <v>2385</v>
      </c>
      <c r="I369" s="6">
        <v>4173</v>
      </c>
      <c r="J369" s="5" t="s">
        <v>0</v>
      </c>
    </row>
    <row r="370" spans="1:10" x14ac:dyDescent="0.25">
      <c r="B370" s="5" t="str">
        <f>"ALF1126"</f>
        <v>ALF1126</v>
      </c>
      <c r="C370" s="5" t="str">
        <f>"ALF1126"</f>
        <v>ALF1126</v>
      </c>
      <c r="D370" s="5" t="str">
        <f>"TOBRAMICINA + DEXAMETAZONA  3.5GR UNGUENTO OFTALMICO"</f>
        <v>TOBRAMICINA + DEXAMETAZONA  3.5GR UNGUENTO OFTALMICO</v>
      </c>
      <c r="E370" s="5" t="str">
        <f>"3.5GR"</f>
        <v>3.5GR</v>
      </c>
      <c r="F370" s="5" t="str">
        <f>"FRASCO CON GOTERO"</f>
        <v>FRASCO CON GOTERO</v>
      </c>
      <c r="G370" s="5" t="str">
        <f>"TOBRAMICINA + DEXAMETAZONA"</f>
        <v>TOBRAMICINA + DEXAMETAZONA</v>
      </c>
      <c r="H370" s="6">
        <v>62950</v>
      </c>
      <c r="I370" s="6">
        <v>68310</v>
      </c>
      <c r="J370" s="5" t="s">
        <v>0</v>
      </c>
    </row>
    <row r="371" spans="1:10" x14ac:dyDescent="0.25">
      <c r="B371" s="5" t="str">
        <f>"ALF1214"</f>
        <v>ALF1214</v>
      </c>
      <c r="C371" s="5" t="str">
        <f>"ALF1214"</f>
        <v>ALF1214</v>
      </c>
      <c r="D371" s="5" t="str">
        <f>"FLUOROMETOLONA 0.1%-TETRIZOLINA HCI 0.025% GOTAS OFTALMICAS"</f>
        <v>FLUOROMETOLONA 0.1%-TETRIZOLINA HCI 0.025% GOTAS OFTALMICAS</v>
      </c>
      <c r="E371" s="5" t="str">
        <f>"0.1%-0.025%"</f>
        <v>0.1%-0.025%</v>
      </c>
      <c r="F371" s="5" t="str">
        <f>"FRASCO CON GOTERO"</f>
        <v>FRASCO CON GOTERO</v>
      </c>
      <c r="H371" s="6">
        <v>38300</v>
      </c>
      <c r="I371" s="6">
        <v>55350</v>
      </c>
      <c r="J371" s="5" t="s">
        <v>0</v>
      </c>
    </row>
    <row r="372" spans="1:10" x14ac:dyDescent="0.25">
      <c r="A372" s="5" t="str">
        <f>"19940111-5"</f>
        <v>19940111-5</v>
      </c>
      <c r="B372" s="5" t="str">
        <f>"ALF0507"</f>
        <v>ALF0507</v>
      </c>
      <c r="C372" s="5" t="str">
        <f>"A02BR001701"</f>
        <v>A02BR001701</v>
      </c>
      <c r="D372" s="5" t="str">
        <f>"RANITIDINA 50mg/2mL AMP"</f>
        <v>RANITIDINA 50mg/2mL AMP</v>
      </c>
      <c r="E372" s="5" t="str">
        <f>"50mg/2ml"</f>
        <v>50mg/2ml</v>
      </c>
      <c r="F372" s="5" t="str">
        <f>"AMPOLLA"</f>
        <v>AMPOLLA</v>
      </c>
      <c r="H372" s="6">
        <v>438</v>
      </c>
      <c r="I372" s="6">
        <v>1200</v>
      </c>
      <c r="J372" s="5" t="s">
        <v>1</v>
      </c>
    </row>
    <row r="373" spans="1:10" x14ac:dyDescent="0.25">
      <c r="A373" s="5" t="str">
        <f>"19976571-5"</f>
        <v>19976571-5</v>
      </c>
      <c r="B373" s="5" t="str">
        <f>"ALF0862"</f>
        <v>ALF0862</v>
      </c>
      <c r="C373" s="5" t="str">
        <f>"C01AD019201"</f>
        <v>C01AD019201</v>
      </c>
      <c r="D373" s="5" t="str">
        <f>"BETAMETILDIGOXINA 0.6 MG GOTAS X 10 ML"</f>
        <v>BETAMETILDIGOXINA 0.6 MG GOTAS X 10 ML</v>
      </c>
      <c r="E373" s="5" t="str">
        <f>"0.6mg/ML"</f>
        <v>0.6mg/ML</v>
      </c>
      <c r="F373" s="5" t="str">
        <f>"FRASCO CON GOTERO"</f>
        <v>FRASCO CON GOTERO</v>
      </c>
      <c r="G373" s="5" t="str">
        <f>"BETAMETILDIGOXINA"</f>
        <v>BETAMETILDIGOXINA</v>
      </c>
      <c r="H373" s="6">
        <v>37440</v>
      </c>
      <c r="I373" s="6">
        <v>62000</v>
      </c>
      <c r="J373" s="5" t="s">
        <v>1</v>
      </c>
    </row>
    <row r="374" spans="1:10" x14ac:dyDescent="0.25">
      <c r="B374" s="5" t="str">
        <f>"ALF1138"</f>
        <v>ALF1138</v>
      </c>
      <c r="C374" s="5" t="str">
        <f>"ALF1138"</f>
        <v>ALF1138</v>
      </c>
      <c r="D374" s="5" t="str">
        <f>"VACUNA ANTI INFLUENZA (AGRIPAL S1)"</f>
        <v>VACUNA ANTI INFLUENZA (AGRIPAL S1)</v>
      </c>
      <c r="F374" s="5" t="str">
        <f>"AMPOLLA"</f>
        <v>AMPOLLA</v>
      </c>
      <c r="H374" s="6">
        <v>84000</v>
      </c>
      <c r="I374" s="6">
        <v>113400</v>
      </c>
      <c r="J374" s="5" t="s">
        <v>0</v>
      </c>
    </row>
    <row r="375" spans="1:10" x14ac:dyDescent="0.25">
      <c r="B375" s="5" t="str">
        <f>"ALF0574"</f>
        <v>ALF0574</v>
      </c>
      <c r="C375" s="5" t="str">
        <f>"A07CS002251"</f>
        <v>A07CS002251</v>
      </c>
      <c r="D375" s="5" t="str">
        <f>"SUERO ORAL SOBRE 27.9 G"</f>
        <v>SUERO ORAL SOBRE 27.9 G</v>
      </c>
      <c r="F375" s="5" t="str">
        <f>"UNIDAD"</f>
        <v>UNIDAD</v>
      </c>
      <c r="H375" s="6">
        <v>500</v>
      </c>
      <c r="I375" s="6">
        <v>1290</v>
      </c>
      <c r="J375" s="5" t="s">
        <v>1</v>
      </c>
    </row>
    <row r="376" spans="1:10" x14ac:dyDescent="0.25">
      <c r="A376" s="5" t="str">
        <f>"A01AC02"</f>
        <v>A01AC02</v>
      </c>
      <c r="B376" s="5" t="str">
        <f>"ALF0220"</f>
        <v>ALF0220</v>
      </c>
      <c r="C376" s="5" t="str">
        <f>"H02AB02"</f>
        <v>H02AB02</v>
      </c>
      <c r="D376" s="5" t="str">
        <f>"DexametaSONA 8mg AMP"</f>
        <v>DexametaSONA 8mg AMP</v>
      </c>
      <c r="E376" s="5" t="str">
        <f>"8mg"</f>
        <v>8mg</v>
      </c>
      <c r="F376" s="5" t="str">
        <f>"AMPOLLA"</f>
        <v>AMPOLLA</v>
      </c>
      <c r="G376" s="5" t="str">
        <f>"DEXAMETASONA FOSFATO"</f>
        <v>DEXAMETASONA FOSFATO</v>
      </c>
      <c r="H376" s="6">
        <v>497</v>
      </c>
      <c r="I376" s="6">
        <v>4250</v>
      </c>
      <c r="J376" s="5" t="s">
        <v>1</v>
      </c>
    </row>
    <row r="377" spans="1:10" x14ac:dyDescent="0.25">
      <c r="A377" s="5" t="str">
        <f>"19929092-1"</f>
        <v>19929092-1</v>
      </c>
      <c r="B377" s="5" t="str">
        <f>"ALF0320"</f>
        <v>ALF0320</v>
      </c>
      <c r="C377" s="5" t="str">
        <f>"N05AD01"</f>
        <v>N05AD01</v>
      </c>
      <c r="D377" s="5" t="str">
        <f>"HALOPeridol 5mg AMP"</f>
        <v>HALOPeridol 5mg AMP</v>
      </c>
      <c r="E377" s="5" t="str">
        <f>"5mg"</f>
        <v>5mg</v>
      </c>
      <c r="F377" s="5" t="str">
        <f>"AMPOLLA"</f>
        <v>AMPOLLA</v>
      </c>
      <c r="H377" s="6">
        <v>2880</v>
      </c>
      <c r="I377" s="6">
        <v>16568</v>
      </c>
      <c r="J377" s="5" t="s">
        <v>1</v>
      </c>
    </row>
    <row r="378" spans="1:10" x14ac:dyDescent="0.25">
      <c r="B378" s="5" t="str">
        <f>"ALF1036"</f>
        <v>ALF1036</v>
      </c>
      <c r="C378" s="5" t="str">
        <f>"ALF1036"</f>
        <v>ALF1036</v>
      </c>
      <c r="D378" s="5" t="str">
        <f>"BIPERIDENO LACTATO 5mg/ML AMP"</f>
        <v>BIPERIDENO LACTATO 5mg/ML AMP</v>
      </c>
      <c r="F378" s="5" t="str">
        <f>"AMPOLLA"</f>
        <v>AMPOLLA</v>
      </c>
      <c r="H378" s="6">
        <v>4500</v>
      </c>
      <c r="I378" s="6">
        <v>6525</v>
      </c>
      <c r="J378" s="5" t="s">
        <v>1</v>
      </c>
    </row>
    <row r="379" spans="1:10" x14ac:dyDescent="0.25">
      <c r="B379" s="5" t="str">
        <f>"ALF1263"</f>
        <v>ALF1263</v>
      </c>
      <c r="D379" s="5" t="str">
        <f>"FENTANILO 0.1MG/2ML"</f>
        <v>FENTANILO 0.1MG/2ML</v>
      </c>
      <c r="E379" s="5" t="str">
        <f>"100MCG/2ML"</f>
        <v>100MCG/2ML</v>
      </c>
      <c r="F379" s="5" t="str">
        <f>"UNIDAD"</f>
        <v>UNIDAD</v>
      </c>
      <c r="G379" s="5" t="str">
        <f>"FENTANILO"</f>
        <v>FENTANILO</v>
      </c>
      <c r="H379" s="6">
        <v>1800</v>
      </c>
      <c r="I379" s="6">
        <v>3600</v>
      </c>
      <c r="J379" s="5" t="s">
        <v>1</v>
      </c>
    </row>
    <row r="380" spans="1:10" x14ac:dyDescent="0.25">
      <c r="A380" s="5" t="str">
        <f>"19953327-1"</f>
        <v>19953327-1</v>
      </c>
      <c r="B380" s="5" t="str">
        <f>"ALF0588"</f>
        <v>ALF0588</v>
      </c>
      <c r="C380" s="5" t="str">
        <f>"P01AT012011"</f>
        <v>P01AT012011</v>
      </c>
      <c r="D380" s="5" t="str">
        <f>"TINIDAZOL 500mg TABLETAS"</f>
        <v>TINIDAZOL 500mg TABLETAS</v>
      </c>
      <c r="E380" s="5" t="str">
        <f>"500mg"</f>
        <v>500mg</v>
      </c>
      <c r="F380" s="5" t="str">
        <f>"TABLETA"</f>
        <v>TABLETA</v>
      </c>
      <c r="H380" s="6">
        <v>169</v>
      </c>
      <c r="I380" s="6">
        <v>700</v>
      </c>
      <c r="J380" s="5" t="s">
        <v>1</v>
      </c>
    </row>
    <row r="381" spans="1:10" x14ac:dyDescent="0.25">
      <c r="A381" s="5" t="str">
        <f>"19963969-1"</f>
        <v>19963969-1</v>
      </c>
      <c r="B381" s="5" t="str">
        <f>"ALF0578"</f>
        <v>ALF0578</v>
      </c>
      <c r="C381" s="5" t="str">
        <f>"B03AH011201"</f>
        <v>B03AH011201</v>
      </c>
      <c r="D381" s="5" t="str">
        <f>"SULFATO FERROSO 20 MG  GOTAS x 20mL"</f>
        <v>SULFATO FERROSO 20 MG  GOTAS x 20mL</v>
      </c>
      <c r="E381" s="5" t="str">
        <f>"125mg/1mL"</f>
        <v>125mg/1mL</v>
      </c>
      <c r="F381" s="5" t="str">
        <f>"FRASCO CON GOTERO"</f>
        <v>FRASCO CON GOTERO</v>
      </c>
      <c r="H381" s="6">
        <v>1800</v>
      </c>
      <c r="I381" s="6">
        <v>5617</v>
      </c>
      <c r="J381" s="5" t="s">
        <v>1</v>
      </c>
    </row>
    <row r="382" spans="1:10" x14ac:dyDescent="0.25">
      <c r="A382" s="5" t="str">
        <f>"226277-1"</f>
        <v>226277-1</v>
      </c>
      <c r="B382" s="5" t="str">
        <f>"ALF0579"</f>
        <v>ALF0579</v>
      </c>
      <c r="C382" s="5" t="str">
        <f>"B03AH011161"</f>
        <v>B03AH011161</v>
      </c>
      <c r="D382" s="5" t="str">
        <f>"SULFATO FERROSO 200mg TAB"</f>
        <v>SULFATO FERROSO 200mg TAB</v>
      </c>
      <c r="E382" s="5" t="str">
        <f>"200mg"</f>
        <v>200mg</v>
      </c>
      <c r="F382" s="5" t="str">
        <f>"TABLETA"</f>
        <v>TABLETA</v>
      </c>
      <c r="H382" s="6">
        <v>51</v>
      </c>
      <c r="I382" s="6">
        <v>5130</v>
      </c>
      <c r="J382" s="5" t="s">
        <v>1</v>
      </c>
    </row>
    <row r="383" spans="1:10" x14ac:dyDescent="0.25">
      <c r="A383" s="5" t="str">
        <f>"58899-2"</f>
        <v>58899-2</v>
      </c>
      <c r="B383" s="5" t="str">
        <f>"ALF0231"</f>
        <v>ALF0231</v>
      </c>
      <c r="C383" s="5" t="str">
        <f>"J01CF01"</f>
        <v>J01CF01</v>
      </c>
      <c r="D383" s="5" t="str">
        <f>"DICLOXACILINA 500mg CAPSULA"</f>
        <v>DICLOXACILINA 500mg CAPSULA</v>
      </c>
      <c r="E383" s="5" t="str">
        <f>"500mg"</f>
        <v>500mg</v>
      </c>
      <c r="F383" s="5" t="str">
        <f>"CAPSULA"</f>
        <v>CAPSULA</v>
      </c>
      <c r="H383" s="6">
        <v>417.5</v>
      </c>
      <c r="I383" s="6">
        <v>1430</v>
      </c>
      <c r="J383" s="5" t="s">
        <v>1</v>
      </c>
    </row>
    <row r="384" spans="1:10" x14ac:dyDescent="0.25">
      <c r="A384" s="5" t="str">
        <f>"C01DI020061"</f>
        <v>C01DI020061</v>
      </c>
      <c r="B384" s="5" t="str">
        <f>"ALF0235"</f>
        <v>ALF0235</v>
      </c>
      <c r="C384" s="5" t="str">
        <f>"C01DA08"</f>
        <v>C01DA08</v>
      </c>
      <c r="D384" s="5" t="str">
        <f>"DINITRATO DE ISOSORBIDE 5mg TAB"</f>
        <v>DINITRATO DE ISOSORBIDE 5mg TAB</v>
      </c>
      <c r="E384" s="5" t="str">
        <f>"5mg"</f>
        <v>5mg</v>
      </c>
      <c r="F384" s="5" t="str">
        <f>"TABLETA"</f>
        <v>TABLETA</v>
      </c>
      <c r="H384" s="6">
        <v>850</v>
      </c>
      <c r="I384" s="6">
        <v>1147</v>
      </c>
      <c r="J384" s="5" t="s">
        <v>1</v>
      </c>
    </row>
    <row r="385" spans="1:10" x14ac:dyDescent="0.25">
      <c r="A385" s="5" t="str">
        <f>"44569-2"</f>
        <v>44569-2</v>
      </c>
      <c r="B385" s="5" t="str">
        <f>"ALF0250"</f>
        <v>ALF0250</v>
      </c>
      <c r="C385" s="5" t="str">
        <f>"C09AE002012"</f>
        <v>C09AE002012</v>
      </c>
      <c r="D385" s="5" t="str">
        <f>"ENALAPRIL 20mg TAB"</f>
        <v>ENALAPRIL 20mg TAB</v>
      </c>
      <c r="E385" s="5" t="str">
        <f>"20mg"</f>
        <v>20mg</v>
      </c>
      <c r="F385" s="5" t="str">
        <f>"TABLETA"</f>
        <v>TABLETA</v>
      </c>
      <c r="H385" s="6">
        <v>58.07</v>
      </c>
      <c r="I385" s="6">
        <v>1167</v>
      </c>
      <c r="J385" s="5" t="s">
        <v>1</v>
      </c>
    </row>
    <row r="386" spans="1:10" x14ac:dyDescent="0.25">
      <c r="A386" s="5" t="str">
        <f>"21475"</f>
        <v>21475</v>
      </c>
      <c r="B386" s="5" t="str">
        <f>"ALF0200"</f>
        <v>ALF0200</v>
      </c>
      <c r="C386" s="5" t="str">
        <f>"R07AA02103"</f>
        <v>R07AA02103</v>
      </c>
      <c r="D386" s="5" t="str">
        <f>"CLOTRIMAZOL 1% x 40g CREMA TOPICA"</f>
        <v>CLOTRIMAZOL 1% x 40g CREMA TOPICA</v>
      </c>
      <c r="E386" s="5" t="str">
        <f>"1%"</f>
        <v>1%</v>
      </c>
      <c r="F386" s="5" t="str">
        <f>"UNIDAD"</f>
        <v>UNIDAD</v>
      </c>
      <c r="H386" s="6">
        <v>1800</v>
      </c>
      <c r="I386" s="6">
        <v>17000</v>
      </c>
      <c r="J386" s="5" t="s">
        <v>1</v>
      </c>
    </row>
    <row r="387" spans="1:10" x14ac:dyDescent="0.25">
      <c r="A387" s="5" t="str">
        <f>"38644-2"</f>
        <v>38644-2</v>
      </c>
      <c r="B387" s="5" t="str">
        <f>"ALF0880"</f>
        <v>ALF0880</v>
      </c>
      <c r="C387" s="5" t="str">
        <f>"N05BB0101"</f>
        <v>N05BB0101</v>
      </c>
      <c r="D387" s="5" t="str">
        <f>"HIDROXICINA HCL 100MG/2ML AMP"</f>
        <v>HIDROXICINA HCL 100MG/2ML AMP</v>
      </c>
      <c r="E387" s="5" t="str">
        <f>"100MG/2ML"</f>
        <v>100MG/2ML</v>
      </c>
      <c r="F387" s="5" t="str">
        <f>"AMPOLLA"</f>
        <v>AMPOLLA</v>
      </c>
      <c r="H387" s="6">
        <v>15100</v>
      </c>
      <c r="I387" s="6">
        <v>23000</v>
      </c>
      <c r="J387" s="5" t="s">
        <v>1</v>
      </c>
    </row>
    <row r="388" spans="1:10" x14ac:dyDescent="0.25">
      <c r="A388" s="5" t="str">
        <f>"19907804-3"</f>
        <v>19907804-3</v>
      </c>
      <c r="B388" s="5" t="str">
        <f>"ALF0989"</f>
        <v>ALF0989</v>
      </c>
      <c r="C388" s="5" t="str">
        <f>"ALF0989"</f>
        <v>ALF0989</v>
      </c>
      <c r="D388" s="5" t="str">
        <f>"CLOTRIMAZOL  CREMA VAGINAL 1%  X 40g"</f>
        <v>CLOTRIMAZOL  CREMA VAGINAL 1%  X 40g</v>
      </c>
      <c r="E388" s="5" t="str">
        <f>"1%"</f>
        <v>1%</v>
      </c>
      <c r="F388" s="5" t="str">
        <f>"TUBO COLAPSIBLE"</f>
        <v>TUBO COLAPSIBLE</v>
      </c>
      <c r="G388" s="5" t="str">
        <f>"CLOTRIMAZOL"</f>
        <v>CLOTRIMAZOL</v>
      </c>
      <c r="H388" s="6">
        <v>3000</v>
      </c>
      <c r="I388" s="6">
        <v>12000</v>
      </c>
      <c r="J388" s="5" t="s">
        <v>1</v>
      </c>
    </row>
    <row r="389" spans="1:10" x14ac:dyDescent="0.25">
      <c r="A389" s="5" t="str">
        <f>"19925924-1"</f>
        <v>19925924-1</v>
      </c>
      <c r="B389" s="5" t="str">
        <f>"ALF0480"</f>
        <v>ALF0480</v>
      </c>
      <c r="C389" s="5" t="str">
        <f>"A02BO00210"</f>
        <v>A02BO00210</v>
      </c>
      <c r="D389" s="5" t="str">
        <f>"OMEPRAZOL 40mg AMP"</f>
        <v>OMEPRAZOL 40mg AMP</v>
      </c>
      <c r="E389" s="5" t="str">
        <f>"40mg"</f>
        <v>40mg</v>
      </c>
      <c r="F389" s="5" t="str">
        <f>"AMPOLLA"</f>
        <v>AMPOLLA</v>
      </c>
      <c r="G389" s="5" t="str">
        <f>"OMEPRAZOL"</f>
        <v>OMEPRAZOL</v>
      </c>
      <c r="H389" s="6">
        <v>3198</v>
      </c>
      <c r="I389" s="6">
        <v>27306</v>
      </c>
      <c r="J389" s="5" t="s">
        <v>1</v>
      </c>
    </row>
    <row r="390" spans="1:10" x14ac:dyDescent="0.25">
      <c r="A390" s="5" t="str">
        <f>"38292-1"</f>
        <v>38292-1</v>
      </c>
      <c r="B390" s="5" t="str">
        <f>"ALF0355"</f>
        <v>ALF0355</v>
      </c>
      <c r="C390" s="5" t="str">
        <f>"A10AI008701"</f>
        <v>A10AI008701</v>
      </c>
      <c r="D390" s="5" t="str">
        <f>"INSULINA R 100UI/mL CRISTALINA  R"</f>
        <v>INSULINA R 100UI/mL CRISTALINA  R</v>
      </c>
      <c r="E390" s="5" t="str">
        <f>"100ui/ml"</f>
        <v>100ui/ml</v>
      </c>
      <c r="F390" s="5" t="str">
        <f>"AMPOLLA"</f>
        <v>AMPOLLA</v>
      </c>
      <c r="H390" s="6">
        <v>11000</v>
      </c>
      <c r="I390" s="6">
        <v>55798</v>
      </c>
      <c r="J390" s="5" t="s">
        <v>1</v>
      </c>
    </row>
    <row r="391" spans="1:10" x14ac:dyDescent="0.25">
      <c r="A391" s="5" t="str">
        <f>"37414-1"</f>
        <v>37414-1</v>
      </c>
      <c r="B391" s="5" t="str">
        <f>"ALF0676"</f>
        <v>ALF0676</v>
      </c>
      <c r="C391" s="5" t="str">
        <f>"J06AT019701"</f>
        <v>J06AT019701</v>
      </c>
      <c r="D391" s="5" t="str">
        <f>"TOXOIDE TETANICO 40 UI AMPOLLA (TETANOL)"</f>
        <v>TOXOIDE TETANICO 40 UI AMPOLLA (TETANOL)</v>
      </c>
      <c r="E391" s="5" t="str">
        <f>"0.5ML"</f>
        <v>0.5ML</v>
      </c>
      <c r="F391" s="5" t="str">
        <f>"AMPOLLA"</f>
        <v>AMPOLLA</v>
      </c>
      <c r="H391" s="6">
        <v>9100</v>
      </c>
      <c r="I391" s="6">
        <v>11504</v>
      </c>
      <c r="J391" s="5" t="s">
        <v>1</v>
      </c>
    </row>
    <row r="392" spans="1:10" x14ac:dyDescent="0.25">
      <c r="A392" s="5" t="str">
        <f>"19944689-1"</f>
        <v>19944689-1</v>
      </c>
      <c r="B392" s="5" t="str">
        <f>"ALF0277"</f>
        <v>ALF0277</v>
      </c>
      <c r="C392" s="5" t="str">
        <f>"B01A E010722"</f>
        <v>B01A E010722</v>
      </c>
      <c r="D392" s="5" t="str">
        <f>"ESTREPTOQUINASA 1500000UI AMP"</f>
        <v>ESTREPTOQUINASA 1500000UI AMP</v>
      </c>
      <c r="E392" s="5" t="str">
        <f>"15000000UI"</f>
        <v>15000000UI</v>
      </c>
      <c r="F392" s="5" t="str">
        <f>"AMPOLLA"</f>
        <v>AMPOLLA</v>
      </c>
      <c r="H392" s="6">
        <v>540000</v>
      </c>
      <c r="I392" s="6">
        <v>1775631</v>
      </c>
      <c r="J392" s="5" t="s">
        <v>1</v>
      </c>
    </row>
    <row r="393" spans="1:10" x14ac:dyDescent="0.25">
      <c r="B393" s="5" t="str">
        <f>"ALF0838"</f>
        <v>ALF0838</v>
      </c>
      <c r="C393" s="5" t="str">
        <f>"ALF0838"</f>
        <v>ALF0838</v>
      </c>
      <c r="D393" s="5" t="str">
        <f>"GUARDIX 5G AMPOLLA"</f>
        <v>GUARDIX 5G AMPOLLA</v>
      </c>
      <c r="E393" s="5" t="str">
        <f>"12.5 CMC"</f>
        <v>12.5 CMC</v>
      </c>
      <c r="F393" s="5" t="str">
        <f>"JERINGA"</f>
        <v>JERINGA</v>
      </c>
      <c r="G393" s="5" t="str">
        <f>"ACIDO HIALURONICO"</f>
        <v>ACIDO HIALURONICO</v>
      </c>
      <c r="H393" s="6">
        <v>700000</v>
      </c>
      <c r="I393" s="6">
        <v>945000</v>
      </c>
      <c r="J393" s="5" t="s">
        <v>1</v>
      </c>
    </row>
    <row r="394" spans="1:10" x14ac:dyDescent="0.25">
      <c r="A394" s="5" t="str">
        <f>"N05BA014011"</f>
        <v>N05BA014011</v>
      </c>
      <c r="B394" s="5" t="str">
        <f>"ALF0054"</f>
        <v>ALF0054</v>
      </c>
      <c r="C394" s="5" t="str">
        <f>"J01DA03572"</f>
        <v>J01DA03572</v>
      </c>
      <c r="D394" s="5" t="str">
        <f>"ALPRAZOLAM 0.25mg TAB"</f>
        <v>ALPRAZOLAM 0.25mg TAB</v>
      </c>
      <c r="E394" s="5" t="str">
        <f>"0.25mg"</f>
        <v>0.25mg</v>
      </c>
      <c r="F394" s="5" t="str">
        <f>"TABLETA"</f>
        <v>TABLETA</v>
      </c>
      <c r="H394" s="6">
        <v>95.2</v>
      </c>
      <c r="I394" s="6">
        <v>1544</v>
      </c>
      <c r="J394" s="5" t="s">
        <v>1</v>
      </c>
    </row>
    <row r="395" spans="1:10" x14ac:dyDescent="0.25">
      <c r="A395" s="5" t="str">
        <f>"N05BA014012"</f>
        <v>N05BA014012</v>
      </c>
      <c r="B395" s="5" t="str">
        <f>"ALF0055"</f>
        <v>ALF0055</v>
      </c>
      <c r="C395" s="5" t="str">
        <f>"J01ET02570"</f>
        <v>J01ET02570</v>
      </c>
      <c r="D395" s="5" t="str">
        <f>"ALPRAZOLAM 0.5 MG TAB"</f>
        <v>ALPRAZOLAM 0.5 MG TAB</v>
      </c>
      <c r="E395" s="5" t="str">
        <f>"0.5mg"</f>
        <v>0.5mg</v>
      </c>
      <c r="F395" s="5" t="str">
        <f>"TABLETA"</f>
        <v>TABLETA</v>
      </c>
      <c r="H395" s="6">
        <v>40</v>
      </c>
      <c r="I395" s="6">
        <v>3697</v>
      </c>
      <c r="J395" s="5" t="s">
        <v>1</v>
      </c>
    </row>
    <row r="396" spans="1:10" x14ac:dyDescent="0.25">
      <c r="A396" s="5" t="str">
        <f>"20018408-1"</f>
        <v>20018408-1</v>
      </c>
      <c r="B396" s="5" t="str">
        <f>"ALF0349"</f>
        <v>ALF0349</v>
      </c>
      <c r="C396" s="5" t="str">
        <f>"ALF0349"</f>
        <v>ALF0349</v>
      </c>
      <c r="D396" s="5" t="str">
        <f>"IBUPROFENO 5mg/mL AMPX2mL (PEDEA)"</f>
        <v>IBUPROFENO 5mg/mL AMPX2mL (PEDEA)</v>
      </c>
      <c r="E396" s="5" t="str">
        <f>"5mg"</f>
        <v>5mg</v>
      </c>
      <c r="F396" s="5" t="str">
        <f>"AMPOLLA"</f>
        <v>AMPOLLA</v>
      </c>
      <c r="H396" s="6">
        <v>1035000</v>
      </c>
      <c r="I396" s="6">
        <v>1071225</v>
      </c>
      <c r="J396" s="5" t="s">
        <v>0</v>
      </c>
    </row>
    <row r="397" spans="1:10" x14ac:dyDescent="0.25">
      <c r="A397" s="5" t="str">
        <f>"19908530-1"</f>
        <v>19908530-1</v>
      </c>
      <c r="B397" s="5" t="str">
        <f>"ALF0852"</f>
        <v>ALF0852</v>
      </c>
      <c r="C397" s="5" t="str">
        <f>"A12A C001 01 1"</f>
        <v>A12A C001 01 1</v>
      </c>
      <c r="D397" s="5" t="str">
        <f>"CARBONATO DE CALCIO 600MG- VIT D 200 U.I."</f>
        <v>CARBONATO DE CALCIO 600MG- VIT D 200 U.I.</v>
      </c>
      <c r="E397" s="5" t="str">
        <f>"600 mg/200 U.I"</f>
        <v>600 mg/200 U.I</v>
      </c>
      <c r="F397" s="5" t="str">
        <f>"TABLETA"</f>
        <v>TABLETA</v>
      </c>
      <c r="H397" s="6">
        <v>36</v>
      </c>
      <c r="I397" s="6">
        <v>850</v>
      </c>
      <c r="J397" s="5" t="s">
        <v>1</v>
      </c>
    </row>
    <row r="398" spans="1:10" x14ac:dyDescent="0.25">
      <c r="A398" s="5" t="str">
        <f>"19930741-1"</f>
        <v>19930741-1</v>
      </c>
      <c r="B398" s="5" t="str">
        <f>"ALF0857"</f>
        <v>ALF0857</v>
      </c>
      <c r="C398" s="5" t="str">
        <f>"N05AC032013"</f>
        <v>N05AC032013</v>
      </c>
      <c r="D398" s="5" t="str">
        <f>"CLOZAPINA 100 MG TAB"</f>
        <v>CLOZAPINA 100 MG TAB</v>
      </c>
      <c r="E398" s="5" t="str">
        <f>"100MG"</f>
        <v>100MG</v>
      </c>
      <c r="F398" s="5" t="str">
        <f>"TABLETA"</f>
        <v>TABLETA</v>
      </c>
      <c r="H398" s="6">
        <v>230</v>
      </c>
      <c r="I398" s="6">
        <v>5300</v>
      </c>
      <c r="J398" s="5" t="s">
        <v>1</v>
      </c>
    </row>
    <row r="399" spans="1:10" x14ac:dyDescent="0.25">
      <c r="B399" s="5" t="str">
        <f>"OSTM0213"</f>
        <v>OSTM0213</v>
      </c>
      <c r="C399" s="5" t="str">
        <f>"OSTM0213"</f>
        <v>OSTM0213</v>
      </c>
      <c r="D399" s="5" t="str">
        <f>"PROTESIS CUPULA RADIAL. TALLO RADIAL, CABEZA RADIAL EXATECH"</f>
        <v>PROTESIS CUPULA RADIAL. TALLO RADIAL, CABEZA RADIAL EXATECH</v>
      </c>
      <c r="F399" s="5" t="str">
        <f t="shared" ref="F399:F409" si="12">"UNIDAD"</f>
        <v>UNIDAD</v>
      </c>
      <c r="H399" s="6">
        <v>9970000</v>
      </c>
      <c r="I399" s="6">
        <v>12961000</v>
      </c>
      <c r="J399" s="5" t="s">
        <v>0</v>
      </c>
    </row>
    <row r="400" spans="1:10" x14ac:dyDescent="0.25">
      <c r="B400" s="5" t="str">
        <f>"MED069"</f>
        <v>MED069</v>
      </c>
      <c r="C400" s="5" t="str">
        <f>"MED069"</f>
        <v>MED069</v>
      </c>
      <c r="D400" s="5" t="str">
        <f>"MATRIZ OSEA DESMINERALIZADA-PUTTY 20CC"</f>
        <v>MATRIZ OSEA DESMINERALIZADA-PUTTY 20CC</v>
      </c>
      <c r="F400" s="5" t="str">
        <f t="shared" si="12"/>
        <v>UNIDAD</v>
      </c>
      <c r="H400" s="6">
        <v>13000000</v>
      </c>
      <c r="I400" s="6">
        <v>14300000</v>
      </c>
      <c r="J400" s="5" t="s">
        <v>0</v>
      </c>
    </row>
    <row r="401" spans="2:10" x14ac:dyDescent="0.25">
      <c r="B401" s="5" t="str">
        <f>"OSTM0214"</f>
        <v>OSTM0214</v>
      </c>
      <c r="C401" s="5" t="str">
        <f>"OSTM0214"</f>
        <v>OSTM0214</v>
      </c>
      <c r="D401" s="5" t="str">
        <f>"SUPER REVO FT AGUJA ANCLAJE ROSCA TOTAL DE 5.0MM SET COMPLETO"</f>
        <v>SUPER REVO FT AGUJA ANCLAJE ROSCA TOTAL DE 5.0MM SET COMPLETO</v>
      </c>
      <c r="F401" s="5" t="str">
        <f t="shared" si="12"/>
        <v>UNIDAD</v>
      </c>
      <c r="H401" s="6">
        <v>9318780</v>
      </c>
      <c r="I401" s="6">
        <v>13000000</v>
      </c>
      <c r="J401" s="5" t="s">
        <v>0</v>
      </c>
    </row>
    <row r="402" spans="2:10" x14ac:dyDescent="0.25">
      <c r="B402" s="5" t="str">
        <f>"OSTM0215"</f>
        <v>OSTM0215</v>
      </c>
      <c r="C402" s="5" t="str">
        <f>"OSTM0215"</f>
        <v>OSTM0215</v>
      </c>
      <c r="D402" s="5" t="str">
        <f>"ROTULA SISTEMA PRAXIS"</f>
        <v>ROTULA SISTEMA PRAXIS</v>
      </c>
      <c r="F402" s="5" t="str">
        <f t="shared" si="12"/>
        <v>UNIDAD</v>
      </c>
      <c r="H402" s="6">
        <v>3700000</v>
      </c>
      <c r="I402" s="6">
        <v>3700000</v>
      </c>
      <c r="J402" s="5" t="s">
        <v>0</v>
      </c>
    </row>
    <row r="403" spans="2:10" x14ac:dyDescent="0.25">
      <c r="B403" s="5" t="str">
        <f>"OSTM0216"</f>
        <v>OSTM0216</v>
      </c>
      <c r="C403" s="5" t="str">
        <f>"OSTM0216"</f>
        <v>OSTM0216</v>
      </c>
      <c r="D403" s="5" t="str">
        <f>"TORNILLOS SCHANZ TORACICO LUMBAR"</f>
        <v>TORNILLOS SCHANZ TORACICO LUMBAR</v>
      </c>
      <c r="F403" s="5" t="str">
        <f t="shared" si="12"/>
        <v>UNIDAD</v>
      </c>
      <c r="H403" s="6">
        <v>2013400</v>
      </c>
      <c r="I403" s="6">
        <v>2013400</v>
      </c>
      <c r="J403" s="5" t="s">
        <v>0</v>
      </c>
    </row>
    <row r="404" spans="2:10" x14ac:dyDescent="0.25">
      <c r="B404" s="5" t="str">
        <f>"OSEOM0009"</f>
        <v>OSEOM0009</v>
      </c>
      <c r="C404" s="5" t="str">
        <f>"OSEOM0009"</f>
        <v>OSEOM0009</v>
      </c>
      <c r="D404" s="5" t="str">
        <f>"ALAMBRE PARA ARCLAJE DE 0.4MM"</f>
        <v>ALAMBRE PARA ARCLAJE DE 0.4MM</v>
      </c>
      <c r="F404" s="5" t="str">
        <f t="shared" si="12"/>
        <v>UNIDAD</v>
      </c>
      <c r="H404" s="6">
        <v>16200</v>
      </c>
      <c r="I404" s="6">
        <v>16200</v>
      </c>
      <c r="J404" s="5" t="s">
        <v>0</v>
      </c>
    </row>
    <row r="405" spans="2:10" x14ac:dyDescent="0.25">
      <c r="B405" s="5" t="str">
        <f>"OSEOM0011"</f>
        <v>OSEOM0011</v>
      </c>
      <c r="C405" s="5" t="str">
        <f>"OSEOM0011"</f>
        <v>OSEOM0011</v>
      </c>
      <c r="D405" s="5" t="str">
        <f>"MAXI TORNILLO SISTEMA 2.4 X 8MM"</f>
        <v>MAXI TORNILLO SISTEMA 2.4 X 8MM</v>
      </c>
      <c r="F405" s="5" t="str">
        <f t="shared" si="12"/>
        <v>UNIDAD</v>
      </c>
      <c r="H405" s="6">
        <v>131143</v>
      </c>
      <c r="I405" s="6">
        <v>131143</v>
      </c>
      <c r="J405" s="5" t="s">
        <v>0</v>
      </c>
    </row>
    <row r="406" spans="2:10" x14ac:dyDescent="0.25">
      <c r="B406" s="5" t="str">
        <f>"OSEOM0012"</f>
        <v>OSEOM0012</v>
      </c>
      <c r="C406" s="5" t="str">
        <f>"OSEOM0012"</f>
        <v>OSEOM0012</v>
      </c>
      <c r="D406" s="5" t="str">
        <f>"MINI TORNILLO SISTEMA 2.0 X 8MM"</f>
        <v>MINI TORNILLO SISTEMA 2.0 X 8MM</v>
      </c>
      <c r="F406" s="5" t="str">
        <f t="shared" si="12"/>
        <v>UNIDAD</v>
      </c>
      <c r="H406" s="6">
        <v>108000</v>
      </c>
      <c r="I406" s="6">
        <v>108000</v>
      </c>
      <c r="J406" s="5" t="s">
        <v>0</v>
      </c>
    </row>
    <row r="407" spans="2:10" x14ac:dyDescent="0.25">
      <c r="B407" s="5" t="str">
        <f>"OSEOM0013"</f>
        <v>OSEOM0013</v>
      </c>
      <c r="C407" s="5" t="str">
        <f>"OSEOM0013"</f>
        <v>OSEOM0013</v>
      </c>
      <c r="D407" s="5" t="str">
        <f>"MINI TORNILLO SISTEMA 2.0 X 10MM"</f>
        <v>MINI TORNILLO SISTEMA 2.0 X 10MM</v>
      </c>
      <c r="F407" s="5" t="str">
        <f t="shared" si="12"/>
        <v>UNIDAD</v>
      </c>
      <c r="H407" s="6">
        <v>108000</v>
      </c>
      <c r="I407" s="6">
        <v>108000</v>
      </c>
      <c r="J407" s="5" t="s">
        <v>0</v>
      </c>
    </row>
    <row r="408" spans="2:10" x14ac:dyDescent="0.25">
      <c r="B408" s="5" t="str">
        <f>"OSTEM0015"</f>
        <v>OSTEM0015</v>
      </c>
      <c r="C408" s="5" t="str">
        <f>"OSTEM0015"</f>
        <v>OSTEM0015</v>
      </c>
      <c r="D408" s="5" t="str">
        <f>"MAXI TORNILLO SISTEMA 2.4 X 10MM"</f>
        <v>MAXI TORNILLO SISTEMA 2.4 X 10MM</v>
      </c>
      <c r="F408" s="5" t="str">
        <f t="shared" si="12"/>
        <v>UNIDAD</v>
      </c>
      <c r="H408" s="6">
        <v>131143</v>
      </c>
      <c r="I408" s="6">
        <v>131143</v>
      </c>
      <c r="J408" s="5" t="s">
        <v>0</v>
      </c>
    </row>
    <row r="409" spans="2:10" x14ac:dyDescent="0.25">
      <c r="B409" s="5" t="str">
        <f>"OSEOM0015"</f>
        <v>OSEOM0015</v>
      </c>
      <c r="C409" s="5" t="str">
        <f>"OSEOM0015"</f>
        <v>OSEOM0015</v>
      </c>
      <c r="D409" s="5" t="str">
        <f>"MAXI TORNILLO SISTEMA 2.4 X 10MM"</f>
        <v>MAXI TORNILLO SISTEMA 2.4 X 10MM</v>
      </c>
      <c r="F409" s="5" t="str">
        <f t="shared" si="12"/>
        <v>UNIDAD</v>
      </c>
      <c r="H409" s="6">
        <v>131143</v>
      </c>
      <c r="I409" s="6">
        <v>131143</v>
      </c>
      <c r="J409" s="5" t="s">
        <v>0</v>
      </c>
    </row>
    <row r="410" spans="2:10" x14ac:dyDescent="0.25">
      <c r="B410" s="5" t="str">
        <f>"NEU0010"</f>
        <v>NEU0010</v>
      </c>
      <c r="C410" s="5" t="str">
        <f>"NEU0010"</f>
        <v>NEU0010</v>
      </c>
      <c r="D410" s="5" t="str">
        <f>"SURGICEL FIBRILLAR EXTRAGRANDE"</f>
        <v>SURGICEL FIBRILLAR EXTRAGRANDE</v>
      </c>
      <c r="F410" s="5" t="str">
        <f t="shared" ref="F410:F413" si="13">"UNIDAD"</f>
        <v>UNIDAD</v>
      </c>
      <c r="H410" s="6">
        <v>1095000</v>
      </c>
      <c r="I410" s="6">
        <v>1095000</v>
      </c>
      <c r="J410" s="5" t="s">
        <v>0</v>
      </c>
    </row>
    <row r="411" spans="2:10" x14ac:dyDescent="0.25">
      <c r="B411" s="5" t="str">
        <f>"OSTM0221"</f>
        <v>OSTM0221</v>
      </c>
      <c r="C411" s="5" t="str">
        <f>"OSTM0221"</f>
        <v>OSTM0221</v>
      </c>
      <c r="D411" s="5" t="str">
        <f>"TORNILLO MF AUTOPERFORANTE 2.3 MM TITANIO"</f>
        <v>TORNILLO MF AUTOPERFORANTE 2.3 MM TITANIO</v>
      </c>
      <c r="F411" s="5" t="str">
        <f t="shared" si="13"/>
        <v>UNIDAD</v>
      </c>
      <c r="H411" s="6">
        <v>180000</v>
      </c>
      <c r="I411" s="6">
        <v>234000</v>
      </c>
      <c r="J411" s="5" t="s">
        <v>0</v>
      </c>
    </row>
    <row r="412" spans="2:10" x14ac:dyDescent="0.25">
      <c r="B412" s="5" t="str">
        <f>"TRAU028"</f>
        <v>TRAU028</v>
      </c>
      <c r="C412" s="5" t="str">
        <f>"TRAU028"</f>
        <v>TRAU028</v>
      </c>
      <c r="D412" s="5" t="str">
        <f>"CLAVOS ELASTICOS DE TITANIO TENS DE 2.5MM"</f>
        <v>CLAVOS ELASTICOS DE TITANIO TENS DE 2.5MM</v>
      </c>
      <c r="F412" s="5" t="str">
        <f t="shared" si="13"/>
        <v>UNIDAD</v>
      </c>
      <c r="H412" s="6">
        <v>768750</v>
      </c>
      <c r="I412" s="6">
        <v>768750</v>
      </c>
      <c r="J412" s="5" t="s">
        <v>0</v>
      </c>
    </row>
    <row r="413" spans="2:10" x14ac:dyDescent="0.25">
      <c r="B413" s="5" t="str">
        <f>"MED080"</f>
        <v>MED080</v>
      </c>
      <c r="C413" s="5" t="str">
        <f>"MED080"</f>
        <v>MED080</v>
      </c>
      <c r="D413" s="5" t="str">
        <f>"PARCHE AUDIOMESH-N 70X80"</f>
        <v>PARCHE AUDIOMESH-N 70X80</v>
      </c>
      <c r="F413" s="5" t="str">
        <f t="shared" si="13"/>
        <v>UNIDAD</v>
      </c>
      <c r="H413" s="6">
        <v>5217500</v>
      </c>
      <c r="I413" s="6">
        <v>5217500</v>
      </c>
      <c r="J413" s="5" t="s">
        <v>0</v>
      </c>
    </row>
    <row r="414" spans="2:10" x14ac:dyDescent="0.25">
      <c r="B414" s="5" t="str">
        <f>"OSTAS20030"</f>
        <v>OSTAS20030</v>
      </c>
      <c r="C414" s="5" t="str">
        <f>"OSTAS20030"</f>
        <v>OSTAS20030</v>
      </c>
      <c r="D414" s="5" t="str">
        <f>"TORNILLO DE CORTICAL DE2.4MM"</f>
        <v>TORNILLO DE CORTICAL DE2.4MM</v>
      </c>
      <c r="F414" s="5" t="str">
        <f t="shared" ref="F414" si="14">"UNIDAD"</f>
        <v>UNIDAD</v>
      </c>
      <c r="H414" s="6">
        <v>163000</v>
      </c>
      <c r="I414" s="6">
        <v>212000</v>
      </c>
      <c r="J414" s="5" t="s">
        <v>0</v>
      </c>
    </row>
    <row r="415" spans="2:10" x14ac:dyDescent="0.25">
      <c r="B415" s="5" t="str">
        <f>"alf1154"</f>
        <v>alf1154</v>
      </c>
      <c r="C415" s="5" t="str">
        <f>"alf1154"</f>
        <v>alf1154</v>
      </c>
      <c r="D415" s="5" t="str">
        <f>"NATACYN SUSP OFTAL. 0.05 X 15ML-NATAMICINA"</f>
        <v>NATACYN SUSP OFTAL. 0.05 X 15ML-NATAMICINA</v>
      </c>
      <c r="E415" s="5" t="str">
        <f>"0.05GR"</f>
        <v>0.05GR</v>
      </c>
      <c r="F415" s="5" t="str">
        <f>"FRASCO CON GOTERO"</f>
        <v>FRASCO CON GOTERO</v>
      </c>
      <c r="G415" s="5" t="str">
        <f>"NATAMICINA"</f>
        <v>NATAMICINA</v>
      </c>
      <c r="H415" s="6">
        <v>140000</v>
      </c>
      <c r="I415" s="6">
        <v>175500</v>
      </c>
      <c r="J415" s="5" t="s">
        <v>0</v>
      </c>
    </row>
    <row r="416" spans="2:10" x14ac:dyDescent="0.25">
      <c r="B416" s="5" t="str">
        <f>"ALF1155"</f>
        <v>ALF1155</v>
      </c>
      <c r="C416" s="5" t="str">
        <f>"ALF1155"</f>
        <v>ALF1155</v>
      </c>
      <c r="D416" s="5" t="str">
        <f>"GATYFLOXACINA Solución oftálmica al 0,5% ZYMARAN"</f>
        <v>GATYFLOXACINA Solución oftálmica al 0,5% ZYMARAN</v>
      </c>
      <c r="E416" s="5" t="str">
        <f>"0.3%"</f>
        <v>0.3%</v>
      </c>
      <c r="F416" s="5" t="str">
        <f>"FRASCO CON GOTERO"</f>
        <v>FRASCO CON GOTERO</v>
      </c>
      <c r="G416" s="5" t="str">
        <f>"(GATIFLOXACINA)"</f>
        <v>(GATIFLOXACINA)</v>
      </c>
      <c r="H416" s="6">
        <v>74968.5</v>
      </c>
      <c r="I416" s="6">
        <v>110700</v>
      </c>
      <c r="J416" s="5" t="s">
        <v>0</v>
      </c>
    </row>
    <row r="417" spans="1:10" x14ac:dyDescent="0.25">
      <c r="B417" s="5" t="str">
        <f>"ALF1267"</f>
        <v>ALF1267</v>
      </c>
      <c r="D417" s="5" t="str">
        <f>"ISOPTOCARPINA 2% PILOCARPINA CLORHIDRATO 2% SOLUCION OFTALMICA ESTERIL"</f>
        <v>ISOPTOCARPINA 2% PILOCARPINA CLORHIDRATO 2% SOLUCION OFTALMICA ESTERIL</v>
      </c>
      <c r="F417" s="5" t="str">
        <f>"FRASCO CON GOTERO"</f>
        <v>FRASCO CON GOTERO</v>
      </c>
      <c r="H417" s="6">
        <v>29000</v>
      </c>
      <c r="I417" s="6">
        <v>39150</v>
      </c>
      <c r="J417" s="5" t="s">
        <v>0</v>
      </c>
    </row>
    <row r="418" spans="1:10" x14ac:dyDescent="0.25">
      <c r="A418" s="5" t="str">
        <f>"40029-2"</f>
        <v>40029-2</v>
      </c>
      <c r="B418" s="5" t="str">
        <f>"ALF0335"</f>
        <v>ALF0335</v>
      </c>
      <c r="C418" s="5" t="str">
        <f>"60515"</f>
        <v>60515</v>
      </c>
      <c r="D418" s="5" t="str">
        <f>"HIDROXICINA CLORHIDRATO 12.5 MG JARABE"</f>
        <v>HIDROXICINA CLORHIDRATO 12.5 MG JARABE</v>
      </c>
      <c r="E418" s="5" t="str">
        <f>"12.5MG"</f>
        <v>12.5MG</v>
      </c>
      <c r="F418" s="5" t="str">
        <f>"FRASCO"</f>
        <v>FRASCO</v>
      </c>
      <c r="H418" s="6">
        <v>1900</v>
      </c>
      <c r="I418" s="6">
        <v>5700</v>
      </c>
      <c r="J418" s="5" t="s">
        <v>0</v>
      </c>
    </row>
    <row r="419" spans="1:10" x14ac:dyDescent="0.25">
      <c r="A419" s="5" t="str">
        <f>"32513"</f>
        <v>32513</v>
      </c>
      <c r="B419" s="5" t="str">
        <f>"ALF0907"</f>
        <v>ALF0907</v>
      </c>
      <c r="C419" s="5" t="str">
        <f>"ALF0907"</f>
        <v>ALF0907</v>
      </c>
      <c r="D419" s="5" t="str">
        <f>"HIDROXICINA CLORHIDRATO 25mg TAB"</f>
        <v>HIDROXICINA CLORHIDRATO 25mg TAB</v>
      </c>
      <c r="E419" s="5" t="str">
        <f>"25MG"</f>
        <v>25MG</v>
      </c>
      <c r="F419" s="5" t="str">
        <f>"TABLETA"</f>
        <v>TABLETA</v>
      </c>
      <c r="H419" s="6">
        <v>250</v>
      </c>
      <c r="I419" s="6">
        <v>500</v>
      </c>
      <c r="J419" s="5" t="s">
        <v>0</v>
      </c>
    </row>
    <row r="420" spans="1:10" x14ac:dyDescent="0.25">
      <c r="A420" s="5" t="str">
        <f>"19982550-1"</f>
        <v>19982550-1</v>
      </c>
      <c r="B420" s="5" t="str">
        <f>"ALF0098"</f>
        <v>ALF0098</v>
      </c>
      <c r="C420" s="5" t="str">
        <f>"R01AD01"</f>
        <v>R01AD01</v>
      </c>
      <c r="D420" s="5" t="str">
        <f>"BECLOMETASONA INHA-250ug/DOSIS"</f>
        <v>BECLOMETASONA INHA-250ug/DOSIS</v>
      </c>
      <c r="E420" s="5" t="str">
        <f>"250 MCG /200 DOSIS"</f>
        <v>250 MCG /200 DOSIS</v>
      </c>
      <c r="F420" s="5" t="str">
        <f>"INHALADOR"</f>
        <v>INHALADOR</v>
      </c>
      <c r="G420" s="5" t="str">
        <f>"BECLOMETASONA 250 MCG 10 ML INH 200 DOSIS"</f>
        <v>BECLOMETASONA 250 MCG 10 ML INH 200 DOSIS</v>
      </c>
      <c r="H420" s="6">
        <v>11205</v>
      </c>
      <c r="I420" s="6">
        <v>34286</v>
      </c>
      <c r="J420" s="5" t="s">
        <v>1</v>
      </c>
    </row>
    <row r="421" spans="1:10" x14ac:dyDescent="0.25">
      <c r="A421" s="5" t="str">
        <f>"20009479-1"</f>
        <v>20009479-1</v>
      </c>
      <c r="B421" s="5" t="str">
        <f>"ALF0671"</f>
        <v>ALF0671</v>
      </c>
      <c r="C421" s="5" t="str">
        <f>"H02AB006711"</f>
        <v>H02AB006711</v>
      </c>
      <c r="D421" s="5" t="str">
        <f>"BETAMETASONA FOSFATO ACETATO 3+3MG X 1ML AMPOLLA"</f>
        <v>BETAMETASONA FOSFATO ACETATO 3+3MG X 1ML AMPOLLA</v>
      </c>
      <c r="E421" s="5" t="str">
        <f>"3+3MG/ML"</f>
        <v>3+3MG/ML</v>
      </c>
      <c r="F421" s="5" t="str">
        <f>"AMPOLLA"</f>
        <v>AMPOLLA</v>
      </c>
      <c r="H421" s="6">
        <v>16850</v>
      </c>
      <c r="I421" s="6">
        <v>23000</v>
      </c>
      <c r="J421" s="5" t="s">
        <v>1</v>
      </c>
    </row>
    <row r="422" spans="1:10" x14ac:dyDescent="0.25">
      <c r="B422" s="5" t="str">
        <f>"ALF1077"</f>
        <v>ALF1077</v>
      </c>
      <c r="C422" s="5" t="str">
        <f>"ALF1077"</f>
        <v>ALF1077</v>
      </c>
      <c r="D422" s="5" t="str">
        <f>"OCTREOTIDE 0.1mg/Ml ( OCTRIDE )"</f>
        <v>OCTREOTIDE 0.1mg/Ml ( OCTRIDE )</v>
      </c>
      <c r="F422" s="5" t="str">
        <f>"AMPOLLA"</f>
        <v>AMPOLLA</v>
      </c>
      <c r="H422" s="6">
        <v>13861</v>
      </c>
      <c r="I422" s="6">
        <v>14700</v>
      </c>
      <c r="J422" s="5" t="s">
        <v>0</v>
      </c>
    </row>
    <row r="423" spans="1:10" x14ac:dyDescent="0.25">
      <c r="A423" s="5" t="str">
        <f>"19935309-1"</f>
        <v>19935309-1</v>
      </c>
      <c r="B423" s="5" t="str">
        <f>"ALF0187"</f>
        <v>ALF0187</v>
      </c>
      <c r="C423" s="5" t="str">
        <f>"J01FF01"</f>
        <v>J01FF01</v>
      </c>
      <c r="D423" s="5" t="str">
        <f>"CLINDAMICINA  600mg/4mL  AMP"</f>
        <v>CLINDAMICINA  600mg/4mL  AMP</v>
      </c>
      <c r="E423" s="5" t="str">
        <f>"600mg/4mL"</f>
        <v>600mg/4mL</v>
      </c>
      <c r="F423" s="5" t="str">
        <f>"AMPOLLA"</f>
        <v>AMPOLLA</v>
      </c>
      <c r="G423" s="5" t="str">
        <f>"CLINDAMICINA"</f>
        <v>CLINDAMICINA</v>
      </c>
      <c r="H423" s="6">
        <v>1820</v>
      </c>
      <c r="I423" s="6">
        <v>13500</v>
      </c>
      <c r="J423" s="5" t="s">
        <v>1</v>
      </c>
    </row>
    <row r="424" spans="1:10" x14ac:dyDescent="0.25">
      <c r="A424" s="5" t="str">
        <f>"36241-1"</f>
        <v>36241-1</v>
      </c>
      <c r="B424" s="5" t="str">
        <f>"ALF0326"</f>
        <v>ALF0326</v>
      </c>
      <c r="C424" s="5" t="str">
        <f>"B01AB05"</f>
        <v>B01AB05</v>
      </c>
      <c r="D424" s="5" t="str">
        <f>"HEPARINA BAJO P/MOLECULAR 40mg (CLEXANE)"</f>
        <v>HEPARINA BAJO P/MOLECULAR 40mg (CLEXANE)</v>
      </c>
      <c r="E424" s="5" t="str">
        <f>"40mg"</f>
        <v>40mg</v>
      </c>
      <c r="F424" s="5" t="str">
        <f>"JERINGA"</f>
        <v>JERINGA</v>
      </c>
      <c r="H424" s="6">
        <v>11475</v>
      </c>
      <c r="I424" s="6">
        <v>72500</v>
      </c>
      <c r="J424" s="5" t="s">
        <v>1</v>
      </c>
    </row>
    <row r="425" spans="1:10" x14ac:dyDescent="0.25">
      <c r="A425" s="5" t="str">
        <f>"19950452-1"</f>
        <v>19950452-1</v>
      </c>
      <c r="B425" s="5" t="str">
        <f>"ALF0329"</f>
        <v>ALF0329</v>
      </c>
      <c r="C425" s="5" t="str">
        <f>"B01AB05"</f>
        <v>B01AB05</v>
      </c>
      <c r="D425" s="5" t="str">
        <f>"HEPARINA BAJO P/MULECULAR 20mg AMP (CLENOX)"</f>
        <v>HEPARINA BAJO P/MULECULAR 20mg AMP (CLENOX)</v>
      </c>
      <c r="E425" s="5" t="str">
        <f>"20mg"</f>
        <v>20mg</v>
      </c>
      <c r="F425" s="5" t="str">
        <f>"JERINGA"</f>
        <v>JERINGA</v>
      </c>
      <c r="H425" s="6">
        <v>13500</v>
      </c>
      <c r="I425" s="6">
        <v>39763</v>
      </c>
      <c r="J425" s="5" t="s">
        <v>1</v>
      </c>
    </row>
    <row r="426" spans="1:10" x14ac:dyDescent="0.25">
      <c r="A426" s="5" t="str">
        <f>"19997621-7"</f>
        <v>19997621-7</v>
      </c>
      <c r="B426" s="5" t="str">
        <f>"ALF0219"</f>
        <v>ALF0219</v>
      </c>
      <c r="C426" s="5" t="str">
        <f>"H02AB02"</f>
        <v>H02AB02</v>
      </c>
      <c r="D426" s="5" t="str">
        <f>"DEXAMETASONA FOSFATO 4 MG/1ML AMP"</f>
        <v>DEXAMETASONA FOSFATO 4 MG/1ML AMP</v>
      </c>
      <c r="E426" s="5" t="str">
        <f>"4mg/ML"</f>
        <v>4mg/ML</v>
      </c>
      <c r="F426" s="5" t="str">
        <f>"AMPOLLA"</f>
        <v>AMPOLLA</v>
      </c>
      <c r="G426" s="5" t="str">
        <f>"DEXAMETASONA FOSFATO"</f>
        <v>DEXAMETASONA FOSFATO</v>
      </c>
      <c r="H426" s="6">
        <v>372</v>
      </c>
      <c r="I426" s="6">
        <v>3500</v>
      </c>
      <c r="J426" s="5" t="s">
        <v>1</v>
      </c>
    </row>
    <row r="427" spans="1:10" x14ac:dyDescent="0.25">
      <c r="A427" s="5" t="str">
        <f>"56401-3"</f>
        <v>56401-3</v>
      </c>
      <c r="B427" s="5" t="str">
        <f>"ALF0328"</f>
        <v>ALF0328</v>
      </c>
      <c r="C427" s="5" t="str">
        <f>"B01AH003701"</f>
        <v>B01AH003701</v>
      </c>
      <c r="D427" s="5" t="str">
        <f>"HEPARINA BAJO P/MOLECULAR 80mg (CLEXANE)"</f>
        <v>HEPARINA BAJO P/MOLECULAR 80mg (CLEXANE)</v>
      </c>
      <c r="E427" s="5" t="str">
        <f>"80mg"</f>
        <v>80mg</v>
      </c>
      <c r="F427" s="5" t="str">
        <f>"AMPOLLA"</f>
        <v>AMPOLLA</v>
      </c>
      <c r="H427" s="6">
        <v>18750</v>
      </c>
      <c r="I427" s="6">
        <v>89000</v>
      </c>
      <c r="J427" s="5" t="s">
        <v>1</v>
      </c>
    </row>
    <row r="428" spans="1:10" x14ac:dyDescent="0.25">
      <c r="A428" s="5" t="str">
        <f>"19937456-3"</f>
        <v>19937456-3</v>
      </c>
      <c r="B428" s="5" t="str">
        <f>"ALF0596"</f>
        <v>ALF0596</v>
      </c>
      <c r="C428" s="5" t="str">
        <f>"A03AA05"</f>
        <v>A03AA05</v>
      </c>
      <c r="D428" s="5" t="str">
        <f>"TRIMEBUTINA MALEATO 50 MG AMP X 5 ML"</f>
        <v>TRIMEBUTINA MALEATO 50 MG AMP X 5 ML</v>
      </c>
      <c r="E428" s="5" t="str">
        <f>"50MG X 5ML"</f>
        <v>50MG X 5ML</v>
      </c>
      <c r="F428" s="5" t="str">
        <f>"AMPOLLA"</f>
        <v>AMPOLLA</v>
      </c>
      <c r="H428" s="6">
        <v>10369</v>
      </c>
      <c r="I428" s="6">
        <v>21884</v>
      </c>
      <c r="J428" s="5" t="s">
        <v>0</v>
      </c>
    </row>
    <row r="429" spans="1:10" x14ac:dyDescent="0.25">
      <c r="A429" s="5" t="str">
        <f>"19937169-1"</f>
        <v>19937169-1</v>
      </c>
      <c r="B429" s="5" t="str">
        <f>"ALF0384"</f>
        <v>ALF0384</v>
      </c>
      <c r="C429" s="5" t="str">
        <f>"S01XA20"</f>
        <v>S01XA20</v>
      </c>
      <c r="D429" s="5" t="str">
        <f>"LAGRIMAS ARTIFICIALES (ALCOHOL POLIVINILICO) 1.4% 15 mL GOTAS"</f>
        <v>LAGRIMAS ARTIFICIALES (ALCOHOL POLIVINILICO) 1.4% 15 mL GOTAS</v>
      </c>
      <c r="E429" s="5" t="str">
        <f>"1.4% X 15ML"</f>
        <v>1.4% X 15ML</v>
      </c>
      <c r="F429" s="5" t="str">
        <f>"FRASCO CON GOTERO"</f>
        <v>FRASCO CON GOTERO</v>
      </c>
      <c r="H429" s="6">
        <v>11460</v>
      </c>
      <c r="I429" s="6">
        <v>40575</v>
      </c>
      <c r="J429" s="5" t="s">
        <v>0</v>
      </c>
    </row>
    <row r="430" spans="1:10" x14ac:dyDescent="0.25">
      <c r="A430" s="5" t="str">
        <f>"20006814-1"</f>
        <v>20006814-1</v>
      </c>
      <c r="B430" s="5" t="str">
        <f>"ALF0423"</f>
        <v>ALF0423</v>
      </c>
      <c r="C430" s="5" t="str">
        <f>"G03DA04"</f>
        <v>G03DA04</v>
      </c>
      <c r="D430" s="5" t="str">
        <f>"PROGESTERONA 200MG CAPSULA- PROGENDO"</f>
        <v>PROGESTERONA 200MG CAPSULA- PROGENDO</v>
      </c>
      <c r="E430" s="5" t="str">
        <f>"200MG"</f>
        <v>200MG</v>
      </c>
      <c r="F430" s="5" t="str">
        <f>"CAPSULA"</f>
        <v>CAPSULA</v>
      </c>
      <c r="H430" s="6">
        <v>5585</v>
      </c>
      <c r="I430" s="6">
        <v>7000</v>
      </c>
      <c r="J430" s="5" t="s">
        <v>0</v>
      </c>
    </row>
    <row r="431" spans="1:10" x14ac:dyDescent="0.25">
      <c r="A431" s="5" t="str">
        <f>"19914784"</f>
        <v>19914784</v>
      </c>
      <c r="B431" s="5" t="str">
        <f>"ALF0874"</f>
        <v>ALF0874</v>
      </c>
      <c r="C431" s="5" t="str">
        <f>"A11AA04"</f>
        <v>A11AA04</v>
      </c>
      <c r="D431" s="5" t="str">
        <f>"MULTIVITAMINICO CON HIERRO Y ZINC GOTAS  15ML"</f>
        <v>MULTIVITAMINICO CON HIERRO Y ZINC GOTAS  15ML</v>
      </c>
      <c r="F431" s="5" t="str">
        <f>"FRASCO CON GOTERO"</f>
        <v>FRASCO CON GOTERO</v>
      </c>
      <c r="H431" s="6">
        <v>16000</v>
      </c>
      <c r="I431" s="6">
        <v>21000</v>
      </c>
      <c r="J431" s="5" t="s">
        <v>0</v>
      </c>
    </row>
    <row r="432" spans="1:10" x14ac:dyDescent="0.25">
      <c r="B432" s="5" t="str">
        <f>"ALF1229"</f>
        <v>ALF1229</v>
      </c>
      <c r="D432" s="5" t="str">
        <f>"RIFAXIMINA 20MC/60ML SUSPENSION"</f>
        <v>RIFAXIMINA 20MC/60ML SUSPENSION</v>
      </c>
      <c r="F432" s="5" t="str">
        <f>"FRASCO"</f>
        <v>FRASCO</v>
      </c>
      <c r="H432" s="6">
        <v>44000</v>
      </c>
      <c r="I432" s="6">
        <v>59400</v>
      </c>
      <c r="J432" s="5" t="s">
        <v>0</v>
      </c>
    </row>
    <row r="433" spans="1:10" x14ac:dyDescent="0.25">
      <c r="A433" s="5" t="str">
        <f>"19904682-5"</f>
        <v>19904682-5</v>
      </c>
      <c r="B433" s="5" t="str">
        <f>"ALF0065"</f>
        <v>ALF0065</v>
      </c>
      <c r="C433" s="5" t="str">
        <f>"B05BA021701"</f>
        <v>B05BA021701</v>
      </c>
      <c r="D433" s="5" t="str">
        <f>"AMINOACIDO ESENCIAL CON O SIN ELECTROLITOS SLN INYECTABLE GLUTAMINA X 100mL"</f>
        <v>AMINOACIDO ESENCIAL CON O SIN ELECTROLITOS SLN INYECTABLE GLUTAMINA X 100mL</v>
      </c>
      <c r="E433" s="5" t="str">
        <f>"20g"</f>
        <v>20g</v>
      </c>
      <c r="F433" s="5" t="str">
        <f>"FRASCO"</f>
        <v>FRASCO</v>
      </c>
      <c r="G433" s="5" t="str">
        <f>"N(2)-L-ALANIL-L-GLUTAMINA"</f>
        <v>N(2)-L-ALANIL-L-GLUTAMINA</v>
      </c>
      <c r="H433" s="6">
        <v>324000</v>
      </c>
      <c r="I433" s="6">
        <v>265265</v>
      </c>
      <c r="J433" s="5" t="s">
        <v>1</v>
      </c>
    </row>
    <row r="434" spans="1:10" x14ac:dyDescent="0.25">
      <c r="A434" s="5" t="str">
        <f>"19924971-1"</f>
        <v>19924971-1</v>
      </c>
      <c r="B434" s="5" t="str">
        <f>"ALF0163"</f>
        <v>ALF0163</v>
      </c>
      <c r="C434" s="5" t="str">
        <f>"J01DB09"</f>
        <v>J01DB09</v>
      </c>
      <c r="D434" s="5" t="str">
        <f>"cefraDINA 1g AMP"</f>
        <v>cefraDINA 1g AMP</v>
      </c>
      <c r="E434" s="5" t="str">
        <f>"1g"</f>
        <v>1g</v>
      </c>
      <c r="F434" s="5" t="str">
        <f t="shared" ref="F434:F439" si="15">"AMPOLLA"</f>
        <v>AMPOLLA</v>
      </c>
      <c r="G434" s="5" t="str">
        <f>"CEFRADINA"</f>
        <v>CEFRADINA</v>
      </c>
      <c r="H434" s="6">
        <v>1884</v>
      </c>
      <c r="I434" s="6">
        <v>11400</v>
      </c>
      <c r="J434" s="5" t="s">
        <v>1</v>
      </c>
    </row>
    <row r="435" spans="1:10" x14ac:dyDescent="0.25">
      <c r="A435" s="5" t="str">
        <f>"19914225-1"</f>
        <v>19914225-1</v>
      </c>
      <c r="B435" s="5" t="str">
        <f>"ALF0437"</f>
        <v>ALF0437</v>
      </c>
      <c r="C435" s="5" t="str">
        <f>"A03FM016701"</f>
        <v>A03FM016701</v>
      </c>
      <c r="D435" s="5" t="str">
        <f>"METOCLOPRAMIDA 10mg AMP"</f>
        <v>METOCLOPRAMIDA 10mg AMP</v>
      </c>
      <c r="E435" s="5" t="str">
        <f>"10mg"</f>
        <v>10mg</v>
      </c>
      <c r="F435" s="5" t="str">
        <f t="shared" si="15"/>
        <v>AMPOLLA</v>
      </c>
      <c r="H435" s="6">
        <v>375</v>
      </c>
      <c r="I435" s="6">
        <v>1400</v>
      </c>
      <c r="J435" s="5" t="s">
        <v>1</v>
      </c>
    </row>
    <row r="436" spans="1:10" x14ac:dyDescent="0.25">
      <c r="A436" s="5" t="str">
        <f>"19388-2"</f>
        <v>19388-2</v>
      </c>
      <c r="B436" s="5" t="str">
        <f>"ALF0499"</f>
        <v>ALF0499</v>
      </c>
      <c r="C436" s="5" t="str">
        <f>"A12BP022701"</f>
        <v>A12BP022701</v>
      </c>
      <c r="D436" s="5" t="str">
        <f>"POTASIO CLORURO (14.9% ) 20mEq/10mL AMP (KATROL)"</f>
        <v>POTASIO CLORURO (14.9% ) 20mEq/10mL AMP (KATROL)</v>
      </c>
      <c r="E436" s="5" t="str">
        <f>"2mEq/1ml"</f>
        <v>2mEq/1ml</v>
      </c>
      <c r="F436" s="5" t="str">
        <f t="shared" si="15"/>
        <v>AMPOLLA</v>
      </c>
      <c r="H436" s="6">
        <v>1150</v>
      </c>
      <c r="I436" s="6">
        <v>1287</v>
      </c>
      <c r="J436" s="5" t="s">
        <v>1</v>
      </c>
    </row>
    <row r="437" spans="1:10" x14ac:dyDescent="0.25">
      <c r="A437" s="5" t="str">
        <f>"19995788-1"</f>
        <v>19995788-1</v>
      </c>
      <c r="B437" s="5" t="str">
        <f>"ALF0531"</f>
        <v>ALF0531</v>
      </c>
      <c r="C437" s="5" t="str">
        <f>"B05XS004702"</f>
        <v>B05XS004702</v>
      </c>
      <c r="D437" s="5" t="str">
        <f>"SODIO CLORURO  (11.7%)  20mEq/10mL AMP (NATROL)"</f>
        <v>SODIO CLORURO  (11.7%)  20mEq/10mL AMP (NATROL)</v>
      </c>
      <c r="E437" s="5" t="str">
        <f>"2mEq/1ml"</f>
        <v>2mEq/1ml</v>
      </c>
      <c r="F437" s="5" t="str">
        <f t="shared" si="15"/>
        <v>AMPOLLA</v>
      </c>
      <c r="H437" s="6">
        <v>805</v>
      </c>
      <c r="I437" s="6">
        <v>1300</v>
      </c>
      <c r="J437" s="5" t="s">
        <v>1</v>
      </c>
    </row>
    <row r="438" spans="1:10" x14ac:dyDescent="0.25">
      <c r="A438" s="5" t="str">
        <f>"19900781"</f>
        <v>19900781</v>
      </c>
      <c r="B438" s="5" t="str">
        <f>"ALF0681"</f>
        <v>ALF0681</v>
      </c>
      <c r="C438" s="5" t="str">
        <f>"B05BA10"</f>
        <v>B05BA10</v>
      </c>
      <c r="D438" s="5" t="str">
        <f>"MULTIVITAMINAS ADULTO AMPOLLA (VITALIPID)"</f>
        <v>MULTIVITAMINAS ADULTO AMPOLLA (VITALIPID)</v>
      </c>
      <c r="E438" s="5" t="str">
        <f>"10ML"</f>
        <v>10ML</v>
      </c>
      <c r="F438" s="5" t="str">
        <f t="shared" si="15"/>
        <v>AMPOLLA</v>
      </c>
      <c r="H438" s="6">
        <v>14300</v>
      </c>
      <c r="I438" s="6">
        <v>39818</v>
      </c>
      <c r="J438" s="5" t="s">
        <v>1</v>
      </c>
    </row>
    <row r="439" spans="1:10" x14ac:dyDescent="0.25">
      <c r="A439" s="5" t="str">
        <f>"43462-3"</f>
        <v>43462-3</v>
      </c>
      <c r="B439" s="5" t="str">
        <f>"ALF0682"</f>
        <v>ALF0682</v>
      </c>
      <c r="C439" s="5" t="str">
        <f>"B05BA10"</f>
        <v>B05BA10</v>
      </c>
      <c r="D439" s="5" t="str">
        <f>"MULTIVITAMINAS ADULTO (SOLUVIT)"</f>
        <v>MULTIVITAMINAS ADULTO (SOLUVIT)</v>
      </c>
      <c r="E439" s="5" t="str">
        <f>"10ML"</f>
        <v>10ML</v>
      </c>
      <c r="F439" s="5" t="str">
        <f t="shared" si="15"/>
        <v>AMPOLLA</v>
      </c>
      <c r="H439" s="6">
        <v>14300</v>
      </c>
      <c r="I439" s="6">
        <v>39818</v>
      </c>
      <c r="J439" s="5" t="s">
        <v>1</v>
      </c>
    </row>
    <row r="440" spans="1:10" x14ac:dyDescent="0.25">
      <c r="B440" s="5" t="str">
        <f>"ALF8007"</f>
        <v>ALF8007</v>
      </c>
      <c r="C440" s="5" t="str">
        <f>"B05BS004701"</f>
        <v>B05BS004701</v>
      </c>
      <c r="D440" s="5" t="str">
        <f>"SODIO CLORURO 0.9% X1000 ML SOLUCION INYECTABLE"</f>
        <v>SODIO CLORURO 0.9% X1000 ML SOLUCION INYECTABLE</v>
      </c>
      <c r="E440" s="5" t="str">
        <f>"0.9%"</f>
        <v>0.9%</v>
      </c>
      <c r="F440" s="5" t="str">
        <f>"UNIDAD"</f>
        <v>UNIDAD</v>
      </c>
      <c r="H440" s="6">
        <v>3800</v>
      </c>
      <c r="I440" s="6">
        <v>6663</v>
      </c>
      <c r="J440" s="5" t="s">
        <v>1</v>
      </c>
    </row>
    <row r="441" spans="1:10" x14ac:dyDescent="0.25">
      <c r="A441" s="5" t="str">
        <f>"20010881-4"</f>
        <v>20010881-4</v>
      </c>
      <c r="B441" s="5" t="str">
        <f>"ALF0577"</f>
        <v>ALF0577</v>
      </c>
      <c r="C441" s="5" t="str">
        <f>"A12CB0101"</f>
        <v>A12CB0101</v>
      </c>
      <c r="D441" s="5" t="str">
        <f>"SULFATO DE ZINC 2mg/mL x 80mL JARABE (SULZINC)"</f>
        <v>SULFATO DE ZINC 2mg/mL x 80mL JARABE (SULZINC)</v>
      </c>
      <c r="E441" s="5" t="str">
        <f>"2mg/mL"</f>
        <v>2mg/mL</v>
      </c>
      <c r="F441" s="5" t="str">
        <f>"FRASCO"</f>
        <v>FRASCO</v>
      </c>
      <c r="H441" s="6">
        <v>11739</v>
      </c>
      <c r="I441" s="6">
        <v>23000</v>
      </c>
      <c r="J441" s="5" t="s">
        <v>0</v>
      </c>
    </row>
    <row r="442" spans="1:10" x14ac:dyDescent="0.25">
      <c r="A442" s="5" t="str">
        <f>"19975104-4"</f>
        <v>19975104-4</v>
      </c>
      <c r="B442" s="5" t="str">
        <f>"ALF0385"</f>
        <v>ALF0385</v>
      </c>
      <c r="C442" s="5" t="str">
        <f>"J05AL001201"</f>
        <v>J05AL001201</v>
      </c>
      <c r="D442" s="5" t="str">
        <f>"LAMIVUDINA 10mg/mL JARABE"</f>
        <v>LAMIVUDINA 10mg/mL JARABE</v>
      </c>
      <c r="E442" s="5" t="str">
        <f>"10MG/ML"</f>
        <v>10MG/ML</v>
      </c>
      <c r="F442" s="5" t="str">
        <f>"FRASCO"</f>
        <v>FRASCO</v>
      </c>
      <c r="H442" s="6">
        <v>37800</v>
      </c>
      <c r="I442" s="6">
        <v>180557</v>
      </c>
      <c r="J442" s="5" t="s">
        <v>1</v>
      </c>
    </row>
    <row r="443" spans="1:10" x14ac:dyDescent="0.25">
      <c r="A443" s="5" t="str">
        <f>"19974944-1"</f>
        <v>19974944-1</v>
      </c>
      <c r="B443" s="5" t="str">
        <f>"ALF0670"</f>
        <v>ALF0670</v>
      </c>
      <c r="C443" s="5" t="str">
        <f>"J05AZ001201"</f>
        <v>J05AZ001201</v>
      </c>
      <c r="D443" s="5" t="str">
        <f>"ZIDOVUDINA 10mg/mL JARABE x 100mL"</f>
        <v>ZIDOVUDINA 10mg/mL JARABE x 100mL</v>
      </c>
      <c r="E443" s="5" t="str">
        <f>"10MG/ML"</f>
        <v>10MG/ML</v>
      </c>
      <c r="F443" s="5" t="str">
        <f>"FRASCO"</f>
        <v>FRASCO</v>
      </c>
      <c r="H443" s="6">
        <v>24300</v>
      </c>
      <c r="I443" s="6">
        <v>162501</v>
      </c>
      <c r="J443" s="5" t="s">
        <v>1</v>
      </c>
    </row>
    <row r="444" spans="1:10" x14ac:dyDescent="0.25">
      <c r="A444" s="5" t="str">
        <f>"19940398-1"</f>
        <v>19940398-1</v>
      </c>
      <c r="B444" s="5" t="str">
        <f>"ALF0319"</f>
        <v>ALF0319</v>
      </c>
      <c r="C444" s="5" t="str">
        <f>"N05AD01"</f>
        <v>N05AD01</v>
      </c>
      <c r="D444" s="5" t="str">
        <f>"HALOPERIDOL 10 mg TAB"</f>
        <v>HALOPERIDOL 10 mg TAB</v>
      </c>
      <c r="E444" s="5" t="str">
        <f>"10mg"</f>
        <v>10mg</v>
      </c>
      <c r="F444" s="5" t="str">
        <f>"TABLETA"</f>
        <v>TABLETA</v>
      </c>
      <c r="H444" s="6">
        <v>144</v>
      </c>
      <c r="I444" s="6">
        <v>1602</v>
      </c>
      <c r="J444" s="5" t="s">
        <v>1</v>
      </c>
    </row>
    <row r="445" spans="1:10" x14ac:dyDescent="0.25">
      <c r="A445" s="5" t="str">
        <f>"201198-2"</f>
        <v>201198-2</v>
      </c>
      <c r="B445" s="5" t="str">
        <f>"ALF0428"</f>
        <v>ALF0428</v>
      </c>
      <c r="C445" s="5" t="str">
        <f>"J01CM026722"</f>
        <v>J01CM026722</v>
      </c>
      <c r="D445" s="5" t="str">
        <f>"MEROPENEM 1g AMP (MERONEM)"</f>
        <v>MEROPENEM 1g AMP (MERONEM)</v>
      </c>
      <c r="E445" s="5" t="str">
        <f>"1g"</f>
        <v>1g</v>
      </c>
      <c r="F445" s="5" t="str">
        <f>"AMPOLLA"</f>
        <v>AMPOLLA</v>
      </c>
      <c r="H445" s="6">
        <v>1</v>
      </c>
      <c r="I445" s="6">
        <v>43970</v>
      </c>
      <c r="J445" s="5" t="s">
        <v>0</v>
      </c>
    </row>
    <row r="446" spans="1:10" x14ac:dyDescent="0.25">
      <c r="A446" s="5" t="str">
        <f>"20039341-1"</f>
        <v>20039341-1</v>
      </c>
      <c r="B446" s="5" t="str">
        <f>"ALF0776"</f>
        <v>ALF0776</v>
      </c>
      <c r="C446" s="5" t="str">
        <f>"ALF0776"</f>
        <v>ALF0776</v>
      </c>
      <c r="D446" s="5" t="str">
        <f>"TICAGRELOR 90MG TABLETA(( BRILINTA)"</f>
        <v>TICAGRELOR 90MG TABLETA(( BRILINTA)</v>
      </c>
      <c r="E446" s="5" t="str">
        <f>"90MG"</f>
        <v>90MG</v>
      </c>
      <c r="F446" s="5" t="str">
        <f t="shared" ref="F446:F451" si="16">"TABLETA"</f>
        <v>TABLETA</v>
      </c>
      <c r="H446" s="6">
        <v>4656</v>
      </c>
      <c r="I446" s="6">
        <v>5820</v>
      </c>
      <c r="J446" s="5" t="s">
        <v>0</v>
      </c>
    </row>
    <row r="447" spans="1:10" x14ac:dyDescent="0.25">
      <c r="B447" s="5" t="str">
        <f>"ALF1122"</f>
        <v>ALF1122</v>
      </c>
      <c r="C447" s="5" t="str">
        <f>"ALF1122"</f>
        <v>ALF1122</v>
      </c>
      <c r="D447" s="5" t="str">
        <f>"METOPROLOL SUCCINATO ,23.75 mg, 47.5 mg, 95 mg o 190 que corresponden a 25 mg, 50 mg, 100 mg y 200 mg de metoprolol tartrato."</f>
        <v>METOPROLOL SUCCINATO ,23.75 mg, 47.5 mg, 95 mg o 190 que corresponden a 25 mg, 50 mg, 100 mg y 200 mg de metoprolol tartrato.</v>
      </c>
      <c r="E447" s="5" t="str">
        <f>"50 mg"</f>
        <v>50 mg</v>
      </c>
      <c r="F447" s="5" t="str">
        <f t="shared" si="16"/>
        <v>TABLETA</v>
      </c>
      <c r="G447" s="5" t="str">
        <f>"METOPROLOL SUCCINATO"</f>
        <v>METOPROLOL SUCCINATO</v>
      </c>
      <c r="H447" s="6">
        <v>2292.5</v>
      </c>
      <c r="I447" s="6">
        <v>3095</v>
      </c>
      <c r="J447" s="5" t="s">
        <v>0</v>
      </c>
    </row>
    <row r="448" spans="1:10" x14ac:dyDescent="0.25">
      <c r="A448" s="5" t="str">
        <f>"1980397-1"</f>
        <v>1980397-1</v>
      </c>
      <c r="B448" s="5" t="str">
        <f>"ALF0389"</f>
        <v>ALF0389</v>
      </c>
      <c r="C448" s="5" t="str">
        <f>"N04BL003011"</f>
        <v>N04BL003011</v>
      </c>
      <c r="D448" s="5" t="str">
        <f>"LEVODOPA 250mg + CARVIDOPA  25mg TAB"</f>
        <v>LEVODOPA 250mg + CARVIDOPA  25mg TAB</v>
      </c>
      <c r="E448" s="5" t="str">
        <f>"250MG/25MG"</f>
        <v>250MG/25MG</v>
      </c>
      <c r="F448" s="5" t="str">
        <f t="shared" si="16"/>
        <v>TABLETA</v>
      </c>
      <c r="H448" s="6">
        <v>483</v>
      </c>
      <c r="I448" s="6">
        <v>1333</v>
      </c>
      <c r="J448" s="5" t="s">
        <v>1</v>
      </c>
    </row>
    <row r="449" spans="1:10" x14ac:dyDescent="0.25">
      <c r="A449" s="5" t="str">
        <f>"19905554-1"</f>
        <v>19905554-1</v>
      </c>
      <c r="B449" s="5" t="str">
        <f>"ALF0431"</f>
        <v>ALF0431</v>
      </c>
      <c r="C449" s="5" t="str">
        <f>"A10BM011011"</f>
        <v>A10BM011011</v>
      </c>
      <c r="D449" s="5" t="str">
        <f>"METFORMINA 850mg TAB"</f>
        <v>METFORMINA 850mg TAB</v>
      </c>
      <c r="E449" s="5" t="str">
        <f>"850mg"</f>
        <v>850mg</v>
      </c>
      <c r="F449" s="5" t="str">
        <f t="shared" si="16"/>
        <v>TABLETA</v>
      </c>
      <c r="H449" s="6">
        <v>81</v>
      </c>
      <c r="I449" s="6">
        <v>1107</v>
      </c>
      <c r="J449" s="5" t="s">
        <v>1</v>
      </c>
    </row>
    <row r="450" spans="1:10" x14ac:dyDescent="0.25">
      <c r="A450" s="5" t="str">
        <f>"19984719-1"</f>
        <v>19984719-1</v>
      </c>
      <c r="B450" s="5" t="str">
        <f>"ALF0582"</f>
        <v>ALF0582</v>
      </c>
      <c r="C450" s="5" t="str">
        <f>"G04CA02"</f>
        <v>G04CA02</v>
      </c>
      <c r="D450" s="5" t="str">
        <f>"TAMSULOSIN 0.4mg TABLETAS"</f>
        <v>TAMSULOSIN 0.4mg TABLETAS</v>
      </c>
      <c r="E450" s="5" t="str">
        <f>"0.4MG"</f>
        <v>0.4MG</v>
      </c>
      <c r="F450" s="5" t="str">
        <f t="shared" si="16"/>
        <v>TABLETA</v>
      </c>
      <c r="H450" s="6">
        <v>1570</v>
      </c>
      <c r="I450" s="6">
        <v>1668.32</v>
      </c>
      <c r="J450" s="5" t="s">
        <v>0</v>
      </c>
    </row>
    <row r="451" spans="1:10" x14ac:dyDescent="0.25">
      <c r="A451" s="5" t="str">
        <f>"6411-3"</f>
        <v>6411-3</v>
      </c>
      <c r="B451" s="5" t="str">
        <f>"ALF0090"</f>
        <v>ALF0090</v>
      </c>
      <c r="C451" s="5" t="str">
        <f>"J01FA10"</f>
        <v>J01FA10</v>
      </c>
      <c r="D451" s="5" t="str">
        <f>"AZITROMICINA 500mg TABLETA"</f>
        <v>AZITROMICINA 500mg TABLETA</v>
      </c>
      <c r="E451" s="5" t="str">
        <f>"500mg"</f>
        <v>500mg</v>
      </c>
      <c r="F451" s="5" t="str">
        <f t="shared" si="16"/>
        <v>TABLETA</v>
      </c>
      <c r="G451" s="5" t="str">
        <f>"J01FA10"</f>
        <v>J01FA10</v>
      </c>
      <c r="H451" s="6">
        <v>736.5</v>
      </c>
      <c r="I451" s="6">
        <v>8022</v>
      </c>
      <c r="J451" s="5" t="s">
        <v>0</v>
      </c>
    </row>
    <row r="452" spans="1:10" x14ac:dyDescent="0.25">
      <c r="A452" s="5" t="str">
        <f>"19907394-6"</f>
        <v>19907394-6</v>
      </c>
      <c r="B452" s="5" t="str">
        <f>"ALF0396"</f>
        <v>ALF0396</v>
      </c>
      <c r="C452" s="5" t="str">
        <f>"J01XX08"</f>
        <v>J01XX08</v>
      </c>
      <c r="D452" s="5" t="str">
        <f>"LINEZOLID 600mg/300mL"</f>
        <v>LINEZOLID 600mg/300mL</v>
      </c>
      <c r="E452" s="5" t="str">
        <f>"600mg/300mL"</f>
        <v>600mg/300mL</v>
      </c>
      <c r="F452" s="5" t="str">
        <f>"BOLSA"</f>
        <v>BOLSA</v>
      </c>
      <c r="H452" s="6">
        <v>152350</v>
      </c>
      <c r="I452" s="6">
        <v>117192</v>
      </c>
      <c r="J452" s="5" t="s">
        <v>0</v>
      </c>
    </row>
    <row r="453" spans="1:10" x14ac:dyDescent="0.25">
      <c r="A453" s="5" t="str">
        <f>"19951050-1"</f>
        <v>19951050-1</v>
      </c>
      <c r="B453" s="5" t="str">
        <f>"ALF0597"</f>
        <v>ALF0597</v>
      </c>
      <c r="C453" s="5" t="str">
        <f>"J01ET025012"</f>
        <v>J01ET025012</v>
      </c>
      <c r="D453" s="5" t="str">
        <f>"TRIMETROPIM 160mg + SULFAMETOXASOL 800mg  TAB"</f>
        <v>TRIMETROPIM 160mg + SULFAMETOXASOL 800mg  TAB</v>
      </c>
      <c r="E453" s="5" t="str">
        <f>"160+800mg"</f>
        <v>160+800mg</v>
      </c>
      <c r="F453" s="5" t="str">
        <f>"TABLETA"</f>
        <v>TABLETA</v>
      </c>
      <c r="H453" s="6">
        <v>119</v>
      </c>
      <c r="I453" s="6">
        <v>750</v>
      </c>
      <c r="J453" s="5" t="s">
        <v>1</v>
      </c>
    </row>
    <row r="454" spans="1:10" x14ac:dyDescent="0.25">
      <c r="A454" s="5" t="str">
        <f>"19976349-2"</f>
        <v>19976349-2</v>
      </c>
      <c r="B454" s="5" t="str">
        <f>"ALF0462"</f>
        <v>ALF0462</v>
      </c>
      <c r="C454" s="5" t="str">
        <f>"C08CN008141"</f>
        <v>C08CN008141</v>
      </c>
      <c r="D454" s="5" t="str">
        <f>"NIMODIPINO 30mg TAB"</f>
        <v>NIMODIPINO 30mg TAB</v>
      </c>
      <c r="E454" s="5" t="str">
        <f>"30mg"</f>
        <v>30mg</v>
      </c>
      <c r="F454" s="5" t="str">
        <f>"TABLETA"</f>
        <v>TABLETA</v>
      </c>
      <c r="H454" s="6">
        <v>68</v>
      </c>
      <c r="I454" s="6">
        <v>463</v>
      </c>
      <c r="J454" s="5" t="s">
        <v>1</v>
      </c>
    </row>
    <row r="455" spans="1:10" x14ac:dyDescent="0.25">
      <c r="A455" s="5" t="str">
        <f>"36782-1"</f>
        <v>36782-1</v>
      </c>
      <c r="B455" s="5" t="str">
        <f>"ALF0654"</f>
        <v>ALF0654</v>
      </c>
      <c r="C455" s="5" t="str">
        <f>"C08DV016011"</f>
        <v>C08DV016011</v>
      </c>
      <c r="D455" s="5" t="str">
        <f>"VERAPAMILO 120mg TAB"</f>
        <v>VERAPAMILO 120mg TAB</v>
      </c>
      <c r="E455" s="5" t="str">
        <f>"120mg"</f>
        <v>120mg</v>
      </c>
      <c r="F455" s="5" t="str">
        <f>"TABLETA"</f>
        <v>TABLETA</v>
      </c>
      <c r="H455" s="6">
        <v>115</v>
      </c>
      <c r="I455" s="6">
        <v>4475</v>
      </c>
      <c r="J455" s="5" t="s">
        <v>1</v>
      </c>
    </row>
    <row r="456" spans="1:10" x14ac:dyDescent="0.25">
      <c r="A456" s="5" t="str">
        <f>"43730-4"</f>
        <v>43730-4</v>
      </c>
      <c r="B456" s="5" t="str">
        <f>"ALF0454"</f>
        <v>ALF0454</v>
      </c>
      <c r="C456" s="5" t="str">
        <f>"M01AN002231"</f>
        <v>M01AN002231</v>
      </c>
      <c r="D456" s="5" t="str">
        <f>"NAPROXENO 125mg/5mL SUSP x 80mL"</f>
        <v>NAPROXENO 125mg/5mL SUSP x 80mL</v>
      </c>
      <c r="E456" s="5" t="str">
        <f>"125mg/5mL"</f>
        <v>125mg/5mL</v>
      </c>
      <c r="F456" s="5" t="str">
        <f>"FRASCO"</f>
        <v>FRASCO</v>
      </c>
      <c r="H456" s="6">
        <v>2700</v>
      </c>
      <c r="I456" s="6">
        <v>10375</v>
      </c>
      <c r="J456" s="5" t="s">
        <v>1</v>
      </c>
    </row>
    <row r="457" spans="1:10" x14ac:dyDescent="0.25">
      <c r="A457" s="5" t="str">
        <f>"N04BB008011"</f>
        <v>N04BB008011</v>
      </c>
      <c r="B457" s="5" t="str">
        <f>"ALF0102"</f>
        <v>ALF0102</v>
      </c>
      <c r="C457" s="5" t="str">
        <f>"N04AA02"</f>
        <v>N04AA02</v>
      </c>
      <c r="D457" s="5" t="str">
        <f>"BIPERIDENO 2mg TAB"</f>
        <v>BIPERIDENO 2mg TAB</v>
      </c>
      <c r="E457" s="5" t="str">
        <f>"2mg"</f>
        <v>2mg</v>
      </c>
      <c r="F457" s="5" t="str">
        <f>"TABLETA"</f>
        <v>TABLETA</v>
      </c>
      <c r="G457" s="5" t="str">
        <f>"N04AA02"</f>
        <v>N04AA02</v>
      </c>
      <c r="H457" s="6">
        <v>304</v>
      </c>
      <c r="I457" s="6">
        <v>355</v>
      </c>
      <c r="J457" s="5" t="s">
        <v>1</v>
      </c>
    </row>
    <row r="458" spans="1:10" x14ac:dyDescent="0.25">
      <c r="A458" s="5" t="str">
        <f>"C03AH006011"</f>
        <v>C03AH006011</v>
      </c>
      <c r="B458" s="5" t="str">
        <f>"ALF0331"</f>
        <v>ALF0331</v>
      </c>
      <c r="C458" s="5" t="str">
        <f>"C03AA03"</f>
        <v>C03AA03</v>
      </c>
      <c r="D458" s="5" t="str">
        <f>"HidrOCLOROTIAZIDA 25mg TAB"</f>
        <v>HidrOCLOROTIAZIDA 25mg TAB</v>
      </c>
      <c r="E458" s="5" t="str">
        <f>"25mg"</f>
        <v>25mg</v>
      </c>
      <c r="F458" s="5" t="str">
        <f>"TABLETA"</f>
        <v>TABLETA</v>
      </c>
      <c r="G458" s="5" t="str">
        <f>"C03AH006011"</f>
        <v>C03AH006011</v>
      </c>
      <c r="H458" s="6">
        <v>26</v>
      </c>
      <c r="I458" s="6">
        <v>122</v>
      </c>
      <c r="J458" s="5" t="s">
        <v>1</v>
      </c>
    </row>
    <row r="459" spans="1:10" x14ac:dyDescent="0.25">
      <c r="A459" s="5" t="str">
        <f>"19940071-2"</f>
        <v>19940071-2</v>
      </c>
      <c r="B459" s="5" t="str">
        <f>"ALF0215"</f>
        <v>ALF0215</v>
      </c>
      <c r="C459" s="5" t="str">
        <f>"B05CX030211"</f>
        <v>B05CX030211</v>
      </c>
      <c r="D459" s="5" t="str">
        <f>"FERMENTOS LACTICOS VIVOS LIOFILIZADOS  1g (EPTAVIS)"</f>
        <v>FERMENTOS LACTICOS VIVOS LIOFILIZADOS  1g (EPTAVIS)</v>
      </c>
      <c r="E459" s="5" t="str">
        <f>"1GR"</f>
        <v>1GR</v>
      </c>
      <c r="F459" s="5" t="str">
        <f>"SOBRE"</f>
        <v>SOBRE</v>
      </c>
      <c r="H459" s="6">
        <v>8400</v>
      </c>
      <c r="I459" s="6">
        <v>10750</v>
      </c>
      <c r="J459" s="5" t="s">
        <v>1</v>
      </c>
    </row>
    <row r="460" spans="1:10" x14ac:dyDescent="0.25">
      <c r="A460" s="5" t="str">
        <f>"19906526-3"</f>
        <v>19906526-3</v>
      </c>
      <c r="B460" s="5" t="str">
        <f>"ALF0252"</f>
        <v>ALF0252</v>
      </c>
      <c r="C460" s="5" t="str">
        <f>"A06AD17"</f>
        <v>A06AD17</v>
      </c>
      <c r="D460" s="5" t="str">
        <f>"FOSFATO DE SODIO MONOBASICO-FOSFATO DE SODIO BIBASICO (6G+16G)ML (ENEMA RECTAL x 133mL)"</f>
        <v>FOSFATO DE SODIO MONOBASICO-FOSFATO DE SODIO BIBASICO (6G+16G)ML (ENEMA RECTAL x 133mL)</v>
      </c>
      <c r="E460" s="5" t="str">
        <f>"16g + 6g"</f>
        <v>16g + 6g</v>
      </c>
      <c r="F460" s="5" t="str">
        <f>"BOLSA"</f>
        <v>BOLSA</v>
      </c>
      <c r="G460" s="5" t="str">
        <f>"A06AG01"</f>
        <v>A06AG01</v>
      </c>
      <c r="H460" s="6">
        <v>16742</v>
      </c>
      <c r="I460" s="6">
        <v>19500</v>
      </c>
      <c r="J460" s="5" t="s">
        <v>0</v>
      </c>
    </row>
    <row r="461" spans="1:10" x14ac:dyDescent="0.25">
      <c r="A461" s="5" t="str">
        <f>"20015079"</f>
        <v>20015079</v>
      </c>
      <c r="B461" s="5" t="str">
        <f>"ALF0013"</f>
        <v>ALF0013</v>
      </c>
      <c r="C461" s="5" t="str">
        <f>"N01BB013701"</f>
        <v>N01BB013701</v>
      </c>
      <c r="D461" s="5" t="str">
        <f>"ACETILCISTEINA 600mg SOBRE"</f>
        <v>ACETILCISTEINA 600mg SOBRE</v>
      </c>
      <c r="E461" s="5" t="str">
        <f>"600mg"</f>
        <v>600mg</v>
      </c>
      <c r="F461" s="5" t="str">
        <f>"SOBRE"</f>
        <v>SOBRE</v>
      </c>
      <c r="H461" s="6">
        <v>1800</v>
      </c>
      <c r="I461" s="6">
        <v>2200</v>
      </c>
      <c r="J461" s="5" t="s">
        <v>0</v>
      </c>
    </row>
    <row r="462" spans="1:10" x14ac:dyDescent="0.25">
      <c r="A462" s="5" t="str">
        <f>"H02AP027011"</f>
        <v>H02AP027011</v>
      </c>
      <c r="B462" s="5" t="str">
        <f>"ALF0797"</f>
        <v>ALF0797</v>
      </c>
      <c r="C462" s="5" t="str">
        <f>"H02A P027 01 1"</f>
        <v>H02A P027 01 1</v>
      </c>
      <c r="D462" s="5" t="str">
        <f>"predNISOLONA 5 MG TABLETA"</f>
        <v>predNISOLONA 5 MG TABLETA</v>
      </c>
      <c r="E462" s="5" t="str">
        <f>"5mg"</f>
        <v>5mg</v>
      </c>
      <c r="F462" s="5" t="str">
        <f>"TABLETA"</f>
        <v>TABLETA</v>
      </c>
      <c r="H462" s="6">
        <v>120</v>
      </c>
      <c r="I462" s="6">
        <v>927</v>
      </c>
      <c r="J462" s="5" t="s">
        <v>1</v>
      </c>
    </row>
    <row r="463" spans="1:10" x14ac:dyDescent="0.25">
      <c r="A463" s="5" t="str">
        <f>"19995320"</f>
        <v>19995320</v>
      </c>
      <c r="B463" s="5" t="str">
        <f>"ALF1030"</f>
        <v>ALF1030</v>
      </c>
      <c r="C463" s="5" t="str">
        <f>"N05AH04"</f>
        <v>N05AH04</v>
      </c>
      <c r="D463" s="5" t="str">
        <f>"QUETIAPINA 200mg"</f>
        <v>QUETIAPINA 200mg</v>
      </c>
      <c r="E463" s="5" t="str">
        <f>"200MG"</f>
        <v>200MG</v>
      </c>
      <c r="F463" s="5" t="str">
        <f>"TABLETA"</f>
        <v>TABLETA</v>
      </c>
      <c r="H463" s="6">
        <v>2000</v>
      </c>
      <c r="I463" s="6">
        <v>3000</v>
      </c>
      <c r="J463" s="5" t="s">
        <v>0</v>
      </c>
    </row>
    <row r="464" spans="1:10" x14ac:dyDescent="0.25">
      <c r="B464" s="5" t="str">
        <f>"ALF1160"</f>
        <v>ALF1160</v>
      </c>
      <c r="C464" s="5" t="str">
        <f>"ALF1160"</f>
        <v>ALF1160</v>
      </c>
      <c r="D464" s="5" t="str">
        <f>"FIXAMICIN -Cada ml de FIXAMICIN® Gotas óticas contiene 5,0 mg Neomicina Sulfato; 0,5 mg de Hidrocortisona Acetato; 1,538 mg de Colistina Sulfato, excipientes, c.s.."</f>
        <v>FIXAMICIN -Cada ml de FIXAMICIN® Gotas óticas contiene 5,0 mg Neomicina Sulfato; 0,5 mg de Hidrocortisona Acetato; 1,538 mg de Colistina Sulfato, excipientes, c.s..</v>
      </c>
      <c r="E464" s="5" t="str">
        <f>"7.5ML"</f>
        <v>7.5ML</v>
      </c>
      <c r="F464" s="5" t="str">
        <f>"FRASCO CON GOTERO"</f>
        <v>FRASCO CON GOTERO</v>
      </c>
      <c r="H464" s="6">
        <v>17950</v>
      </c>
      <c r="I464" s="6">
        <v>62032</v>
      </c>
      <c r="J464" s="5" t="s">
        <v>0</v>
      </c>
    </row>
    <row r="465" spans="1:10" x14ac:dyDescent="0.25">
      <c r="B465" s="5" t="str">
        <f>"ALF1174"</f>
        <v>ALF1174</v>
      </c>
      <c r="C465" s="5" t="str">
        <f>"ALF1174"</f>
        <v>ALF1174</v>
      </c>
      <c r="D465" s="5" t="str">
        <f>"MOXIFLOXACINO 0.5% DEXAMETAZONA 0.1% GOTAS OFTALMICAS"</f>
        <v>MOXIFLOXACINO 0.5% DEXAMETAZONA 0.1% GOTAS OFTALMICAS</v>
      </c>
      <c r="E465" s="5" t="str">
        <f>"0.5%-0.1%"</f>
        <v>0.5%-0.1%</v>
      </c>
      <c r="F465" s="5" t="str">
        <f>"FRASCO CON GOTERO"</f>
        <v>FRASCO CON GOTERO</v>
      </c>
      <c r="H465" s="6">
        <v>75075</v>
      </c>
      <c r="I465" s="6">
        <v>87300</v>
      </c>
      <c r="J465" s="5" t="s">
        <v>0</v>
      </c>
    </row>
    <row r="466" spans="1:10" x14ac:dyDescent="0.25">
      <c r="B466" s="5" t="str">
        <f>"ALF1180"</f>
        <v>ALF1180</v>
      </c>
      <c r="C466" s="5" t="str">
        <f>"ALF1180"</f>
        <v>ALF1180</v>
      </c>
      <c r="D466" s="5" t="str">
        <f>"DEXACIPRO GOTAS 7.5 ML/FIXAMICIN GOTAS OTICAS 10MG/10ML"</f>
        <v>DEXACIPRO GOTAS 7.5 ML/FIXAMICIN GOTAS OTICAS 10MG/10ML</v>
      </c>
      <c r="E466" s="5" t="str">
        <f>"10MG/10ML"</f>
        <v>10MG/10ML</v>
      </c>
      <c r="F466" s="5" t="str">
        <f>"FRASCO CON GOTERO"</f>
        <v>FRASCO CON GOTERO</v>
      </c>
      <c r="G466" s="5" t="str">
        <f>"CIPROFLOXACINA+HIDROCORTISONA"</f>
        <v>CIPROFLOXACINA+HIDROCORTISONA</v>
      </c>
      <c r="H466" s="6">
        <v>55060</v>
      </c>
      <c r="I466" s="6">
        <v>71500</v>
      </c>
      <c r="J466" s="5" t="s">
        <v>0</v>
      </c>
    </row>
    <row r="467" spans="1:10" x14ac:dyDescent="0.25">
      <c r="B467" s="5" t="str">
        <f>"ALF1251"</f>
        <v>ALF1251</v>
      </c>
      <c r="D467" s="5" t="str">
        <f>"BICARBONATO DE SODIO  1GR POLVO ORAL"</f>
        <v>BICARBONATO DE SODIO  1GR POLVO ORAL</v>
      </c>
      <c r="F467" s="5" t="str">
        <f>"BOLSA"</f>
        <v>BOLSA</v>
      </c>
      <c r="H467" s="6">
        <v>856.8</v>
      </c>
      <c r="I467" s="6">
        <v>8400</v>
      </c>
      <c r="J467" s="5" t="s">
        <v>1</v>
      </c>
    </row>
    <row r="468" spans="1:10" x14ac:dyDescent="0.25">
      <c r="B468" s="5" t="str">
        <f>"ALF1252"</f>
        <v>ALF1252</v>
      </c>
      <c r="D468" s="5" t="str">
        <f>"IRBESARTAN/HIDROCLOROTIAZIDA 300/12.5MG TABLETA"</f>
        <v>IRBESARTAN/HIDROCLOROTIAZIDA 300/12.5MG TABLETA</v>
      </c>
      <c r="E468" s="5" t="str">
        <f>"300/12.5MG"</f>
        <v>300/12.5MG</v>
      </c>
      <c r="F468" s="5" t="str">
        <f>"UNIDAD"</f>
        <v>UNIDAD</v>
      </c>
      <c r="H468" s="6">
        <v>10100</v>
      </c>
      <c r="I468" s="6">
        <v>13635</v>
      </c>
      <c r="J468" s="5" t="s">
        <v>0</v>
      </c>
    </row>
    <row r="469" spans="1:10" x14ac:dyDescent="0.25">
      <c r="B469" s="5" t="str">
        <f>"ALF1266"</f>
        <v>ALF1266</v>
      </c>
      <c r="D469" s="5" t="str">
        <f>"DORZOLAMIDA 2%-TIMOLOL 0.5% GOTAS OFTALMICAS"</f>
        <v>DORZOLAMIDA 2%-TIMOLOL 0.5% GOTAS OFTALMICAS</v>
      </c>
      <c r="F469" s="5" t="str">
        <f>"FRASCO CON GOTERO"</f>
        <v>FRASCO CON GOTERO</v>
      </c>
      <c r="H469" s="6">
        <v>84700</v>
      </c>
      <c r="I469" s="6">
        <v>114345</v>
      </c>
      <c r="J469" s="5" t="s">
        <v>0</v>
      </c>
    </row>
    <row r="470" spans="1:10" x14ac:dyDescent="0.25">
      <c r="B470" s="5" t="str">
        <f>"ALF0936"</f>
        <v>ALF0936</v>
      </c>
      <c r="C470" s="5" t="str">
        <f>"ALF0936"</f>
        <v>ALF0936</v>
      </c>
      <c r="D470" s="5" t="str">
        <f>"FORMULA LACTEA EN POLVO 400GR ( ENFAMIL  CONFORT )"</f>
        <v>FORMULA LACTEA EN POLVO 400GR ( ENFAMIL  CONFORT )</v>
      </c>
      <c r="F470" s="5" t="str">
        <f>"LATA"</f>
        <v>LATA</v>
      </c>
      <c r="H470" s="6">
        <v>45850</v>
      </c>
      <c r="I470" s="6">
        <v>59000</v>
      </c>
      <c r="J470" s="5" t="s">
        <v>0</v>
      </c>
    </row>
    <row r="471" spans="1:10" x14ac:dyDescent="0.25">
      <c r="A471" s="5" t="str">
        <f>"N03AF002141"</f>
        <v>N03AF002141</v>
      </c>
      <c r="B471" s="5" t="str">
        <f>"ALF0281"</f>
        <v>ALF0281</v>
      </c>
      <c r="C471" s="5" t="str">
        <f>"N03AB02"</f>
        <v>N03AB02</v>
      </c>
      <c r="D471" s="5" t="str">
        <f>"FENITOINA SODICA100mg CAPSULA"</f>
        <v>FENITOINA SODICA100mg CAPSULA</v>
      </c>
      <c r="E471" s="5" t="str">
        <f>"100mg"</f>
        <v>100mg</v>
      </c>
      <c r="F471" s="5" t="str">
        <f>"CAPSULA"</f>
        <v>CAPSULA</v>
      </c>
      <c r="H471" s="6">
        <v>217</v>
      </c>
      <c r="I471" s="6">
        <v>381</v>
      </c>
      <c r="J471" s="5" t="s">
        <v>1</v>
      </c>
    </row>
    <row r="472" spans="1:10" x14ac:dyDescent="0.25">
      <c r="A472" s="5" t="str">
        <f>"N03AC005011"</f>
        <v>N03AC005011</v>
      </c>
      <c r="B472" s="5" t="str">
        <f>"ALF0853"</f>
        <v>ALF0853</v>
      </c>
      <c r="C472" s="5" t="str">
        <f>"N03AC005 011"</f>
        <v>N03AC005 011</v>
      </c>
      <c r="D472" s="5" t="str">
        <f>"CARBAMAZEPINA 200 MG TABLETA"</f>
        <v>CARBAMAZEPINA 200 MG TABLETA</v>
      </c>
      <c r="E472" s="5" t="str">
        <f>"200mg"</f>
        <v>200mg</v>
      </c>
      <c r="F472" s="5" t="str">
        <f>"TABLETA"</f>
        <v>TABLETA</v>
      </c>
      <c r="H472" s="6">
        <v>271</v>
      </c>
      <c r="I472" s="6">
        <v>26</v>
      </c>
      <c r="J472" s="5" t="s">
        <v>1</v>
      </c>
    </row>
    <row r="473" spans="1:10" x14ac:dyDescent="0.25">
      <c r="A473" s="5" t="str">
        <f>"19997076-1"</f>
        <v>19997076-1</v>
      </c>
      <c r="B473" s="5" t="str">
        <f>"ALF0464"</f>
        <v>ALF0464</v>
      </c>
      <c r="C473" s="5" t="str">
        <f>"J02AN009231"</f>
        <v>J02AN009231</v>
      </c>
      <c r="D473" s="5" t="str">
        <f>"NISTATINA 100000UI/mL SUSP ORAL x 60mL"</f>
        <v>NISTATINA 100000UI/mL SUSP ORAL x 60mL</v>
      </c>
      <c r="E473" s="5" t="str">
        <f>"100000UI/mL"</f>
        <v>100000UI/mL</v>
      </c>
      <c r="F473" s="5" t="str">
        <f>"FRASCO"</f>
        <v>FRASCO</v>
      </c>
      <c r="H473" s="6">
        <v>4160</v>
      </c>
      <c r="I473" s="6">
        <v>16189</v>
      </c>
      <c r="J473" s="5" t="s">
        <v>1</v>
      </c>
    </row>
    <row r="474" spans="1:10" x14ac:dyDescent="0.25">
      <c r="B474" s="5" t="str">
        <f>"ALF1091"</f>
        <v>ALF1091</v>
      </c>
      <c r="C474" s="5" t="str">
        <f>"ALF1091"</f>
        <v>ALF1091</v>
      </c>
      <c r="D474" s="5" t="str">
        <f>"ALDOMET 250MG TABLETA"</f>
        <v>ALDOMET 250MG TABLETA</v>
      </c>
      <c r="F474" s="5" t="str">
        <f>"TABLETA"</f>
        <v>TABLETA</v>
      </c>
      <c r="H474" s="6">
        <v>1143.33</v>
      </c>
      <c r="I474" s="6">
        <v>1550</v>
      </c>
      <c r="J474" s="5" t="s">
        <v>0</v>
      </c>
    </row>
    <row r="475" spans="1:10" x14ac:dyDescent="0.25">
      <c r="B475" s="5" t="str">
        <f>"ALF1110"</f>
        <v>ALF1110</v>
      </c>
      <c r="C475" s="5" t="str">
        <f>"ALF1110"</f>
        <v>ALF1110</v>
      </c>
      <c r="D475" s="5" t="str">
        <f>"MINOCICLINA 100 MG CAPSULA"</f>
        <v>MINOCICLINA 100 MG CAPSULA</v>
      </c>
      <c r="F475" s="5" t="str">
        <f>"CAPSULA"</f>
        <v>CAPSULA</v>
      </c>
      <c r="H475" s="6">
        <v>2050</v>
      </c>
      <c r="I475" s="6">
        <v>2800</v>
      </c>
      <c r="J475" s="5" t="s">
        <v>0</v>
      </c>
    </row>
    <row r="476" spans="1:10" x14ac:dyDescent="0.25">
      <c r="B476" s="5" t="str">
        <f>"ALF1125"</f>
        <v>ALF1125</v>
      </c>
      <c r="C476" s="5" t="str">
        <f>"ALF1125"</f>
        <v>ALF1125</v>
      </c>
      <c r="D476" s="5" t="str">
        <f>"POLIMIXINA1MG- NEOMICINA3.5MG- DEXAMETAZONA  1MG- SOLUCION OFTALMICA 5ML"</f>
        <v>POLIMIXINA1MG- NEOMICINA3.5MG- DEXAMETAZONA  1MG- SOLUCION OFTALMICA 5ML</v>
      </c>
      <c r="F476" s="5" t="str">
        <f>"FRASCO CON GOTERO"</f>
        <v>FRASCO CON GOTERO</v>
      </c>
      <c r="H476" s="6">
        <v>14800</v>
      </c>
      <c r="I476" s="6">
        <v>19980</v>
      </c>
      <c r="J476" s="5" t="s">
        <v>0</v>
      </c>
    </row>
    <row r="477" spans="1:10" x14ac:dyDescent="0.25">
      <c r="A477" s="5" t="str">
        <f>"19956203-1"</f>
        <v>19956203-1</v>
      </c>
      <c r="B477" s="5" t="str">
        <f>"ALF0169"</f>
        <v>ALF0169</v>
      </c>
      <c r="C477" s="5" t="str">
        <f>"C04AX99"</f>
        <v>C04AX99</v>
      </c>
      <c r="D477" s="5" t="str">
        <f>"CILOSTAZOL 100mg TAB"</f>
        <v>CILOSTAZOL 100mg TAB</v>
      </c>
      <c r="E477" s="5" t="str">
        <f>"100mg"</f>
        <v>100mg</v>
      </c>
      <c r="F477" s="5" t="str">
        <f>"TABLETA"</f>
        <v>TABLETA</v>
      </c>
      <c r="H477" s="6">
        <v>3162</v>
      </c>
      <c r="I477" s="6">
        <v>2800</v>
      </c>
      <c r="J477" s="5" t="s">
        <v>0</v>
      </c>
    </row>
    <row r="478" spans="1:10" x14ac:dyDescent="0.25">
      <c r="A478" s="5" t="str">
        <f>"20032545-1"</f>
        <v>20032545-1</v>
      </c>
      <c r="B478" s="5" t="str">
        <f>"ALF0672"</f>
        <v>ALF0672</v>
      </c>
      <c r="C478" s="5" t="str">
        <f>"C01CE02"</f>
        <v>C01CE02</v>
      </c>
      <c r="D478" s="5" t="str">
        <f>"MILRINONA LACTATO 10MGX10Ml"</f>
        <v>MILRINONA LACTATO 10MGX10Ml</v>
      </c>
      <c r="E478" s="5" t="str">
        <f>"10mg x 10ml"</f>
        <v>10mg x 10ml</v>
      </c>
      <c r="F478" s="5" t="str">
        <f>"AMPOLLA"</f>
        <v>AMPOLLA</v>
      </c>
      <c r="H478" s="6">
        <v>48100</v>
      </c>
      <c r="I478" s="6">
        <v>98000</v>
      </c>
      <c r="J478" s="5" t="s">
        <v>1</v>
      </c>
    </row>
    <row r="479" spans="1:10" x14ac:dyDescent="0.25">
      <c r="A479" s="5" t="str">
        <f>"B03AA0702"</f>
        <v>B03AA0702</v>
      </c>
      <c r="B479" s="5" t="str">
        <f>"ALF0903"</f>
        <v>ALF0903</v>
      </c>
      <c r="C479" s="5" t="str">
        <f>"B03AA0702"</f>
        <v>B03AA0702</v>
      </c>
      <c r="D479" s="5" t="str">
        <f>"EFAVIRENZ 600MG TAB"</f>
        <v>EFAVIRENZ 600MG TAB</v>
      </c>
      <c r="E479" s="5" t="str">
        <f>"600MG"</f>
        <v>600MG</v>
      </c>
      <c r="F479" s="5" t="str">
        <f>"TABLETA"</f>
        <v>TABLETA</v>
      </c>
      <c r="H479" s="6">
        <v>7000</v>
      </c>
      <c r="I479" s="6">
        <v>9100</v>
      </c>
      <c r="J479" s="5" t="s">
        <v>0</v>
      </c>
    </row>
    <row r="480" spans="1:10" x14ac:dyDescent="0.25">
      <c r="B480" s="5" t="str">
        <f>"ALF1150"</f>
        <v>ALF1150</v>
      </c>
      <c r="C480" s="5" t="str">
        <f>"ALF1150"</f>
        <v>ALF1150</v>
      </c>
      <c r="D480" s="5" t="str">
        <f>"Acetato de prednisolona (DCI) 10 mg, cloruro de benzalconio 0,06 mg, polisorbato 80, ácidobórico, citrato sódico, cloruro sódico, edetato disódico, hidroxipropilmetilcelulosa y agua"</f>
        <v>Acetato de prednisolona (DCI) 10 mg, cloruro de benzalconio 0,06 mg, polisorbato 80, ácidobórico, citrato sódico, cloruro sódico, edetato disódico, hidroxipropilmetilcelulosa y agua</v>
      </c>
      <c r="F480" s="5" t="str">
        <f>"FRASCO CON GOTERO"</f>
        <v>FRASCO CON GOTERO</v>
      </c>
      <c r="H480" s="6">
        <v>45000</v>
      </c>
      <c r="I480" s="6">
        <v>55080</v>
      </c>
      <c r="J480" s="5" t="s">
        <v>0</v>
      </c>
    </row>
    <row r="481" spans="1:10" x14ac:dyDescent="0.25">
      <c r="B481" s="5" t="str">
        <f>"ALF1189"</f>
        <v>ALF1189</v>
      </c>
      <c r="C481" s="5" t="str">
        <f>"ALF1189"</f>
        <v>ALF1189</v>
      </c>
      <c r="D481" s="5" t="str">
        <f>"Ciprofloxacina 0,3%- Dexametasona 0,1% GOTAS OFTALMICAS"</f>
        <v>Ciprofloxacina 0,3%- Dexametasona 0,1% GOTAS OFTALMICAS</v>
      </c>
      <c r="E481" s="5" t="str">
        <f>"0.3%-0.1%"</f>
        <v>0.3%-0.1%</v>
      </c>
      <c r="F481" s="5" t="str">
        <f>"FRASCO CON GOTERO"</f>
        <v>FRASCO CON GOTERO</v>
      </c>
      <c r="H481" s="6">
        <v>20625</v>
      </c>
      <c r="I481" s="6">
        <v>44625</v>
      </c>
      <c r="J481" s="5" t="s">
        <v>0</v>
      </c>
    </row>
    <row r="482" spans="1:10" x14ac:dyDescent="0.25">
      <c r="B482" s="5" t="str">
        <f>"ALF1201"</f>
        <v>ALF1201</v>
      </c>
      <c r="C482" s="5" t="str">
        <f>"ALF1201"</f>
        <v>ALF1201</v>
      </c>
      <c r="D482" s="5" t="str">
        <f>"VACUNA NEUMOCOCCICA POLISACARIDA POLIVALENTE (PNEUMO23 ADULTO)"</f>
        <v>VACUNA NEUMOCOCCICA POLISACARIDA POLIVALENTE (PNEUMO23 ADULTO)</v>
      </c>
      <c r="F482" s="5" t="str">
        <f>"UNIDAD"</f>
        <v>UNIDAD</v>
      </c>
      <c r="H482" s="6">
        <v>252000</v>
      </c>
      <c r="I482" s="6">
        <v>340200</v>
      </c>
      <c r="J482" s="5" t="s">
        <v>0</v>
      </c>
    </row>
    <row r="483" spans="1:10" x14ac:dyDescent="0.25">
      <c r="A483" s="5" t="str">
        <f>"20049908-2"</f>
        <v>20049908-2</v>
      </c>
      <c r="B483" s="5" t="str">
        <f>"ALF0641"</f>
        <v>ALF0641</v>
      </c>
      <c r="C483" s="5" t="str">
        <f>"H01BA01"</f>
        <v>H01BA01</v>
      </c>
      <c r="D483" s="5" t="str">
        <f>"VASOPRESINA 20UI AMPOLLA"</f>
        <v>VASOPRESINA 20UI AMPOLLA</v>
      </c>
      <c r="E483" s="5" t="str">
        <f>"20UI"</f>
        <v>20UI</v>
      </c>
      <c r="F483" s="5" t="str">
        <f>"AMPOLLA"</f>
        <v>AMPOLLA</v>
      </c>
      <c r="G483" s="5" t="str">
        <f>"VASOPRESINA"</f>
        <v>VASOPRESINA</v>
      </c>
      <c r="H483" s="6">
        <v>18000</v>
      </c>
      <c r="I483" s="6">
        <v>50000</v>
      </c>
      <c r="J483" s="5" t="s">
        <v>0</v>
      </c>
    </row>
    <row r="484" spans="1:10" x14ac:dyDescent="0.25">
      <c r="A484" s="5" t="str">
        <f>"19978078-1"</f>
        <v>19978078-1</v>
      </c>
      <c r="B484" s="5" t="str">
        <f>"ALF0465"</f>
        <v>ALF0465</v>
      </c>
      <c r="C484" s="5" t="str">
        <f>"G04AN010142"</f>
        <v>G04AN010142</v>
      </c>
      <c r="D484" s="5" t="str">
        <f>"NITROFURANTOINA 100mg TAB"</f>
        <v>NITROFURANTOINA 100mg TAB</v>
      </c>
      <c r="E484" s="5" t="str">
        <f>"100mg"</f>
        <v>100mg</v>
      </c>
      <c r="F484" s="5" t="str">
        <f>"TABLETA"</f>
        <v>TABLETA</v>
      </c>
      <c r="H484" s="6">
        <v>176</v>
      </c>
      <c r="I484" s="6">
        <v>1152</v>
      </c>
      <c r="J484" s="5" t="s">
        <v>1</v>
      </c>
    </row>
    <row r="485" spans="1:10" x14ac:dyDescent="0.25">
      <c r="A485" s="5" t="str">
        <f>"50476-1"</f>
        <v>50476-1</v>
      </c>
      <c r="B485" s="5" t="str">
        <f>"ALF0470"</f>
        <v>ALF0470</v>
      </c>
      <c r="C485" s="5" t="str">
        <f>"70109"</f>
        <v>70109</v>
      </c>
      <c r="D485" s="5" t="str">
        <f>"POLIETILENGLICOL   POLVO SOBRE X 110.1G gramos nulitelly"</f>
        <v>POLIETILENGLICOL   POLVO SOBRE X 110.1G gramos nulitelly</v>
      </c>
      <c r="E485" s="5" t="str">
        <f>"110.1G gramos"</f>
        <v>110.1G gramos</v>
      </c>
      <c r="F485" s="5" t="str">
        <f>"SOBRE"</f>
        <v>SOBRE</v>
      </c>
      <c r="H485" s="6">
        <v>19740</v>
      </c>
      <c r="I485" s="6">
        <v>22000</v>
      </c>
      <c r="J485" s="5" t="s">
        <v>1</v>
      </c>
    </row>
    <row r="486" spans="1:10" x14ac:dyDescent="0.25">
      <c r="A486" s="5" t="str">
        <f>"19927154-5"</f>
        <v>19927154-5</v>
      </c>
      <c r="B486" s="5" t="str">
        <f>"ALF0793"</f>
        <v>ALF0793</v>
      </c>
      <c r="C486" s="5" t="str">
        <f>"L01B M018 01 1"</f>
        <v>L01B M018 01 1</v>
      </c>
      <c r="D486" s="5" t="str">
        <f>"METOTREXATO SODICO 2.5MG TAB"</f>
        <v>METOTREXATO SODICO 2.5MG TAB</v>
      </c>
      <c r="E486" s="5" t="str">
        <f>"2.5mg"</f>
        <v>2.5mg</v>
      </c>
      <c r="F486" s="5" t="str">
        <f>"TABLETA"</f>
        <v>TABLETA</v>
      </c>
      <c r="H486" s="6">
        <v>945</v>
      </c>
      <c r="I486" s="6">
        <v>1300</v>
      </c>
      <c r="J486" s="5" t="s">
        <v>0</v>
      </c>
    </row>
    <row r="487" spans="1:10" x14ac:dyDescent="0.25">
      <c r="A487" s="5" t="str">
        <f>"43787-1"</f>
        <v>43787-1</v>
      </c>
      <c r="B487" s="5" t="str">
        <f>"ALF0353"</f>
        <v>ALF0353</v>
      </c>
      <c r="C487" s="5" t="str">
        <f>"60546"</f>
        <v>60546</v>
      </c>
      <c r="D487" s="5" t="str">
        <f>"INMUNOGLOBULINA IgG - IgM - IgA 50mg/1mL  X 10mL Sol (PENTAGLOBIN)"</f>
        <v>INMUNOGLOBULINA IgG - IgM - IgA 50mg/1mL  X 10mL Sol (PENTAGLOBIN)</v>
      </c>
      <c r="E487" s="5" t="str">
        <f>"50mg/10ml"</f>
        <v>50mg/10ml</v>
      </c>
      <c r="F487" s="5" t="str">
        <f t="shared" ref="F487:F491" si="17">"AMPOLLA"</f>
        <v>AMPOLLA</v>
      </c>
      <c r="H487" s="6">
        <v>282800</v>
      </c>
      <c r="I487" s="6">
        <v>316735</v>
      </c>
      <c r="J487" s="5" t="s">
        <v>0</v>
      </c>
    </row>
    <row r="488" spans="1:10" x14ac:dyDescent="0.25">
      <c r="A488" s="5" t="str">
        <f>"228028-1"</f>
        <v>228028-1</v>
      </c>
      <c r="B488" s="5" t="str">
        <f>"ALF0580"</f>
        <v>ALF0580</v>
      </c>
      <c r="C488" s="5" t="str">
        <f>"R07AA02"</f>
        <v>R07AA02</v>
      </c>
      <c r="D488" s="5" t="str">
        <f>"SURFACTANTE PULMONAR 1.5 mL (CUROSURF)"</f>
        <v>SURFACTANTE PULMONAR 1.5 mL (CUROSURF)</v>
      </c>
      <c r="E488" s="5" t="str">
        <f>"1.5ml"</f>
        <v>1.5ml</v>
      </c>
      <c r="F488" s="5" t="str">
        <f t="shared" si="17"/>
        <v>AMPOLLA</v>
      </c>
      <c r="H488" s="6">
        <v>1507000</v>
      </c>
      <c r="I488" s="6">
        <v>4536848</v>
      </c>
      <c r="J488" s="5" t="s">
        <v>1</v>
      </c>
    </row>
    <row r="489" spans="1:10" x14ac:dyDescent="0.25">
      <c r="A489" s="5" t="str">
        <f>"A10AI008701"</f>
        <v>A10AI008701</v>
      </c>
      <c r="B489" s="5" t="str">
        <f>"ALF0581"</f>
        <v>ALF0581</v>
      </c>
      <c r="C489" s="5" t="str">
        <f>"R07AA02"</f>
        <v>R07AA02</v>
      </c>
      <c r="D489" s="5" t="str">
        <f>"SURFACTANTE PULMONAR 3.0 mL (CUROSURF)"</f>
        <v>SURFACTANTE PULMONAR 3.0 mL (CUROSURF)</v>
      </c>
      <c r="E489" s="5" t="str">
        <f>"3.0 ml"</f>
        <v>3.0 ml</v>
      </c>
      <c r="F489" s="5" t="str">
        <f t="shared" si="17"/>
        <v>AMPOLLA</v>
      </c>
      <c r="H489" s="6">
        <v>2486300</v>
      </c>
      <c r="I489" s="6">
        <v>8163500</v>
      </c>
      <c r="J489" s="5" t="s">
        <v>1</v>
      </c>
    </row>
    <row r="490" spans="1:10" x14ac:dyDescent="0.25">
      <c r="B490" s="5" t="str">
        <f>"ALF1169"</f>
        <v>ALF1169</v>
      </c>
      <c r="C490" s="5" t="str">
        <f>"ALF1169"</f>
        <v>ALF1169</v>
      </c>
      <c r="D490" s="5" t="str">
        <f>"INMUNOGLOBULINA HUMANA G 2.5GR/50ML  INTRATEC"</f>
        <v>INMUNOGLOBULINA HUMANA G 2.5GR/50ML  INTRATEC</v>
      </c>
      <c r="E490" s="5" t="str">
        <f>"2.5MG X 50ML"</f>
        <v>2.5MG X 50ML</v>
      </c>
      <c r="F490" s="5" t="str">
        <f t="shared" si="17"/>
        <v>AMPOLLA</v>
      </c>
      <c r="H490" s="6">
        <v>355375</v>
      </c>
      <c r="I490" s="6">
        <v>401632</v>
      </c>
      <c r="J490" s="5" t="s">
        <v>0</v>
      </c>
    </row>
    <row r="491" spans="1:10" x14ac:dyDescent="0.25">
      <c r="B491" s="5" t="str">
        <f>"ALF1202"</f>
        <v>ALF1202</v>
      </c>
      <c r="C491" s="5" t="str">
        <f>"ALF1202"</f>
        <v>ALF1202</v>
      </c>
      <c r="D491" s="5" t="str">
        <f>"INMUNOGLOBULINA IgG - IgM - IgA  5 %X 100mL 5G Sol (PENTAGLOBIN)"</f>
        <v>INMUNOGLOBULINA IgG - IgM - IgA  5 %X 100mL 5G Sol (PENTAGLOBIN)</v>
      </c>
      <c r="E491" s="5" t="str">
        <f>"5%X100ML 5G"</f>
        <v>5%X100ML 5G</v>
      </c>
      <c r="F491" s="5" t="str">
        <f t="shared" si="17"/>
        <v>AMPOLLA</v>
      </c>
      <c r="G491" s="5" t="str">
        <f>"INMUNOGLOBULINA HUMANA"</f>
        <v>INMUNOGLOBULINA HUMANA</v>
      </c>
      <c r="H491" s="6">
        <v>2828000</v>
      </c>
      <c r="I491" s="6">
        <v>3389000</v>
      </c>
      <c r="J491" s="5" t="s">
        <v>0</v>
      </c>
    </row>
    <row r="492" spans="1:10" x14ac:dyDescent="0.25">
      <c r="B492" s="5" t="str">
        <f>"ALF1211"</f>
        <v>ALF1211</v>
      </c>
      <c r="C492" s="5" t="str">
        <f>"ALF1211"</f>
        <v>ALF1211</v>
      </c>
      <c r="D492" s="5" t="str">
        <f>"AMINOACIDOS ESENCIALES ORAL GLUTAPAK-10"</f>
        <v>AMINOACIDOS ESENCIALES ORAL GLUTAPAK-10</v>
      </c>
      <c r="E492" s="5" t="str">
        <f>"15GR"</f>
        <v>15GR</v>
      </c>
      <c r="F492" s="5" t="str">
        <f>"SOBRE"</f>
        <v>SOBRE</v>
      </c>
      <c r="G492" s="5" t="str">
        <f>"N(2)-L-ALANIL -L-GLUTAPAK-10"</f>
        <v>N(2)-L-ALANIL -L-GLUTAPAK-10</v>
      </c>
      <c r="H492" s="6">
        <v>17114</v>
      </c>
      <c r="I492" s="6">
        <v>24500</v>
      </c>
      <c r="J492" s="5" t="s">
        <v>0</v>
      </c>
    </row>
    <row r="493" spans="1:10" x14ac:dyDescent="0.25">
      <c r="A493" s="5" t="str">
        <f>"19936044-1"</f>
        <v>19936044-1</v>
      </c>
      <c r="B493" s="5" t="str">
        <f>"ALF0286"</f>
        <v>ALF0286</v>
      </c>
      <c r="C493" s="5" t="str">
        <f>"C10AB05"</f>
        <v>C10AB05</v>
      </c>
      <c r="D493" s="5" t="str">
        <f>"FENOFIBRATO 200MG CAP-NORMOLIP"</f>
        <v>FENOFIBRATO 200MG CAP-NORMOLIP</v>
      </c>
      <c r="E493" s="5" t="str">
        <f>"200MG"</f>
        <v>200MG</v>
      </c>
      <c r="F493" s="5" t="str">
        <f>"CAPSULA"</f>
        <v>CAPSULA</v>
      </c>
      <c r="H493" s="6">
        <v>4031</v>
      </c>
      <c r="I493" s="6">
        <v>4250</v>
      </c>
      <c r="J493" s="5" t="s">
        <v>0</v>
      </c>
    </row>
    <row r="494" spans="1:10" x14ac:dyDescent="0.25">
      <c r="A494" s="5" t="str">
        <f>"56243-1"</f>
        <v>56243-1</v>
      </c>
      <c r="B494" s="5" t="str">
        <f>"ALF0932"</f>
        <v>ALF0932</v>
      </c>
      <c r="C494" s="5" t="str">
        <f>"B01AC13"</f>
        <v>B01AC13</v>
      </c>
      <c r="D494" s="5" t="str">
        <f>"ABCIXIMAB 2MG/ML VIAL DE 5ML"</f>
        <v>ABCIXIMAB 2MG/ML VIAL DE 5ML</v>
      </c>
      <c r="E494" s="5" t="str">
        <f>"2MG/ML"</f>
        <v>2MG/ML</v>
      </c>
      <c r="F494" s="5" t="str">
        <f>"AMPOLLA"</f>
        <v>AMPOLLA</v>
      </c>
      <c r="H494" s="6">
        <v>1500000</v>
      </c>
      <c r="I494" s="6">
        <v>1950000</v>
      </c>
      <c r="J494" s="5" t="s">
        <v>0</v>
      </c>
    </row>
    <row r="495" spans="1:10" x14ac:dyDescent="0.25">
      <c r="B495" s="5" t="str">
        <f>"ALF0948"</f>
        <v>ALF0948</v>
      </c>
      <c r="C495" s="5" t="str">
        <f>"G03AC0302"</f>
        <v>G03AC0302</v>
      </c>
      <c r="D495" s="5" t="str">
        <f>"LEVONORGESTREL 0.75mg ( Emergyn )"</f>
        <v>LEVONORGESTREL 0.75mg ( Emergyn )</v>
      </c>
      <c r="F495" s="5" t="str">
        <f>"TABLETA"</f>
        <v>TABLETA</v>
      </c>
      <c r="H495" s="6">
        <v>9195</v>
      </c>
      <c r="I495" s="6">
        <v>14300</v>
      </c>
      <c r="J495" s="5" t="s">
        <v>1</v>
      </c>
    </row>
    <row r="496" spans="1:10" x14ac:dyDescent="0.25">
      <c r="B496" s="5" t="str">
        <f>"ALF1213"</f>
        <v>ALF1213</v>
      </c>
      <c r="C496" s="5" t="str">
        <f>"ALF1213"</f>
        <v>ALF1213</v>
      </c>
      <c r="D496" s="5" t="str">
        <f>"POLIESTIRENO SULFONATO DE CALCIO  POLKVO 15GR   (RESINCALCIO)"</f>
        <v>POLIESTIRENO SULFONATO DE CALCIO  POLKVO 15GR   (RESINCALCIO)</v>
      </c>
      <c r="E496" s="5" t="str">
        <f>"15GR"</f>
        <v>15GR</v>
      </c>
      <c r="F496" s="5" t="str">
        <f>"SOBRE"</f>
        <v>SOBRE</v>
      </c>
      <c r="H496" s="6">
        <v>6188</v>
      </c>
      <c r="I496" s="6">
        <v>15700</v>
      </c>
      <c r="J496" s="5" t="s">
        <v>1</v>
      </c>
    </row>
    <row r="497" spans="1:10" x14ac:dyDescent="0.25">
      <c r="A497" s="5" t="str">
        <f>"S01EA002011"</f>
        <v>S01EA002011</v>
      </c>
      <c r="B497" s="5" t="str">
        <f>"ALF0009"</f>
        <v>ALF0009</v>
      </c>
      <c r="C497" s="5" t="str">
        <f>"S01EC01"</f>
        <v>S01EC01</v>
      </c>
      <c r="D497" s="5" t="str">
        <f>"ACETAZOLAMIDA 250mg TAB"</f>
        <v>ACETAZOLAMIDA 250mg TAB</v>
      </c>
      <c r="E497" s="5" t="str">
        <f>"250mg"</f>
        <v>250mg</v>
      </c>
      <c r="F497" s="5" t="str">
        <f>"TABLETA"</f>
        <v>TABLETA</v>
      </c>
      <c r="H497" s="6">
        <v>350</v>
      </c>
      <c r="I497" s="6">
        <v>2832</v>
      </c>
      <c r="J497" s="5" t="s">
        <v>1</v>
      </c>
    </row>
    <row r="498" spans="1:10" x14ac:dyDescent="0.25">
      <c r="A498" s="5" t="str">
        <f>"A11CC003101"</f>
        <v>A11CC003101</v>
      </c>
      <c r="B498" s="5" t="str">
        <f>"ALF0120"</f>
        <v>ALF0120</v>
      </c>
      <c r="C498" s="5" t="str">
        <f>"A11CC04"</f>
        <v>A11CC04</v>
      </c>
      <c r="D498" s="5" t="str">
        <f>"CALCITRIOL 0.25ug CAP"</f>
        <v>CALCITRIOL 0.25ug CAP</v>
      </c>
      <c r="E498" s="5" t="str">
        <f>"0.25ug"</f>
        <v>0.25ug</v>
      </c>
      <c r="F498" s="5" t="str">
        <f>"CAPSULA"</f>
        <v>CAPSULA</v>
      </c>
      <c r="H498" s="6">
        <v>215</v>
      </c>
      <c r="I498" s="6">
        <v>1502</v>
      </c>
      <c r="J498" s="5" t="s">
        <v>1</v>
      </c>
    </row>
    <row r="499" spans="1:10" x14ac:dyDescent="0.25">
      <c r="A499" s="5" t="str">
        <f>"19938454-2"</f>
        <v>19938454-2</v>
      </c>
      <c r="B499" s="5" t="str">
        <f>"ALF0532"</f>
        <v>ALF0532</v>
      </c>
      <c r="C499" s="5" t="str">
        <f>"70256"</f>
        <v>70256</v>
      </c>
      <c r="D499" s="5" t="str">
        <f>"SOMATOSTATINA 3mg AMP"</f>
        <v>SOMATOSTATINA 3mg AMP</v>
      </c>
      <c r="E499" s="5" t="str">
        <f>"3MG"</f>
        <v>3MG</v>
      </c>
      <c r="F499" s="5" t="str">
        <f>"AMPOLLA"</f>
        <v>AMPOLLA</v>
      </c>
      <c r="H499" s="6">
        <v>150000</v>
      </c>
      <c r="I499" s="6">
        <v>208537.44</v>
      </c>
      <c r="J499" s="5" t="s">
        <v>0</v>
      </c>
    </row>
    <row r="500" spans="1:10" x14ac:dyDescent="0.25">
      <c r="A500" s="5" t="str">
        <f>"20072067-1"</f>
        <v>20072067-1</v>
      </c>
      <c r="B500" s="5" t="str">
        <f>"ALF1038"</f>
        <v>ALF1038</v>
      </c>
      <c r="C500" s="5" t="str">
        <f>"ALF1038"</f>
        <v>ALF1038</v>
      </c>
      <c r="D500" s="5" t="str">
        <f>"COLISTINA 150mg COLISTINA BASE ( COLISTIMETATO )5MILLONES"</f>
        <v>COLISTINA 150mg COLISTINA BASE ( COLISTIMETATO )5MILLONES</v>
      </c>
      <c r="E500" s="5" t="str">
        <f>"150MG-5MILLOES"</f>
        <v>150MG-5MILLOES</v>
      </c>
      <c r="F500" s="5" t="str">
        <f>"AMPOLLA"</f>
        <v>AMPOLLA</v>
      </c>
      <c r="H500" s="6">
        <v>179484</v>
      </c>
      <c r="I500" s="6">
        <v>220400</v>
      </c>
      <c r="J500" s="5" t="s">
        <v>0</v>
      </c>
    </row>
    <row r="501" spans="1:10" x14ac:dyDescent="0.25">
      <c r="A501" s="5" t="str">
        <f>"20022546-1"</f>
        <v>20022546-1</v>
      </c>
      <c r="B501" s="5" t="str">
        <f>"ALF0288"</f>
        <v>ALF0288</v>
      </c>
      <c r="C501" s="5" t="str">
        <f>"L03AA02"</f>
        <v>L03AA02</v>
      </c>
      <c r="D501" s="5" t="str">
        <f>"FILGASTRIN 300 MG AMPOLLA"</f>
        <v>FILGASTRIN 300 MG AMPOLLA</v>
      </c>
      <c r="E501" s="5" t="str">
        <f>"300MG"</f>
        <v>300MG</v>
      </c>
      <c r="F501" s="5" t="str">
        <f>"AMPOLLA"</f>
        <v>AMPOLLA</v>
      </c>
      <c r="H501" s="6">
        <v>50000</v>
      </c>
      <c r="I501" s="6">
        <v>103605</v>
      </c>
      <c r="J501" s="5" t="s">
        <v>0</v>
      </c>
    </row>
    <row r="502" spans="1:10" x14ac:dyDescent="0.25">
      <c r="A502" s="5" t="str">
        <f>"19961780-4"</f>
        <v>19961780-4</v>
      </c>
      <c r="B502" s="5" t="str">
        <f>"ALF0460"</f>
        <v>ALF0460</v>
      </c>
      <c r="C502" s="5" t="str">
        <f>"C08CN006151"</f>
        <v>C08CN006151</v>
      </c>
      <c r="D502" s="5" t="str">
        <f>"NIFEDIPINO 30mg CAPSULA"</f>
        <v>NIFEDIPINO 30mg CAPSULA</v>
      </c>
      <c r="E502" s="5" t="str">
        <f>"30mg"</f>
        <v>30mg</v>
      </c>
      <c r="F502" s="5" t="str">
        <f>"CAPSULA"</f>
        <v>CAPSULA</v>
      </c>
      <c r="G502" s="5" t="str">
        <f>"NIFEDIPINO"</f>
        <v>NIFEDIPINO</v>
      </c>
      <c r="H502" s="6">
        <v>164</v>
      </c>
      <c r="I502" s="6">
        <v>4606</v>
      </c>
      <c r="J502" s="5" t="s">
        <v>1</v>
      </c>
    </row>
    <row r="503" spans="1:10" x14ac:dyDescent="0.25">
      <c r="A503" s="5" t="str">
        <f>"13358-3"</f>
        <v>13358-3</v>
      </c>
      <c r="B503" s="5" t="str">
        <f>"ALF0338"</f>
        <v>ALF0338</v>
      </c>
      <c r="C503" s="5" t="str">
        <f>"B03AH012701"</f>
        <v>B03AH012701</v>
      </c>
      <c r="D503" s="5" t="str">
        <f>"HIERRO PARENTERAL100mg (VENOFER)"</f>
        <v>HIERRO PARENTERAL100mg (VENOFER)</v>
      </c>
      <c r="E503" s="5" t="str">
        <f>"100MG/5ML"</f>
        <v>100MG/5ML</v>
      </c>
      <c r="F503" s="5" t="str">
        <f>"AMPOLLA"</f>
        <v>AMPOLLA</v>
      </c>
      <c r="H503" s="6">
        <v>8800</v>
      </c>
      <c r="I503" s="6">
        <v>125550</v>
      </c>
      <c r="J503" s="5" t="s">
        <v>1</v>
      </c>
    </row>
    <row r="504" spans="1:10" x14ac:dyDescent="0.25">
      <c r="A504" s="5" t="str">
        <f>"19925167-2"</f>
        <v>19925167-2</v>
      </c>
      <c r="B504" s="5" t="str">
        <f>"ALF0374"</f>
        <v>ALF0374</v>
      </c>
      <c r="C504" s="5" t="str">
        <f>"A12AA20"</f>
        <v>A12AA20</v>
      </c>
      <c r="D504" s="5" t="str">
        <f>"KID -CAL SUSPENSIÓN X 180ML"</f>
        <v>KID -CAL SUSPENSIÓN X 180ML</v>
      </c>
      <c r="F504" s="5" t="str">
        <f>"FRASCO"</f>
        <v>FRASCO</v>
      </c>
      <c r="H504" s="6">
        <v>45300</v>
      </c>
      <c r="I504" s="6">
        <v>55000</v>
      </c>
      <c r="J504" s="5" t="s">
        <v>0</v>
      </c>
    </row>
    <row r="505" spans="1:10" x14ac:dyDescent="0.25">
      <c r="A505" s="5" t="str">
        <f>"35931-1"</f>
        <v>35931-1</v>
      </c>
      <c r="B505" s="5" t="str">
        <f>"ALF0495"</f>
        <v>ALF0495</v>
      </c>
      <c r="C505" s="5" t="str">
        <f>"B02AP036701"</f>
        <v>B02AP036701</v>
      </c>
      <c r="D505" s="5" t="str">
        <f>"PROTAMINA 1000 -5000UI/5ML SOLUCION INYECTABLE"</f>
        <v>PROTAMINA 1000 -5000UI/5ML SOLUCION INYECTABLE</v>
      </c>
      <c r="E505" s="5" t="str">
        <f>"1000-5000UI/5ML"</f>
        <v>1000-5000UI/5ML</v>
      </c>
      <c r="F505" s="5" t="str">
        <f>"AMPOLLA"</f>
        <v>AMPOLLA</v>
      </c>
      <c r="H505" s="6">
        <v>26400</v>
      </c>
      <c r="I505" s="6">
        <v>28900</v>
      </c>
      <c r="J505" s="5" t="s">
        <v>1</v>
      </c>
    </row>
    <row r="506" spans="1:10" x14ac:dyDescent="0.25">
      <c r="A506" s="5" t="str">
        <f>"41255"</f>
        <v>41255</v>
      </c>
      <c r="B506" s="5" t="str">
        <f>"ALF1032"</f>
        <v>ALF1032</v>
      </c>
      <c r="C506" s="5" t="str">
        <f>"H03BB02"</f>
        <v>H03BB02</v>
      </c>
      <c r="D506" s="5" t="str">
        <f>"METIMAZOL 5 mg ( TIAMAZOL )( TAPAZOL)"</f>
        <v>METIMAZOL 5 mg ( TIAMAZOL )( TAPAZOL)</v>
      </c>
      <c r="E506" s="5" t="str">
        <f>"5 mg"</f>
        <v>5 mg</v>
      </c>
      <c r="F506" s="5" t="str">
        <f>"TABLETA"</f>
        <v>TABLETA</v>
      </c>
      <c r="H506" s="6">
        <v>415.5</v>
      </c>
      <c r="I506" s="6">
        <v>700</v>
      </c>
      <c r="J506" s="5" t="s">
        <v>1</v>
      </c>
    </row>
    <row r="507" spans="1:10" x14ac:dyDescent="0.25">
      <c r="A507" s="5" t="str">
        <f>"A10AI009711"</f>
        <v>A10AI009711</v>
      </c>
      <c r="B507" s="5" t="str">
        <f>"ALF0677"</f>
        <v>ALF0677</v>
      </c>
      <c r="C507" s="5" t="str">
        <f>"A10AE01"</f>
        <v>A10AE01</v>
      </c>
      <c r="D507" s="5" t="str">
        <f>"INSULINA  HUMANA NPH X 1OML"</f>
        <v>INSULINA  HUMANA NPH X 1OML</v>
      </c>
      <c r="E507" s="5" t="str">
        <f>"10ML"</f>
        <v>10ML</v>
      </c>
      <c r="F507" s="5" t="str">
        <f>"AMPOLLA"</f>
        <v>AMPOLLA</v>
      </c>
      <c r="H507" s="6">
        <v>13500</v>
      </c>
      <c r="I507" s="6">
        <v>73304</v>
      </c>
      <c r="J507" s="5" t="s">
        <v>1</v>
      </c>
    </row>
    <row r="508" spans="1:10" x14ac:dyDescent="0.25">
      <c r="B508" s="5" t="str">
        <f>"ALF0685"</f>
        <v>ALF0685</v>
      </c>
      <c r="C508" s="5" t="str">
        <f>"ALF0685"</f>
        <v>ALF0685</v>
      </c>
      <c r="D508" s="5" t="str">
        <f>"FORMULA LACTEA EN POLVO 400GR  KLIM"</f>
        <v>FORMULA LACTEA EN POLVO 400GR  KLIM</v>
      </c>
      <c r="E508" s="5" t="str">
        <f>"400gr"</f>
        <v>400gr</v>
      </c>
      <c r="F508" s="5" t="str">
        <f>"LATA"</f>
        <v>LATA</v>
      </c>
      <c r="H508" s="6">
        <v>7800</v>
      </c>
      <c r="I508" s="6">
        <v>7800</v>
      </c>
      <c r="J508" s="5" t="s">
        <v>0</v>
      </c>
    </row>
    <row r="509" spans="1:10" x14ac:dyDescent="0.25">
      <c r="A509" s="5" t="str">
        <f>"19968374"</f>
        <v>19968374</v>
      </c>
      <c r="B509" s="5" t="str">
        <f>"ALF0688"</f>
        <v>ALF0688</v>
      </c>
      <c r="C509" s="5" t="str">
        <f>"D08AF99"</f>
        <v>D08AF99</v>
      </c>
      <c r="D509" s="5" t="str">
        <f>"NITROFURAZONA 500gr POMADA (NITROFUR)"</f>
        <v>NITROFURAZONA 500gr POMADA (NITROFUR)</v>
      </c>
      <c r="E509" s="5" t="str">
        <f>"500gr"</f>
        <v>500gr</v>
      </c>
      <c r="F509" s="5" t="str">
        <f>"FRASCO"</f>
        <v>FRASCO</v>
      </c>
      <c r="G509" s="5" t="str">
        <f>"NITROFURAZONA"</f>
        <v>NITROFURAZONA</v>
      </c>
      <c r="H509" s="6">
        <v>45625</v>
      </c>
      <c r="I509" s="6">
        <v>108100</v>
      </c>
      <c r="J509" s="5" t="s">
        <v>0</v>
      </c>
    </row>
    <row r="510" spans="1:10" x14ac:dyDescent="0.25">
      <c r="A510" s="5" t="str">
        <f>"33958-2"</f>
        <v>33958-2</v>
      </c>
      <c r="B510" s="5" t="str">
        <f>"ALF1006"</f>
        <v>ALF1006</v>
      </c>
      <c r="C510" s="5" t="str">
        <f>"ALF1006"</f>
        <v>ALF1006</v>
      </c>
      <c r="D510" s="5" t="str">
        <f>"KENACORT -A ( ACETONIDA DE TRIAMCINOLONA)"</f>
        <v>KENACORT -A ( ACETONIDA DE TRIAMCINOLONA)</v>
      </c>
      <c r="F510" s="5" t="str">
        <f>"AMPOLLA"</f>
        <v>AMPOLLA</v>
      </c>
      <c r="H510" s="6">
        <v>21700</v>
      </c>
      <c r="I510" s="6">
        <v>27675</v>
      </c>
      <c r="J510" s="5" t="s">
        <v>0</v>
      </c>
    </row>
    <row r="511" spans="1:10" x14ac:dyDescent="0.25">
      <c r="A511" s="5" t="str">
        <f>"19960975-1"</f>
        <v>19960975-1</v>
      </c>
      <c r="B511" s="5" t="str">
        <f>"ALF0695"</f>
        <v>ALF0695</v>
      </c>
      <c r="C511" s="5" t="str">
        <f>"V03AN001701"</f>
        <v>V03AN001701</v>
      </c>
      <c r="D511" s="5" t="str">
        <f>"NALOXONA AMPOLLA X 1ML"</f>
        <v>NALOXONA AMPOLLA X 1ML</v>
      </c>
      <c r="E511" s="5" t="str">
        <f>"1ML"</f>
        <v>1ML</v>
      </c>
      <c r="F511" s="5" t="str">
        <f>"AMPOLLA"</f>
        <v>AMPOLLA</v>
      </c>
      <c r="H511" s="6">
        <v>37500</v>
      </c>
      <c r="I511" s="6">
        <v>48000</v>
      </c>
      <c r="J511" s="5" t="s">
        <v>1</v>
      </c>
    </row>
    <row r="512" spans="1:10" x14ac:dyDescent="0.25">
      <c r="B512" s="5" t="str">
        <f>"ALF1230"</f>
        <v>ALF1230</v>
      </c>
      <c r="D512" s="5" t="str">
        <f>"ENDO CLIP II 10MM MEDIUM/LARGE-REF 176657"</f>
        <v>ENDO CLIP II 10MM MEDIUM/LARGE-REF 176657</v>
      </c>
      <c r="F512" s="5" t="str">
        <f t="shared" ref="F512" si="18">"UNIDAD"</f>
        <v>UNIDAD</v>
      </c>
      <c r="H512" s="6">
        <v>471240</v>
      </c>
      <c r="I512" s="6">
        <v>824670</v>
      </c>
      <c r="J512" s="5" t="s">
        <v>1</v>
      </c>
    </row>
    <row r="513" spans="1:10" x14ac:dyDescent="0.25">
      <c r="A513" s="5" t="str">
        <f>"20054318-1"</f>
        <v>20054318-1</v>
      </c>
      <c r="B513" s="5" t="str">
        <f>"ALF0172"</f>
        <v>ALF0172</v>
      </c>
      <c r="C513" s="5" t="str">
        <f>"J01MA02"</f>
        <v>J01MA02</v>
      </c>
      <c r="D513" s="5" t="str">
        <f>"CIPROFLOXACINA 500mg  TAB"</f>
        <v>CIPROFLOXACINA 500mg  TAB</v>
      </c>
      <c r="E513" s="5" t="str">
        <f>"500mg"</f>
        <v>500mg</v>
      </c>
      <c r="F513" s="5" t="str">
        <f>"TABLETA"</f>
        <v>TABLETA</v>
      </c>
      <c r="H513" s="6">
        <v>234</v>
      </c>
      <c r="I513" s="6">
        <v>5660</v>
      </c>
      <c r="J513" s="5" t="s">
        <v>1</v>
      </c>
    </row>
    <row r="514" spans="1:10" x14ac:dyDescent="0.25">
      <c r="B514" s="5" t="str">
        <f>"ALF0775"</f>
        <v>ALF0775</v>
      </c>
      <c r="C514" s="5" t="str">
        <f>"ALF0775"</f>
        <v>ALF0775</v>
      </c>
      <c r="D514" s="5" t="str">
        <f>"LACTOBUSILLUS,REUTERI.PROCTETIS X 5 ML (BIOGAIA GOTAS) x 5ML"</f>
        <v>LACTOBUSILLUS,REUTERI.PROCTETIS X 5 ML (BIOGAIA GOTAS) x 5ML</v>
      </c>
      <c r="E514" s="5" t="str">
        <f>"5ML"</f>
        <v>5ML</v>
      </c>
      <c r="F514" s="5" t="str">
        <f>"FRASCO CON GOTERO"</f>
        <v>FRASCO CON GOTERO</v>
      </c>
      <c r="G514" s="5" t="str">
        <f>"LACTOBUSILLUS,REUTERI.PROCTETIS"</f>
        <v>LACTOBUSILLUS,REUTERI.PROCTETIS</v>
      </c>
      <c r="H514" s="6">
        <v>84152</v>
      </c>
      <c r="I514" s="6">
        <v>65000</v>
      </c>
      <c r="J514" s="5" t="s">
        <v>0</v>
      </c>
    </row>
    <row r="515" spans="1:10" x14ac:dyDescent="0.25">
      <c r="A515" s="5" t="str">
        <f>"20007339"</f>
        <v>20007339</v>
      </c>
      <c r="B515" s="5" t="str">
        <f>"ALF0786"</f>
        <v>ALF0786</v>
      </c>
      <c r="C515" s="5" t="str">
        <f>"ALF0786"</f>
        <v>ALF0786</v>
      </c>
      <c r="D515" s="5" t="str">
        <f>"FOSFATO DE SODIO MONOBASICO-FOSFATO DE SODIO BIBASICO (6G+16G)ML ( ENEMA ORAL X 133 CC)"</f>
        <v>FOSFATO DE SODIO MONOBASICO-FOSFATO DE SODIO BIBASICO (6G+16G)ML ( ENEMA ORAL X 133 CC)</v>
      </c>
      <c r="E515" s="5" t="str">
        <f>"133ML"</f>
        <v>133ML</v>
      </c>
      <c r="F515" s="5" t="str">
        <f>"BOLSA"</f>
        <v>BOLSA</v>
      </c>
      <c r="H515" s="6">
        <v>16742</v>
      </c>
      <c r="I515" s="6">
        <v>21350</v>
      </c>
      <c r="J515" s="5" t="s">
        <v>0</v>
      </c>
    </row>
    <row r="516" spans="1:10" x14ac:dyDescent="0.25">
      <c r="A516" s="5" t="str">
        <f>"20062592-1"</f>
        <v>20062592-1</v>
      </c>
      <c r="B516" s="5" t="str">
        <f>"ALF0789"</f>
        <v>ALF0789</v>
      </c>
      <c r="C516" s="5" t="str">
        <f>"J01MA12"</f>
        <v>J01MA12</v>
      </c>
      <c r="D516" s="5" t="str">
        <f>"LevoFLOXACINO 500MG AMPOLLA"</f>
        <v>LevoFLOXACINO 500MG AMPOLLA</v>
      </c>
      <c r="E516" s="5" t="str">
        <f>"500MG"</f>
        <v>500MG</v>
      </c>
      <c r="F516" s="5" t="str">
        <f>"AMPOLLA"</f>
        <v>AMPOLLA</v>
      </c>
      <c r="H516" s="6">
        <v>27500</v>
      </c>
      <c r="I516" s="6">
        <v>140000</v>
      </c>
      <c r="J516" s="5" t="s">
        <v>0</v>
      </c>
    </row>
    <row r="517" spans="1:10" x14ac:dyDescent="0.25">
      <c r="A517" s="5" t="str">
        <f>"1980395-1"</f>
        <v>1980395-1</v>
      </c>
      <c r="B517" s="5" t="str">
        <f>"ALF0860"</f>
        <v>ALF0860</v>
      </c>
      <c r="C517" s="5" t="str">
        <f>"P02CP010221"</f>
        <v>P02CP010221</v>
      </c>
      <c r="D517" s="5" t="str">
        <f>"PIPERAZINA  20% 60ML JARABE"</f>
        <v>PIPERAZINA  20% 60ML JARABE</v>
      </c>
      <c r="E517" s="5" t="str">
        <f>"10%"</f>
        <v>10%</v>
      </c>
      <c r="F517" s="5" t="str">
        <f>"FRASCO"</f>
        <v>FRASCO</v>
      </c>
      <c r="H517" s="6">
        <v>3800</v>
      </c>
      <c r="I517" s="6">
        <v>13000</v>
      </c>
      <c r="J517" s="5" t="s">
        <v>1</v>
      </c>
    </row>
    <row r="518" spans="1:10" x14ac:dyDescent="0.25">
      <c r="A518" s="5" t="str">
        <f>"225390"</f>
        <v>225390</v>
      </c>
      <c r="B518" s="5" t="str">
        <f>"ALF0876"</f>
        <v>ALF0876</v>
      </c>
      <c r="C518" s="5" t="str">
        <f>"N03AX1101"</f>
        <v>N03AX1101</v>
      </c>
      <c r="D518" s="5" t="str">
        <f>"TOPIRAMATO 25mg"</f>
        <v>TOPIRAMATO 25mg</v>
      </c>
      <c r="F518" s="5" t="str">
        <f>"TABLETA"</f>
        <v>TABLETA</v>
      </c>
      <c r="G518" s="5" t="str">
        <f>"19914784"</f>
        <v>19914784</v>
      </c>
      <c r="H518" s="6">
        <v>500</v>
      </c>
      <c r="I518" s="6">
        <v>5000</v>
      </c>
      <c r="J518" s="5" t="s">
        <v>0</v>
      </c>
    </row>
    <row r="519" spans="1:10" x14ac:dyDescent="0.25">
      <c r="B519" s="5" t="str">
        <f>"ALF0799"</f>
        <v>ALF0799</v>
      </c>
      <c r="C519" s="5" t="str">
        <f>"ALF0799"</f>
        <v>ALF0799</v>
      </c>
      <c r="D519" s="5" t="str">
        <f>"SAL DE EPSON X 100G"</f>
        <v>SAL DE EPSON X 100G</v>
      </c>
      <c r="F519" s="5" t="str">
        <f>"SOBRE"</f>
        <v>SOBRE</v>
      </c>
      <c r="H519" s="6">
        <v>1904</v>
      </c>
      <c r="I519" s="6">
        <v>3300</v>
      </c>
      <c r="J519" s="5" t="s">
        <v>1</v>
      </c>
    </row>
    <row r="520" spans="1:10" x14ac:dyDescent="0.25">
      <c r="A520" s="5" t="str">
        <f>"34606-1"</f>
        <v>34606-1</v>
      </c>
      <c r="B520" s="5" t="str">
        <f>"ALF0299"</f>
        <v>ALF0299</v>
      </c>
      <c r="C520" s="5" t="str">
        <f>"D02AB99"</f>
        <v>D02AB99</v>
      </c>
      <c r="D520" s="5" t="str">
        <f>"PASTA GRANUGENA UNGÜENTO X 60GR(OXIDO DE ZING)"</f>
        <v>PASTA GRANUGENA UNGÜENTO X 60GR(OXIDO DE ZING)</v>
      </c>
      <c r="E520" s="5" t="str">
        <f>"20% OXIDO DE ZINC"</f>
        <v>20% OXIDO DE ZINC</v>
      </c>
      <c r="F520" s="5" t="str">
        <f>"TUBO COLAPSIBLE"</f>
        <v>TUBO COLAPSIBLE</v>
      </c>
      <c r="G520" s="5" t="str">
        <f>"OXIDO DE ZINC"</f>
        <v>OXIDO DE ZINC</v>
      </c>
      <c r="H520" s="6">
        <v>25800</v>
      </c>
      <c r="I520" s="6">
        <v>25880</v>
      </c>
      <c r="J520" s="5" t="s">
        <v>0</v>
      </c>
    </row>
    <row r="521" spans="1:10" x14ac:dyDescent="0.25">
      <c r="B521" s="5" t="str">
        <f>"ALF1109"</f>
        <v>ALF1109</v>
      </c>
      <c r="C521" s="5" t="str">
        <f>"ALF1109"</f>
        <v>ALF1109</v>
      </c>
      <c r="D521" s="5" t="str">
        <f>"DOXOFILINA 400MG TABLETA"</f>
        <v>DOXOFILINA 400MG TABLETA</v>
      </c>
      <c r="E521" s="5" t="str">
        <f>"400MG"</f>
        <v>400MG</v>
      </c>
      <c r="F521" s="5" t="str">
        <f>"TABLETA"</f>
        <v>TABLETA</v>
      </c>
      <c r="H521" s="6">
        <v>3595</v>
      </c>
      <c r="I521" s="6">
        <v>4800</v>
      </c>
      <c r="J521" s="5" t="s">
        <v>0</v>
      </c>
    </row>
    <row r="522" spans="1:10" x14ac:dyDescent="0.25">
      <c r="A522" s="5" t="str">
        <f>"19983736-2"</f>
        <v>19983736-2</v>
      </c>
      <c r="B522" s="5" t="str">
        <f>"ALF0419"</f>
        <v>ALF0419</v>
      </c>
      <c r="C522" s="5" t="str">
        <f>"C01EB17"</f>
        <v>C01EB17</v>
      </c>
      <c r="D522" s="5" t="str">
        <f>"IVABRADINA 5MG TAB PROCORALAN"</f>
        <v>IVABRADINA 5MG TAB PROCORALAN</v>
      </c>
      <c r="E522" s="5" t="str">
        <f>"5MG"</f>
        <v>5MG</v>
      </c>
      <c r="F522" s="5" t="str">
        <f>"TABLETA"</f>
        <v>TABLETA</v>
      </c>
      <c r="H522" s="6">
        <v>3637</v>
      </c>
      <c r="I522" s="6">
        <v>4546</v>
      </c>
      <c r="J522" s="5" t="s">
        <v>0</v>
      </c>
    </row>
    <row r="523" spans="1:10" x14ac:dyDescent="0.25">
      <c r="A523" s="5" t="str">
        <f>"227757-1"</f>
        <v>227757-1</v>
      </c>
      <c r="B523" s="5" t="str">
        <f>"ALF0843"</f>
        <v>ALF0843</v>
      </c>
      <c r="C523" s="5" t="str">
        <f>"N07CA01"</f>
        <v>N07CA01</v>
      </c>
      <c r="D523" s="5" t="str">
        <f>"BETAHISTINA DICLORHIDRATO 8 Mg TAB"</f>
        <v>BETAHISTINA DICLORHIDRATO 8 Mg TAB</v>
      </c>
      <c r="E523" s="5" t="str">
        <f>"8MG"</f>
        <v>8MG</v>
      </c>
      <c r="F523" s="5" t="str">
        <f>"TABLETA"</f>
        <v>TABLETA</v>
      </c>
      <c r="H523" s="6">
        <v>1300</v>
      </c>
      <c r="I523" s="6">
        <v>2500</v>
      </c>
      <c r="J523" s="5" t="s">
        <v>0</v>
      </c>
    </row>
    <row r="524" spans="1:10" x14ac:dyDescent="0.25">
      <c r="A524" s="5" t="str">
        <f>"20035302-1"</f>
        <v>20035302-1</v>
      </c>
      <c r="B524" s="5" t="str">
        <f>"ALF0847"</f>
        <v>ALF0847</v>
      </c>
      <c r="C524" s="5" t="str">
        <f>"N06BC01"</f>
        <v>N06BC01</v>
      </c>
      <c r="D524" s="5" t="str">
        <f>"CAFEINNOVA VIA IV ( CITRATO DE CAFEINA 60mg/3ML)"</f>
        <v>CAFEINNOVA VIA IV ( CITRATO DE CAFEINA 60mg/3ML)</v>
      </c>
      <c r="E524" s="5" t="str">
        <f>"60mg/3ml"</f>
        <v>60mg/3ml</v>
      </c>
      <c r="F524" s="5" t="str">
        <f>"AMPOLLA"</f>
        <v>AMPOLLA</v>
      </c>
      <c r="H524" s="6">
        <v>60000</v>
      </c>
      <c r="I524" s="6">
        <v>88515</v>
      </c>
      <c r="J524" s="5" t="s">
        <v>0</v>
      </c>
    </row>
    <row r="525" spans="1:10" x14ac:dyDescent="0.25">
      <c r="A525" s="5" t="str">
        <f>"20046087-1"</f>
        <v>20046087-1</v>
      </c>
      <c r="B525" s="5" t="str">
        <f>"ALF0933"</f>
        <v>ALF0933</v>
      </c>
      <c r="C525" s="5" t="str">
        <f>"A11GA031201"</f>
        <v>A11GA031201</v>
      </c>
      <c r="D525" s="5" t="str">
        <f>"ACIDO ASCORBICO 500mg/5ML  AMP (VIT C )"</f>
        <v>ACIDO ASCORBICO 500mg/5ML  AMP (VIT C )</v>
      </c>
      <c r="E525" s="5" t="str">
        <f>"500mg/mL"</f>
        <v>500mg/mL</v>
      </c>
      <c r="F525" s="5" t="str">
        <f>"AMPOLLA"</f>
        <v>AMPOLLA</v>
      </c>
      <c r="H525" s="6">
        <v>6615</v>
      </c>
      <c r="I525" s="6">
        <v>8600</v>
      </c>
      <c r="J525" s="5" t="s">
        <v>1</v>
      </c>
    </row>
    <row r="526" spans="1:10" x14ac:dyDescent="0.25">
      <c r="A526" s="5" t="str">
        <f>"19960909-1"</f>
        <v>19960909-1</v>
      </c>
      <c r="B526" s="5" t="str">
        <f>"ALF0848"</f>
        <v>ALF0848</v>
      </c>
      <c r="C526" s="5" t="str">
        <f>"ALF0848"</f>
        <v>ALF0848</v>
      </c>
      <c r="D526" s="5" t="str">
        <f>"POLIBAR ACB (SULFATO DE  BARIO 96% ENEMA RECTAL )"</f>
        <v>POLIBAR ACB (SULFATO DE  BARIO 96% ENEMA RECTAL )</v>
      </c>
      <c r="E526" s="5" t="str">
        <f>"96%"</f>
        <v>96%</v>
      </c>
      <c r="F526" s="5" t="str">
        <f>"BOLSA"</f>
        <v>BOLSA</v>
      </c>
      <c r="G526" s="5" t="str">
        <f>"SULFATO DE BARIO"</f>
        <v>SULFATO DE BARIO</v>
      </c>
      <c r="H526" s="6">
        <v>55000</v>
      </c>
      <c r="I526" s="6">
        <v>85000</v>
      </c>
      <c r="J526" s="5" t="s">
        <v>0</v>
      </c>
    </row>
    <row r="527" spans="1:10" x14ac:dyDescent="0.25">
      <c r="B527" s="5" t="str">
        <f>"ALF1057"</f>
        <v>ALF1057</v>
      </c>
      <c r="C527" s="5" t="str">
        <f>"ALF1057"</f>
        <v>ALF1057</v>
      </c>
      <c r="D527" s="5" t="str">
        <f>"SULFATO DE BARIO SUSPENSION ORAL 176GR"</f>
        <v>SULFATO DE BARIO SUSPENSION ORAL 176GR</v>
      </c>
      <c r="E527" s="5" t="str">
        <f>"96%"</f>
        <v>96%</v>
      </c>
      <c r="F527" s="5" t="str">
        <f>"UNIDAD"</f>
        <v>UNIDAD</v>
      </c>
      <c r="H527" s="6">
        <v>25000</v>
      </c>
      <c r="I527" s="6">
        <v>33750</v>
      </c>
      <c r="J527" s="5" t="s">
        <v>1</v>
      </c>
    </row>
    <row r="528" spans="1:10" x14ac:dyDescent="0.25">
      <c r="B528" s="5" t="str">
        <f>"ALF0887"</f>
        <v>ALF0887</v>
      </c>
      <c r="C528" s="5" t="str">
        <f>"J07BV002701"</f>
        <v>J07BV002701</v>
      </c>
      <c r="D528" s="5" t="str">
        <f>"HEPATITIS B RECOMBINANTE ( RECOMBAX )"</f>
        <v>HEPATITIS B RECOMBINANTE ( RECOMBAX )</v>
      </c>
      <c r="E528" s="5" t="str">
        <f>"20ML"</f>
        <v>20ML</v>
      </c>
      <c r="F528" s="5" t="str">
        <f>"AMPOLLA"</f>
        <v>AMPOLLA</v>
      </c>
      <c r="H528" s="6">
        <v>136000</v>
      </c>
      <c r="I528" s="6">
        <v>170000</v>
      </c>
      <c r="J528" s="5" t="s">
        <v>1</v>
      </c>
    </row>
    <row r="529" spans="1:10" x14ac:dyDescent="0.25">
      <c r="A529" s="5" t="str">
        <f>"19951088-3"</f>
        <v>19951088-3</v>
      </c>
      <c r="B529" s="5" t="str">
        <f>"ALF0136"</f>
        <v>ALF0136</v>
      </c>
      <c r="C529" s="5" t="str">
        <f>"C07AG0201"</f>
        <v>C07AG0201</v>
      </c>
      <c r="D529" s="5" t="str">
        <f>"CARVEDILOL 25 MG TABLETA"</f>
        <v>CARVEDILOL 25 MG TABLETA</v>
      </c>
      <c r="E529" s="5" t="str">
        <f>"25 MG"</f>
        <v>25 MG</v>
      </c>
      <c r="F529" s="5" t="str">
        <f>"TABLETA"</f>
        <v>TABLETA</v>
      </c>
      <c r="H529" s="6">
        <v>222</v>
      </c>
      <c r="I529" s="6">
        <v>500</v>
      </c>
      <c r="J529" s="5" t="s">
        <v>0</v>
      </c>
    </row>
    <row r="530" spans="1:10" x14ac:dyDescent="0.25">
      <c r="A530" s="5" t="str">
        <f>"19951090-3"</f>
        <v>19951090-3</v>
      </c>
      <c r="B530" s="5" t="str">
        <f>"ALF0137"</f>
        <v>ALF0137</v>
      </c>
      <c r="C530" s="5" t="str">
        <f>"C07AG02"</f>
        <v>C07AG02</v>
      </c>
      <c r="D530" s="5" t="str">
        <f>"CARVEDILOL 6.25mg TAB"</f>
        <v>CARVEDILOL 6.25mg TAB</v>
      </c>
      <c r="E530" s="5" t="str">
        <f>"6.25mg"</f>
        <v>6.25mg</v>
      </c>
      <c r="F530" s="5" t="str">
        <f>"TABLETA"</f>
        <v>TABLETA</v>
      </c>
      <c r="H530" s="6">
        <v>92</v>
      </c>
      <c r="I530" s="6">
        <v>126.25</v>
      </c>
      <c r="J530" s="5" t="s">
        <v>1</v>
      </c>
    </row>
    <row r="531" spans="1:10" x14ac:dyDescent="0.25">
      <c r="A531" s="5" t="str">
        <f>"19939451-1"</f>
        <v>19939451-1</v>
      </c>
      <c r="B531" s="5" t="str">
        <f>"ALF0452"</f>
        <v>ALF0452</v>
      </c>
      <c r="C531" s="5" t="str">
        <f>"B05BA10"</f>
        <v>B05BA10</v>
      </c>
      <c r="D531" s="5" t="str">
        <f>"MULTIVITAMINAS PEDIATRICAS"</f>
        <v>MULTIVITAMINAS PEDIATRICAS</v>
      </c>
      <c r="F531" s="5" t="str">
        <f>"AMPOLLA"</f>
        <v>AMPOLLA</v>
      </c>
      <c r="G531" s="5" t="str">
        <f>"MULTIVITAMINAS"</f>
        <v>MULTIVITAMINAS</v>
      </c>
      <c r="H531" s="6">
        <v>55000</v>
      </c>
      <c r="I531" s="6">
        <v>69000</v>
      </c>
      <c r="J531" s="5" t="s">
        <v>1</v>
      </c>
    </row>
    <row r="532" spans="1:10" x14ac:dyDescent="0.25">
      <c r="B532" s="5" t="str">
        <f>"ALF1105"</f>
        <v>ALF1105</v>
      </c>
      <c r="C532" s="5" t="str">
        <f>"ALF1105"</f>
        <v>ALF1105</v>
      </c>
      <c r="D532" s="5" t="str">
        <f>"PENICILINA POTASICA PEN  VEE K 250MG/5ML SUSPENCION-400.000UDS"</f>
        <v>PENICILINA POTASICA PEN  VEE K 250MG/5ML SUSPENCION-400.000UDS</v>
      </c>
      <c r="F532" s="5" t="str">
        <f>"FRASCO"</f>
        <v>FRASCO</v>
      </c>
      <c r="H532" s="6">
        <v>37600</v>
      </c>
      <c r="I532" s="6">
        <v>50625</v>
      </c>
      <c r="J532" s="5" t="s">
        <v>0</v>
      </c>
    </row>
    <row r="533" spans="1:10" x14ac:dyDescent="0.25">
      <c r="B533" s="5" t="str">
        <f>"ALF1144"</f>
        <v>ALF1144</v>
      </c>
      <c r="C533" s="5" t="str">
        <f>"ALF1144"</f>
        <v>ALF1144</v>
      </c>
      <c r="D533" s="5" t="str">
        <f>"Cefuroxima  750 mg polvo para solución /suspensión inyectable"</f>
        <v>Cefuroxima  750 mg polvo para solución /suspensión inyectable</v>
      </c>
      <c r="E533" s="5" t="str">
        <f>"750 mg"</f>
        <v>750 mg</v>
      </c>
      <c r="F533" s="5" t="str">
        <f>"AMPOLLA"</f>
        <v>AMPOLLA</v>
      </c>
      <c r="H533" s="6">
        <v>2328</v>
      </c>
      <c r="I533" s="6">
        <v>3145</v>
      </c>
      <c r="J533" s="5" t="s">
        <v>0</v>
      </c>
    </row>
    <row r="534" spans="1:10" x14ac:dyDescent="0.25">
      <c r="A534" s="5" t="str">
        <f>"19911481-1"</f>
        <v>19911481-1</v>
      </c>
      <c r="B534" s="5" t="str">
        <f>"ALF0401"</f>
        <v>ALF0401</v>
      </c>
      <c r="C534" s="5" t="str">
        <f>"J05AE1102"</f>
        <v>J05AE1102</v>
      </c>
      <c r="D534" s="5" t="str">
        <f>"LOPINAVIR 80mg + RITONAVIR 20mg JARABE (KALETRA)"</f>
        <v>LOPINAVIR 80mg + RITONAVIR 20mg JARABE (KALETRA)</v>
      </c>
      <c r="E534" s="5" t="str">
        <f>"80MG/20MG"</f>
        <v>80MG/20MG</v>
      </c>
      <c r="F534" s="5" t="str">
        <f>"FRASCO"</f>
        <v>FRASCO</v>
      </c>
      <c r="H534" s="6">
        <v>56916</v>
      </c>
      <c r="I534" s="6">
        <v>58862</v>
      </c>
      <c r="J534" s="5" t="s">
        <v>0</v>
      </c>
    </row>
    <row r="535" spans="1:10" x14ac:dyDescent="0.25">
      <c r="A535" s="5" t="str">
        <f>"230435-1"</f>
        <v>230435-1</v>
      </c>
      <c r="B535" s="5" t="str">
        <f>"ALF0674"</f>
        <v>ALF0674</v>
      </c>
      <c r="C535" s="5" t="str">
        <f>"J06BB16"</f>
        <v>J06BB16</v>
      </c>
      <c r="D535" s="5" t="str">
        <f>"PALIVIZUMAB 50MG AMPOLLA(SYNAGIS)"</f>
        <v>PALIVIZUMAB 50MG AMPOLLA(SYNAGIS)</v>
      </c>
      <c r="E535" s="5" t="str">
        <f>"50mg"</f>
        <v>50mg</v>
      </c>
      <c r="F535" s="5" t="str">
        <f>"AMPOLLA"</f>
        <v>AMPOLLA</v>
      </c>
      <c r="G535" s="5" t="str">
        <f>"PALIVISUMAD"</f>
        <v>PALIVISUMAD</v>
      </c>
      <c r="H535" s="6">
        <v>1350990</v>
      </c>
      <c r="I535" s="6">
        <v>1422179</v>
      </c>
      <c r="J535" s="5" t="s">
        <v>1</v>
      </c>
    </row>
    <row r="536" spans="1:10" x14ac:dyDescent="0.25">
      <c r="A536" s="5" t="str">
        <f>"C09AC004012"</f>
        <v>C09AC004012</v>
      </c>
      <c r="B536" s="5" t="str">
        <f>"ALF0131"</f>
        <v>ALF0131</v>
      </c>
      <c r="C536" s="5" t="str">
        <f>"C09AA01"</f>
        <v>C09AA01</v>
      </c>
      <c r="D536" s="5" t="str">
        <f>"CAPTOPRIL 25mg TAB"</f>
        <v>CAPTOPRIL 25mg TAB</v>
      </c>
      <c r="E536" s="5" t="str">
        <f>"25mg"</f>
        <v>25mg</v>
      </c>
      <c r="F536" s="5" t="str">
        <f>"TABLETA"</f>
        <v>TABLETA</v>
      </c>
      <c r="H536" s="6">
        <v>60</v>
      </c>
      <c r="I536" s="6">
        <v>897</v>
      </c>
      <c r="J536" s="5" t="s">
        <v>1</v>
      </c>
    </row>
    <row r="537" spans="1:10" x14ac:dyDescent="0.25">
      <c r="A537" s="5" t="str">
        <f>"213270-1"</f>
        <v>213270-1</v>
      </c>
      <c r="B537" s="5" t="str">
        <f>"ALF0132"</f>
        <v>ALF0132</v>
      </c>
      <c r="C537" s="5" t="str">
        <f>"C09AA01"</f>
        <v>C09AA01</v>
      </c>
      <c r="D537" s="5" t="str">
        <f>"CAPTOPRIL 50mg TAB"</f>
        <v>CAPTOPRIL 50mg TAB</v>
      </c>
      <c r="E537" s="5" t="str">
        <f>"50mg"</f>
        <v>50mg</v>
      </c>
      <c r="F537" s="5" t="str">
        <f>"TABLETA"</f>
        <v>TABLETA</v>
      </c>
      <c r="H537" s="6">
        <v>71</v>
      </c>
      <c r="I537" s="6">
        <v>1033</v>
      </c>
      <c r="J537" s="5" t="s">
        <v>1</v>
      </c>
    </row>
    <row r="538" spans="1:10" x14ac:dyDescent="0.25">
      <c r="A538" s="5" t="str">
        <f>"19938258-1"</f>
        <v>19938258-1</v>
      </c>
      <c r="B538" s="5" t="str">
        <f>"ALF0181"</f>
        <v>ALF0181</v>
      </c>
      <c r="C538" s="5" t="str">
        <f>"P02CF01"</f>
        <v>P02CF01</v>
      </c>
      <c r="D538" s="5" t="str">
        <f>"IVERMECTINA GOTA0.6% (ORAL)5ML"</f>
        <v>IVERMECTINA GOTA0.6% (ORAL)5ML</v>
      </c>
      <c r="E538" s="5" t="str">
        <f>"0.6%/5ML"</f>
        <v>0.6%/5ML</v>
      </c>
      <c r="F538" s="5" t="str">
        <f>"FRASCO CON GOTERO"</f>
        <v>FRASCO CON GOTERO</v>
      </c>
      <c r="H538" s="6">
        <v>26400</v>
      </c>
      <c r="I538" s="6">
        <v>18500</v>
      </c>
      <c r="J538" s="5" t="s">
        <v>0</v>
      </c>
    </row>
    <row r="539" spans="1:10" x14ac:dyDescent="0.25">
      <c r="A539" s="5" t="str">
        <f>"1990415-1"</f>
        <v>1990415-1</v>
      </c>
      <c r="B539" s="5" t="str">
        <f>"ALF0846"</f>
        <v>ALF0846</v>
      </c>
      <c r="C539" s="5" t="str">
        <f>"M01AB15"</f>
        <v>M01AB15</v>
      </c>
      <c r="D539" s="5" t="str">
        <f>"KETRON (KETOROLACO TROMETAMINA 30MG/2ML"</f>
        <v>KETRON (KETOROLACO TROMETAMINA 30MG/2ML</v>
      </c>
      <c r="E539" s="5" t="str">
        <f>"30mg/2ML"</f>
        <v>30mg/2ML</v>
      </c>
      <c r="F539" s="5" t="str">
        <f>"AMPOLLA"</f>
        <v>AMPOLLA</v>
      </c>
      <c r="H539" s="6">
        <v>11308</v>
      </c>
      <c r="I539" s="6">
        <v>12000</v>
      </c>
      <c r="J539" s="5" t="s">
        <v>0</v>
      </c>
    </row>
    <row r="540" spans="1:10" x14ac:dyDescent="0.25">
      <c r="B540" s="5" t="str">
        <f>"ALF1143"</f>
        <v>ALF1143</v>
      </c>
      <c r="C540" s="5" t="str">
        <f>"ALF1143"</f>
        <v>ALF1143</v>
      </c>
      <c r="D540" s="5" t="str">
        <f>"MOSAPRIDA CITRATO 5MG+SIMETICONA 125MG TABLETA"</f>
        <v>MOSAPRIDA CITRATO 5MG+SIMETICONA 125MG TABLETA</v>
      </c>
      <c r="E540" s="5" t="str">
        <f>"5MG+125MG"</f>
        <v>5MG+125MG</v>
      </c>
      <c r="F540" s="5" t="str">
        <f>"TABLETA"</f>
        <v>TABLETA</v>
      </c>
      <c r="H540" s="6">
        <v>2750</v>
      </c>
      <c r="I540" s="6">
        <v>3800</v>
      </c>
      <c r="J540" s="5" t="s">
        <v>0</v>
      </c>
    </row>
    <row r="541" spans="1:10" x14ac:dyDescent="0.25">
      <c r="A541" s="5" t="str">
        <f>"19930887-1"</f>
        <v>19930887-1</v>
      </c>
      <c r="B541" s="5" t="str">
        <f>"ALF1217"</f>
        <v>ALF1217</v>
      </c>
      <c r="D541" s="5" t="str">
        <f>"SULFADIAZINA DE PLATA 1%X 100GR"</f>
        <v>SULFADIAZINA DE PLATA 1%X 100GR</v>
      </c>
      <c r="E541" s="5" t="str">
        <f>"100GR"</f>
        <v>100GR</v>
      </c>
      <c r="F541" s="5" t="str">
        <f t="shared" ref="F541" si="19">"UNIDAD"</f>
        <v>UNIDAD</v>
      </c>
      <c r="H541" s="6">
        <v>23625</v>
      </c>
      <c r="I541" s="6">
        <v>32000</v>
      </c>
      <c r="J541" s="5" t="s">
        <v>1</v>
      </c>
    </row>
    <row r="542" spans="1:10" x14ac:dyDescent="0.25">
      <c r="A542" s="5" t="str">
        <f>"200184211-2"</f>
        <v>200184211-2</v>
      </c>
      <c r="B542" s="5" t="str">
        <f>"ALF0203"</f>
        <v>ALF0203</v>
      </c>
      <c r="C542" s="5" t="str">
        <f>"C09CL021163"</f>
        <v>C09CL021163</v>
      </c>
      <c r="D542" s="5" t="str">
        <f>"COLISTINA  1 millon UI( 33.33MG )COLISTINA BASE ( COLISTIMETATO )"</f>
        <v>COLISTINA  1 millon UI( 33.33MG )COLISTINA BASE ( COLISTIMETATO )</v>
      </c>
      <c r="E542" s="5" t="str">
        <f>"100mg"</f>
        <v>100mg</v>
      </c>
      <c r="F542" s="5" t="str">
        <f>"AMPOLLA"</f>
        <v>AMPOLLA</v>
      </c>
      <c r="H542" s="6">
        <v>99000</v>
      </c>
      <c r="I542" s="6">
        <v>195000</v>
      </c>
      <c r="J542" s="5" t="s">
        <v>0</v>
      </c>
    </row>
    <row r="543" spans="1:10" x14ac:dyDescent="0.25">
      <c r="A543" s="5" t="str">
        <f>"32820-1"</f>
        <v>32820-1</v>
      </c>
      <c r="B543" s="5" t="str">
        <f>"ALF0943"</f>
        <v>ALF0943</v>
      </c>
      <c r="C543" s="5" t="str">
        <f>"J01CR02"</f>
        <v>J01CR02</v>
      </c>
      <c r="D543" s="5" t="str">
        <f>"AMOXICILINA - CLAVULANATO  250mg POLVO PARA RECONSTITUIR A SUSPENSIÓN ORAL"</f>
        <v>AMOXICILINA - CLAVULANATO  250mg POLVO PARA RECONSTITUIR A SUSPENSIÓN ORAL</v>
      </c>
      <c r="F543" s="5" t="str">
        <f>"FRASCO"</f>
        <v>FRASCO</v>
      </c>
      <c r="H543" s="6">
        <v>47300</v>
      </c>
      <c r="I543" s="6">
        <v>150000</v>
      </c>
      <c r="J543" s="5" t="s">
        <v>0</v>
      </c>
    </row>
    <row r="544" spans="1:10" x14ac:dyDescent="0.25">
      <c r="A544" s="5" t="str">
        <f>"P02CA008011"</f>
        <v>P02CA008011</v>
      </c>
      <c r="B544" s="5" t="str">
        <f>"ALF0048"</f>
        <v>ALF0048</v>
      </c>
      <c r="C544" s="5" t="str">
        <f>"P02CA03"</f>
        <v>P02CA03</v>
      </c>
      <c r="D544" s="5" t="str">
        <f>"ALBENDAZOL 200mg TAB"</f>
        <v>ALBENDAZOL 200mg TAB</v>
      </c>
      <c r="E544" s="5" t="str">
        <f>"200mg"</f>
        <v>200mg</v>
      </c>
      <c r="F544" s="5" t="str">
        <f>"TABLETA"</f>
        <v>TABLETA</v>
      </c>
      <c r="H544" s="6">
        <v>149</v>
      </c>
      <c r="I544" s="6">
        <v>1689</v>
      </c>
      <c r="J544" s="5" t="s">
        <v>1</v>
      </c>
    </row>
    <row r="545" spans="1:10" x14ac:dyDescent="0.25">
      <c r="A545" s="5" t="str">
        <f>"19989642-1"</f>
        <v>19989642-1</v>
      </c>
      <c r="B545" s="5" t="str">
        <f>"ALF1008"</f>
        <v>ALF1008</v>
      </c>
      <c r="C545" s="5" t="str">
        <f>"ALF1008"</f>
        <v>ALF1008</v>
      </c>
      <c r="D545" s="5" t="str">
        <f>"Complejo de Protrombina  AMP X 500 UI OCTAPLEX"</f>
        <v>Complejo de Protrombina  AMP X 500 UI OCTAPLEX</v>
      </c>
      <c r="E545" s="5" t="str">
        <f>"500ui"</f>
        <v>500ui</v>
      </c>
      <c r="F545" s="5" t="str">
        <f>"AMPOLLA"</f>
        <v>AMPOLLA</v>
      </c>
      <c r="H545" s="6">
        <v>1918750</v>
      </c>
      <c r="I545" s="6">
        <v>2362500</v>
      </c>
      <c r="J545" s="5" t="s">
        <v>0</v>
      </c>
    </row>
    <row r="546" spans="1:10" x14ac:dyDescent="0.25">
      <c r="B546" s="5" t="str">
        <f>"ALF1014"</f>
        <v>ALF1014</v>
      </c>
      <c r="C546" s="5" t="str">
        <f>"ALF1014"</f>
        <v>ALF1014</v>
      </c>
      <c r="D546" s="5" t="str">
        <f>"TERLIPRESINA ACETATO 1mg (GLYPRESSIN)"</f>
        <v>TERLIPRESINA ACETATO 1mg (GLYPRESSIN)</v>
      </c>
      <c r="E546" s="5" t="str">
        <f>"1mg/mL"</f>
        <v>1mg/mL</v>
      </c>
      <c r="F546" s="5" t="str">
        <f>"AMPOLLA"</f>
        <v>AMPOLLA</v>
      </c>
      <c r="H546" s="6">
        <v>162500</v>
      </c>
      <c r="I546" s="6">
        <v>219375</v>
      </c>
      <c r="J546" s="5" t="s">
        <v>0</v>
      </c>
    </row>
    <row r="547" spans="1:10" x14ac:dyDescent="0.25">
      <c r="A547" s="5" t="str">
        <f>"19912744-2"</f>
        <v>19912744-2</v>
      </c>
      <c r="B547" s="5" t="str">
        <f>"ALF1033"</f>
        <v>ALF1033</v>
      </c>
      <c r="C547" s="5" t="str">
        <f>"ALF1033"</f>
        <v>ALF1033</v>
      </c>
      <c r="D547" s="5" t="str">
        <f>"DECA-DURABOLIN 50mg/Ml DECANOATO DE NANDROLONA 50mg"</f>
        <v>DECA-DURABOLIN 50mg/Ml DECANOATO DE NANDROLONA 50mg</v>
      </c>
      <c r="E547" s="5" t="str">
        <f>"50mg"</f>
        <v>50mg</v>
      </c>
      <c r="F547" s="5" t="str">
        <f>"AMPOLLA"</f>
        <v>AMPOLLA</v>
      </c>
      <c r="H547" s="6">
        <v>13500</v>
      </c>
      <c r="I547" s="6">
        <v>17990</v>
      </c>
      <c r="J547" s="5" t="s">
        <v>0</v>
      </c>
    </row>
    <row r="548" spans="1:10" x14ac:dyDescent="0.25">
      <c r="B548" s="5" t="str">
        <f>"ALF1237"</f>
        <v>ALF1237</v>
      </c>
      <c r="D548" s="5" t="str">
        <f>"FORMOTEROL FUMARATO DIHIDRATO 5UG/MOMETASONA FUROATO 100UG AEROSOL"</f>
        <v>FORMOTEROL FUMARATO DIHIDRATO 5UG/MOMETASONA FUROATO 100UG AEROSOL</v>
      </c>
      <c r="F548" s="5" t="str">
        <f t="shared" ref="F548" si="20">"UNIDAD"</f>
        <v>UNIDAD</v>
      </c>
      <c r="H548" s="6">
        <v>191383</v>
      </c>
      <c r="I548" s="6">
        <v>334920</v>
      </c>
      <c r="J548" s="5" t="s">
        <v>0</v>
      </c>
    </row>
    <row r="549" spans="1:10" x14ac:dyDescent="0.25">
      <c r="A549" s="5" t="str">
        <f>"54924-1"</f>
        <v>54924-1</v>
      </c>
      <c r="B549" s="5" t="str">
        <f>"ALF0049"</f>
        <v>ALF0049</v>
      </c>
      <c r="C549" s="5" t="str">
        <f>"P02CA03"</f>
        <v>P02CA03</v>
      </c>
      <c r="D549" s="5" t="str">
        <f>"ALBENDAZOL 4% X 20mL SUSPENCION ORAL"</f>
        <v>ALBENDAZOL 4% X 20mL SUSPENCION ORAL</v>
      </c>
      <c r="E549" s="5" t="str">
        <f>"4% X 20ML"</f>
        <v>4% X 20ML</v>
      </c>
      <c r="F549" s="5" t="str">
        <f>"FRASCO"</f>
        <v>FRASCO</v>
      </c>
      <c r="H549" s="6">
        <v>800</v>
      </c>
      <c r="I549" s="6">
        <v>4380</v>
      </c>
      <c r="J549" s="5" t="s">
        <v>1</v>
      </c>
    </row>
    <row r="550" spans="1:10" x14ac:dyDescent="0.25">
      <c r="A550" s="5" t="str">
        <f>"19929035-1"</f>
        <v>19929035-1</v>
      </c>
      <c r="B550" s="5" t="str">
        <f>"ALF0067"</f>
        <v>ALF0067</v>
      </c>
      <c r="C550" s="5" t="str">
        <f>"C01BA023011"</f>
        <v>C01BA023011</v>
      </c>
      <c r="D550" s="5" t="str">
        <f>"AMIODARONA 200mg TABLETA"</f>
        <v>AMIODARONA 200mg TABLETA</v>
      </c>
      <c r="E550" s="5" t="str">
        <f>"200mg"</f>
        <v>200mg</v>
      </c>
      <c r="F550" s="5" t="str">
        <f>"TABLETA"</f>
        <v>TABLETA</v>
      </c>
      <c r="G550" s="5" t="str">
        <f>"CLORHIDRAATO DE AMIODARONA"</f>
        <v>CLORHIDRAATO DE AMIODARONA</v>
      </c>
      <c r="H550" s="6">
        <v>324</v>
      </c>
      <c r="I550" s="6">
        <v>2652</v>
      </c>
      <c r="J550" s="5" t="s">
        <v>1</v>
      </c>
    </row>
    <row r="551" spans="1:10" x14ac:dyDescent="0.25">
      <c r="A551" s="5" t="str">
        <f>"N06AA024011"</f>
        <v>N06AA024011</v>
      </c>
      <c r="B551" s="5" t="str">
        <f>"ALF0069"</f>
        <v>ALF0069</v>
      </c>
      <c r="C551" s="5" t="str">
        <f>"N06AA09"</f>
        <v>N06AA09</v>
      </c>
      <c r="D551" s="5" t="str">
        <f>"AMITRIPTILINA 25mg TAB"</f>
        <v>AMITRIPTILINA 25mg TAB</v>
      </c>
      <c r="E551" s="5" t="str">
        <f>"25mg"</f>
        <v>25mg</v>
      </c>
      <c r="F551" s="5" t="str">
        <f>"TABLETA"</f>
        <v>TABLETA</v>
      </c>
      <c r="G551" s="5" t="str">
        <f>"N06AA09"</f>
        <v>N06AA09</v>
      </c>
      <c r="H551" s="6">
        <v>42</v>
      </c>
      <c r="I551" s="6">
        <v>250</v>
      </c>
      <c r="J551" s="5" t="s">
        <v>1</v>
      </c>
    </row>
    <row r="552" spans="1:10" x14ac:dyDescent="0.25">
      <c r="A552" s="5" t="str">
        <f>"C03DE008011"</f>
        <v>C03DE008011</v>
      </c>
      <c r="B552" s="5" t="str">
        <f>"ALF0276"</f>
        <v>ALF0276</v>
      </c>
      <c r="C552" s="5" t="str">
        <f>"C03DA01"</f>
        <v>C03DA01</v>
      </c>
      <c r="D552" s="5" t="str">
        <f>"ESPIRONOLACTONA 25mg TAB"</f>
        <v>ESPIRONOLACTONA 25mg TAB</v>
      </c>
      <c r="E552" s="5" t="str">
        <f>"25mg"</f>
        <v>25mg</v>
      </c>
      <c r="F552" s="5" t="str">
        <f>"TABLETA"</f>
        <v>TABLETA</v>
      </c>
      <c r="H552" s="6">
        <v>117</v>
      </c>
      <c r="I552" s="6">
        <v>563</v>
      </c>
      <c r="J552" s="5" t="s">
        <v>1</v>
      </c>
    </row>
    <row r="553" spans="1:10" x14ac:dyDescent="0.25">
      <c r="A553" s="5" t="str">
        <f>"J01CA027142"</f>
        <v>J01CA027142</v>
      </c>
      <c r="B553" s="5" t="str">
        <f>"ALF0080"</f>
        <v>ALF0080</v>
      </c>
      <c r="C553" s="5" t="str">
        <f>"J01CA01"</f>
        <v>J01CA01</v>
      </c>
      <c r="D553" s="5" t="str">
        <f>"AMPICILINA 500mg TABLETA"</f>
        <v>AMPICILINA 500mg TABLETA</v>
      </c>
      <c r="E553" s="5" t="str">
        <f>"500mg"</f>
        <v>500mg</v>
      </c>
      <c r="F553" s="5" t="str">
        <f>"CAPSULA"</f>
        <v>CAPSULA</v>
      </c>
      <c r="G553" s="5" t="str">
        <f>"J01CA01"</f>
        <v>J01CA01</v>
      </c>
      <c r="H553" s="6">
        <v>120</v>
      </c>
      <c r="I553" s="6">
        <v>870</v>
      </c>
      <c r="J553" s="5" t="s">
        <v>1</v>
      </c>
    </row>
    <row r="554" spans="1:10" x14ac:dyDescent="0.25">
      <c r="A554" s="5" t="str">
        <f>"J01DC008142"</f>
        <v>J01DC008142</v>
      </c>
      <c r="B554" s="5" t="str">
        <f>"ALF0155"</f>
        <v>ALF0155</v>
      </c>
      <c r="C554" s="5" t="str">
        <f>"J01DB01"</f>
        <v>J01DB01</v>
      </c>
      <c r="D554" s="5" t="str">
        <f>"CEFALEXINA 250mg/5mL SUSP X 60mL"</f>
        <v>CEFALEXINA 250mg/5mL SUSP X 60mL</v>
      </c>
      <c r="E554" s="5" t="str">
        <f>"250mg/5mL"</f>
        <v>250mg/5mL</v>
      </c>
      <c r="F554" s="5" t="str">
        <f>"FRASCO"</f>
        <v>FRASCO</v>
      </c>
      <c r="G554" s="5" t="str">
        <f>"J01DB01"</f>
        <v>J01DB01</v>
      </c>
      <c r="H554" s="6">
        <v>3120</v>
      </c>
      <c r="I554" s="6">
        <v>17800</v>
      </c>
      <c r="J554" s="5" t="s">
        <v>1</v>
      </c>
    </row>
    <row r="555" spans="1:10" x14ac:dyDescent="0.25">
      <c r="A555" s="5" t="str">
        <f>"J01AD031141"</f>
        <v>J01AD031141</v>
      </c>
      <c r="B555" s="5" t="str">
        <f>"ALF0244"</f>
        <v>ALF0244</v>
      </c>
      <c r="C555" s="5" t="str">
        <f>"A01AB22"</f>
        <v>A01AB22</v>
      </c>
      <c r="D555" s="5" t="str">
        <f>"DOXICICLINA 100mg TAB"</f>
        <v>DOXICICLINA 100mg TAB</v>
      </c>
      <c r="E555" s="5" t="str">
        <f>"100 MG"</f>
        <v>100 MG</v>
      </c>
      <c r="F555" s="5" t="str">
        <f>"TABLETA"</f>
        <v>TABLETA</v>
      </c>
      <c r="H555" s="6">
        <v>121</v>
      </c>
      <c r="I555" s="6">
        <v>1175</v>
      </c>
      <c r="J555" s="5" t="s">
        <v>1</v>
      </c>
    </row>
    <row r="556" spans="1:10" x14ac:dyDescent="0.25">
      <c r="A556" s="5" t="str">
        <f>"19996546-1"</f>
        <v>19996546-1</v>
      </c>
      <c r="B556" s="5" t="str">
        <f>"ALF0086"</f>
        <v>ALF0086</v>
      </c>
      <c r="C556" s="5" t="str">
        <f>"C10AA05"</f>
        <v>C10AA05</v>
      </c>
      <c r="D556" s="5" t="str">
        <f>"atorvastatina tableta 10 mg"</f>
        <v>atorvastatina tableta 10 mg</v>
      </c>
      <c r="E556" s="5" t="str">
        <f>"10mg"</f>
        <v>10mg</v>
      </c>
      <c r="F556" s="5" t="str">
        <f>"TABLETA"</f>
        <v>TABLETA</v>
      </c>
      <c r="H556" s="6">
        <v>90</v>
      </c>
      <c r="I556" s="6">
        <v>1585</v>
      </c>
      <c r="J556" s="5" t="s">
        <v>1</v>
      </c>
    </row>
    <row r="557" spans="1:10" x14ac:dyDescent="0.25">
      <c r="B557" s="5" t="str">
        <f>"ALF1064"</f>
        <v>ALF1064</v>
      </c>
      <c r="C557" s="5" t="str">
        <f>"ALF1064"</f>
        <v>ALF1064</v>
      </c>
      <c r="D557" s="5" t="str">
        <f>"FOTORETIN SOL OFTALMICA X 5ML ( FENILEFRINA 5% + TROPICAMIDA0 0.5% )"</f>
        <v>FOTORETIN SOL OFTALMICA X 5ML ( FENILEFRINA 5% + TROPICAMIDA0 0.5% )</v>
      </c>
      <c r="E557" s="5" t="str">
        <f>"5% + 0.5%"</f>
        <v>5% + 0.5%</v>
      </c>
      <c r="F557" s="5" t="str">
        <f>"FRASCO CON GOTERO"</f>
        <v>FRASCO CON GOTERO</v>
      </c>
      <c r="H557" s="6">
        <v>12100</v>
      </c>
      <c r="I557" s="6">
        <v>25000</v>
      </c>
      <c r="J557" s="5" t="s">
        <v>0</v>
      </c>
    </row>
    <row r="558" spans="1:10" x14ac:dyDescent="0.25">
      <c r="B558" s="5" t="str">
        <f>"ALF1157"</f>
        <v>ALF1157</v>
      </c>
      <c r="C558" s="5" t="str">
        <f>"ALF1157"</f>
        <v>ALF1157</v>
      </c>
      <c r="D558" s="5" t="str">
        <f>"CITICOLINA (SOMAZINA) 500MG AMPOLLA"</f>
        <v>CITICOLINA (SOMAZINA) 500MG AMPOLLA</v>
      </c>
      <c r="E558" s="5" t="str">
        <f>"500MG"</f>
        <v>500MG</v>
      </c>
      <c r="F558" s="5" t="str">
        <f>"UNIDAD"</f>
        <v>UNIDAD</v>
      </c>
      <c r="H558" s="6">
        <v>12500</v>
      </c>
      <c r="I558" s="6">
        <v>35000</v>
      </c>
      <c r="J558" s="5" t="s">
        <v>0</v>
      </c>
    </row>
    <row r="559" spans="1:10" x14ac:dyDescent="0.25">
      <c r="B559" s="5" t="str">
        <f>"ALF1194"</f>
        <v>ALF1194</v>
      </c>
      <c r="C559" s="5" t="str">
        <f>"ALF1194"</f>
        <v>ALF1194</v>
      </c>
      <c r="D559" s="5" t="str">
        <f>"FOSFAMICINA 4GR AMPOLLA (FOMAXIN) AMPOLLA 4GR"</f>
        <v>FOSFAMICINA 4GR AMPOLLA (FOMAXIN) AMPOLLA 4GR</v>
      </c>
      <c r="E559" s="5" t="str">
        <f>"4GR"</f>
        <v>4GR</v>
      </c>
      <c r="F559" s="5" t="str">
        <f>"AMPOLLA"</f>
        <v>AMPOLLA</v>
      </c>
      <c r="G559" s="5" t="str">
        <f>"FOSFAMICIN"</f>
        <v>FOSFAMICIN</v>
      </c>
      <c r="H559" s="6">
        <v>324000</v>
      </c>
      <c r="I559" s="6">
        <v>437400</v>
      </c>
      <c r="J559" s="5" t="s">
        <v>0</v>
      </c>
    </row>
    <row r="560" spans="1:10" x14ac:dyDescent="0.25">
      <c r="A560" s="5" t="str">
        <f>"19927575-1"</f>
        <v>19927575-1</v>
      </c>
      <c r="B560" s="5" t="str">
        <f>"ALF0157"</f>
        <v>ALF0157</v>
      </c>
      <c r="C560" s="5" t="str">
        <f>"J01DB04"</f>
        <v>J01DB04</v>
      </c>
      <c r="D560" s="5" t="str">
        <f>"CefAZOLina AMP 1GR"</f>
        <v>CefAZOLina AMP 1GR</v>
      </c>
      <c r="E560" s="5" t="str">
        <f>"1g"</f>
        <v>1g</v>
      </c>
      <c r="F560" s="5" t="str">
        <f>"AMPOLLA"</f>
        <v>AMPOLLA</v>
      </c>
      <c r="G560" s="5" t="str">
        <f>"CEFAZOLINA"</f>
        <v>CEFAZOLINA</v>
      </c>
      <c r="H560" s="6">
        <v>2309</v>
      </c>
      <c r="I560" s="6">
        <v>10379</v>
      </c>
      <c r="J560" s="5" t="s">
        <v>1</v>
      </c>
    </row>
    <row r="561" spans="1:10" x14ac:dyDescent="0.25">
      <c r="A561" s="5" t="str">
        <f>"19939685-1"</f>
        <v>19939685-1</v>
      </c>
      <c r="B561" s="5" t="str">
        <f>"ALF0165"</f>
        <v>ALF0165</v>
      </c>
      <c r="C561" s="5" t="str">
        <f>"J01DD54"</f>
        <v>J01DD54</v>
      </c>
      <c r="D561" s="5" t="str">
        <f>"CeftRIAXona 1g AMP"</f>
        <v>CeftRIAXona 1g AMP</v>
      </c>
      <c r="E561" s="5" t="str">
        <f>"1g"</f>
        <v>1g</v>
      </c>
      <c r="F561" s="5" t="str">
        <f>"AMPOLLA"</f>
        <v>AMPOLLA</v>
      </c>
      <c r="G561" s="5" t="str">
        <f>"CEFTRIAXONA"</f>
        <v>CEFTRIAXONA</v>
      </c>
      <c r="H561" s="6">
        <v>1859</v>
      </c>
      <c r="I561" s="6">
        <v>49000</v>
      </c>
      <c r="J561" s="5" t="s">
        <v>1</v>
      </c>
    </row>
    <row r="562" spans="1:10" x14ac:dyDescent="0.25">
      <c r="A562" s="5" t="str">
        <f>"19940233-1"</f>
        <v>19940233-1</v>
      </c>
      <c r="B562" s="5" t="str">
        <f>"ALF0158"</f>
        <v>ALF0158</v>
      </c>
      <c r="C562" s="5" t="str">
        <f>"J01DB03"</f>
        <v>J01DB03</v>
      </c>
      <c r="D562" s="5" t="str">
        <f>"ceFALOTINA1 g POLVO ESTÉRIL PARA INYECCIÓN"</f>
        <v>ceFALOTINA1 g POLVO ESTÉRIL PARA INYECCIÓN</v>
      </c>
      <c r="E562" s="5" t="str">
        <f>"1g"</f>
        <v>1g</v>
      </c>
      <c r="F562" s="5" t="str">
        <f>"AMPOLLA"</f>
        <v>AMPOLLA</v>
      </c>
      <c r="G562" s="5" t="str">
        <f>"CEFALOTINA"</f>
        <v>CEFALOTINA</v>
      </c>
      <c r="H562" s="6">
        <v>3000</v>
      </c>
      <c r="I562" s="6">
        <v>10379</v>
      </c>
      <c r="J562" s="5" t="s">
        <v>1</v>
      </c>
    </row>
    <row r="563" spans="1:10" x14ac:dyDescent="0.25">
      <c r="B563" s="5" t="str">
        <f>"ALF1073"</f>
        <v>ALF1073</v>
      </c>
      <c r="C563" s="5" t="str">
        <f>"ALF1073"</f>
        <v>ALF1073</v>
      </c>
      <c r="D563" s="5" t="str">
        <f>"BIOVISC 2mL ( VISCOELASTICO HIDROXIPROPIL METILCELULOSA 2% W/V)-HYALURONATE"</f>
        <v>BIOVISC 2mL ( VISCOELASTICO HIDROXIPROPIL METILCELULOSA 2% W/V)-HYALURONATE</v>
      </c>
      <c r="E563" s="5" t="str">
        <f>"2%"</f>
        <v>2%</v>
      </c>
      <c r="F563" s="5" t="str">
        <f>"AMPOLLA"</f>
        <v>AMPOLLA</v>
      </c>
      <c r="H563" s="6">
        <v>80000</v>
      </c>
      <c r="I563" s="6">
        <v>132000</v>
      </c>
      <c r="J563" s="5" t="s">
        <v>1</v>
      </c>
    </row>
    <row r="564" spans="1:10" x14ac:dyDescent="0.25">
      <c r="A564" s="5" t="str">
        <f>"50786-4"</f>
        <v>50786-4</v>
      </c>
      <c r="B564" s="5" t="str">
        <f>"ALF0893"</f>
        <v>ALF0893</v>
      </c>
      <c r="C564" s="5" t="str">
        <f>"A06AD11"</f>
        <v>A06AD11</v>
      </c>
      <c r="D564" s="5" t="str">
        <f>"LACTULOSA X 15ml  66.7g/100ml"</f>
        <v>LACTULOSA X 15ml  66.7g/100ml</v>
      </c>
      <c r="E564" s="5" t="str">
        <f>"15mL"</f>
        <v>15mL</v>
      </c>
      <c r="F564" s="5" t="str">
        <f>"SOBRE"</f>
        <v>SOBRE</v>
      </c>
      <c r="H564" s="6">
        <v>2070</v>
      </c>
      <c r="I564" s="6">
        <v>7800</v>
      </c>
      <c r="J564" s="5" t="s">
        <v>0</v>
      </c>
    </row>
  </sheetData>
  <autoFilter ref="A2:J564"/>
  <mergeCells count="1">
    <mergeCell ref="B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2"/>
  <sheetViews>
    <sheetView tabSelected="1" topLeftCell="A214" workbookViewId="0">
      <selection activeCell="B1071" sqref="B1071"/>
    </sheetView>
  </sheetViews>
  <sheetFormatPr baseColWidth="10" defaultRowHeight="15" x14ac:dyDescent="0.25"/>
  <cols>
    <col min="1" max="1" width="15.7109375" customWidth="1"/>
    <col min="2" max="2" width="56.42578125" customWidth="1"/>
    <col min="3" max="3" width="11.42578125" style="1"/>
  </cols>
  <sheetData>
    <row r="1" spans="1:3" ht="15.75" x14ac:dyDescent="0.25">
      <c r="A1" s="10" t="s">
        <v>15</v>
      </c>
      <c r="B1" s="10"/>
      <c r="C1" s="10"/>
    </row>
    <row r="2" spans="1:3" x14ac:dyDescent="0.25">
      <c r="A2" s="3" t="s">
        <v>3</v>
      </c>
      <c r="B2" s="3" t="s">
        <v>12</v>
      </c>
      <c r="C2" s="4" t="s">
        <v>14</v>
      </c>
    </row>
    <row r="3" spans="1:3" x14ac:dyDescent="0.25">
      <c r="A3" s="5" t="str">
        <f>"ALF0031"</f>
        <v>ALF0031</v>
      </c>
      <c r="B3" s="5" t="str">
        <f>"AGUJA ESPINAL No. 18G"</f>
        <v>AGUJA ESPINAL No. 18G</v>
      </c>
      <c r="C3" s="6">
        <v>24000</v>
      </c>
    </row>
    <row r="4" spans="1:3" x14ac:dyDescent="0.25">
      <c r="A4" s="5" t="str">
        <f>"ALF0032"</f>
        <v>ALF0032</v>
      </c>
      <c r="B4" s="5" t="str">
        <f>"AGUJA ESPINAL No. 22G"</f>
        <v>AGUJA ESPINAL No. 22G</v>
      </c>
      <c r="C4" s="6">
        <v>20000</v>
      </c>
    </row>
    <row r="5" spans="1:3" x14ac:dyDescent="0.25">
      <c r="A5" s="5" t="str">
        <f>"ALF0034"</f>
        <v>ALF0034</v>
      </c>
      <c r="B5" s="5" t="str">
        <f>"AGUJA ESPINAL No.25G"</f>
        <v>AGUJA ESPINAL No.25G</v>
      </c>
      <c r="C5" s="6">
        <v>20000</v>
      </c>
    </row>
    <row r="6" spans="1:3" x14ac:dyDescent="0.25">
      <c r="A6" s="5" t="str">
        <f>"ALF0035"</f>
        <v>ALF0035</v>
      </c>
      <c r="B6" s="5" t="str">
        <f>"AGUJA ESPINAL No.26G"</f>
        <v>AGUJA ESPINAL No.26G</v>
      </c>
      <c r="C6" s="6">
        <v>20000</v>
      </c>
    </row>
    <row r="7" spans="1:3" x14ac:dyDescent="0.25">
      <c r="A7" s="5" t="str">
        <f>"ALF0036"</f>
        <v>ALF0036</v>
      </c>
      <c r="B7" s="5" t="str">
        <f>"AGUJA ESPINAL No.27G"</f>
        <v>AGUJA ESPINAL No.27G</v>
      </c>
      <c r="C7" s="6">
        <v>20000</v>
      </c>
    </row>
    <row r="8" spans="1:3" x14ac:dyDescent="0.25">
      <c r="A8" s="5" t="str">
        <f>"ALF0037"</f>
        <v>ALF0037</v>
      </c>
      <c r="B8" s="5" t="str">
        <f>"AGUJA HIPODERMICA 18G X 1 1/2"</f>
        <v>AGUJA HIPODERMICA 18G X 1 1/2</v>
      </c>
      <c r="C8" s="6">
        <v>200</v>
      </c>
    </row>
    <row r="9" spans="1:3" x14ac:dyDescent="0.25">
      <c r="A9" s="5" t="str">
        <f>"ALF0042"</f>
        <v>ALF0042</v>
      </c>
      <c r="B9" s="5" t="str">
        <f>"AGUJA HIPODERMICA 23G X 1"</f>
        <v>AGUJA HIPODERMICA 23G X 1</v>
      </c>
      <c r="C9" s="6">
        <v>300</v>
      </c>
    </row>
    <row r="10" spans="1:3" x14ac:dyDescent="0.25">
      <c r="A10" s="5" t="str">
        <f>"ALF0046"</f>
        <v>ALF0046</v>
      </c>
      <c r="B10" s="5" t="str">
        <f>"AGUJA STIMUPLEX G22 X 50"</f>
        <v>AGUJA STIMUPLEX G22 X 50</v>
      </c>
      <c r="C10" s="6">
        <v>39000</v>
      </c>
    </row>
    <row r="11" spans="1:3" x14ac:dyDescent="0.25">
      <c r="A11" s="5" t="str">
        <f>"ALF0047"</f>
        <v>ALF0047</v>
      </c>
      <c r="B11" s="5" t="str">
        <f>"AGUJA PARA BIOPSIA SEMIAUTOMÁTICA TRU-CUT 18Fr X 100MM"</f>
        <v>AGUJA PARA BIOPSIA SEMIAUTOMÁTICA TRU-CUT 18Fr X 100MM</v>
      </c>
      <c r="C11" s="6">
        <v>210000</v>
      </c>
    </row>
    <row r="12" spans="1:3" x14ac:dyDescent="0.25">
      <c r="A12" s="5" t="str">
        <f>"ALF0073"</f>
        <v>ALF0073</v>
      </c>
      <c r="B12" s="5" t="str">
        <f>"AGUJA PARA BIOPSIA SEMIAUTOMÁTICA TRU-CUT 18Fr X 200MM"</f>
        <v>AGUJA PARA BIOPSIA SEMIAUTOMÁTICA TRU-CUT 18Fr X 200MM</v>
      </c>
      <c r="C12" s="6">
        <v>210000</v>
      </c>
    </row>
    <row r="13" spans="1:3" x14ac:dyDescent="0.25">
      <c r="A13" s="5" t="str">
        <f>"ALF0093"</f>
        <v>ALF0093</v>
      </c>
      <c r="B13" s="5" t="str">
        <f>"BALONES DE ANESTESIA ADULTO"</f>
        <v>BALONES DE ANESTESIA ADULTO</v>
      </c>
      <c r="C13" s="6">
        <v>24150</v>
      </c>
    </row>
    <row r="14" spans="1:3" x14ac:dyDescent="0.25">
      <c r="A14" s="5" t="str">
        <f>"ALF0095"</f>
        <v>ALF0095</v>
      </c>
      <c r="B14" s="5" t="str">
        <f>"BARRERA COLOSTOMIA N° 57"</f>
        <v>BARRERA COLOSTOMIA N° 57</v>
      </c>
      <c r="C14" s="6">
        <v>110450</v>
      </c>
    </row>
    <row r="15" spans="1:3" x14ac:dyDescent="0.25">
      <c r="A15" s="5" t="str">
        <f>"ALF0096"</f>
        <v>ALF0096</v>
      </c>
      <c r="B15" s="5" t="str">
        <f>"BARRERA DE COLOSTOMIA No. 70 ADULTO"</f>
        <v>BARRERA DE COLOSTOMIA No. 70 ADULTO</v>
      </c>
      <c r="C15" s="6">
        <v>52000</v>
      </c>
    </row>
    <row r="16" spans="1:3" x14ac:dyDescent="0.25">
      <c r="A16" s="5" t="str">
        <f>"ALF0097"</f>
        <v>ALF0097</v>
      </c>
      <c r="B16" s="5" t="str">
        <f>"BARRERA DE COLOSTOMIA No.45 PEDIATRICA"</f>
        <v>BARRERA DE COLOSTOMIA No.45 PEDIATRICA</v>
      </c>
      <c r="C16" s="6">
        <v>49000</v>
      </c>
    </row>
    <row r="17" spans="1:3" x14ac:dyDescent="0.25">
      <c r="A17" s="5" t="str">
        <f>"ALF0105"</f>
        <v>ALF0105</v>
      </c>
      <c r="B17" s="5" t="str">
        <f>"BOLSA DE COLOSTOMIA 70 ADULTO"</f>
        <v>BOLSA DE COLOSTOMIA 70 ADULTO</v>
      </c>
      <c r="C17" s="6">
        <v>21000</v>
      </c>
    </row>
    <row r="18" spans="1:3" x14ac:dyDescent="0.25">
      <c r="A18" s="5" t="str">
        <f>"ALF0107"</f>
        <v>ALF0107</v>
      </c>
      <c r="B18" s="5" t="str">
        <f>"BOLSA DE COLOSTOMIA No.45 NEONATAL"</f>
        <v>BOLSA DE COLOSTOMIA No.45 NEONATAL</v>
      </c>
      <c r="C18" s="6">
        <v>29000</v>
      </c>
    </row>
    <row r="19" spans="1:3" x14ac:dyDescent="0.25">
      <c r="A19" s="5" t="str">
        <f>"ALF0109"</f>
        <v>ALF0109</v>
      </c>
      <c r="B19" s="5" t="str">
        <f>"BOLSA DE NUTRICION PARENTERAL X 150 ML NUTRIMIX"</f>
        <v>BOLSA DE NUTRICION PARENTERAL X 150 ML NUTRIMIX</v>
      </c>
      <c r="C19" s="6">
        <v>26000</v>
      </c>
    </row>
    <row r="20" spans="1:3" x14ac:dyDescent="0.25">
      <c r="A20" s="5" t="str">
        <f>"ALF0110"</f>
        <v>ALF0110</v>
      </c>
      <c r="B20" s="5" t="str">
        <f>"BOLSA DE NUTRICION ENTERAL X 1500 ML NUTRIFLOU"</f>
        <v>BOLSA DE NUTRICION ENTERAL X 1500 ML NUTRIFLOU</v>
      </c>
      <c r="C20" s="6">
        <v>23500</v>
      </c>
    </row>
    <row r="21" spans="1:3" x14ac:dyDescent="0.25">
      <c r="A21" s="5" t="str">
        <f>"ALF0122"</f>
        <v>ALF0122</v>
      </c>
      <c r="B21" s="5" t="str">
        <f>"CANULA DE GUEDEL  No.2  40 MM"</f>
        <v>CANULA DE GUEDEL  No.2  40 MM</v>
      </c>
      <c r="C21" s="6">
        <v>8000</v>
      </c>
    </row>
    <row r="22" spans="1:3" x14ac:dyDescent="0.25">
      <c r="A22" s="5" t="str">
        <f>"ALF0123"</f>
        <v>ALF0123</v>
      </c>
      <c r="B22" s="5" t="str">
        <f>"CANULA DE GUEDEL No. 1"</f>
        <v>CANULA DE GUEDEL No. 1</v>
      </c>
      <c r="C22" s="6">
        <v>5000</v>
      </c>
    </row>
    <row r="23" spans="1:3" x14ac:dyDescent="0.25">
      <c r="A23" s="5" t="str">
        <f>"ALF0124"</f>
        <v>ALF0124</v>
      </c>
      <c r="B23" s="5" t="str">
        <f>"CANULA DE GUEDEL No.3  60 MM"</f>
        <v>CANULA DE GUEDEL No.3  60 MM</v>
      </c>
      <c r="C23" s="6">
        <v>5000</v>
      </c>
    </row>
    <row r="24" spans="1:3" x14ac:dyDescent="0.25">
      <c r="A24" s="5" t="str">
        <f>"ALF0125"</f>
        <v>ALF0125</v>
      </c>
      <c r="B24" s="5" t="str">
        <f>"CANULA DE GUEDEL No.4  80 MM"</f>
        <v>CANULA DE GUEDEL No.4  80 MM</v>
      </c>
      <c r="C24" s="6">
        <v>8000</v>
      </c>
    </row>
    <row r="25" spans="1:3" x14ac:dyDescent="0.25">
      <c r="A25" s="5" t="str">
        <f>"ALF0126"</f>
        <v>ALF0126</v>
      </c>
      <c r="B25" s="5" t="str">
        <f>"CANULA DE GUEDEL No.5 110 MM"</f>
        <v>CANULA DE GUEDEL No.5 110 MM</v>
      </c>
      <c r="C25" s="6">
        <v>8000</v>
      </c>
    </row>
    <row r="26" spans="1:3" x14ac:dyDescent="0.25">
      <c r="A26" s="5" t="str">
        <f>"ALF0128"</f>
        <v>ALF0128</v>
      </c>
      <c r="B26" s="5" t="str">
        <f>"CANULA NASAL DE OXIGENO ADULTO"</f>
        <v>CANULA NASAL DE OXIGENO ADULTO</v>
      </c>
      <c r="C26" s="6">
        <v>8000</v>
      </c>
    </row>
    <row r="27" spans="1:3" x14ac:dyDescent="0.25">
      <c r="A27" s="5" t="str">
        <f>"ALF0129"</f>
        <v>ALF0129</v>
      </c>
      <c r="B27" s="5" t="str">
        <f>"CANULA NASAL DE OXIGENO NEONATAL"</f>
        <v>CANULA NASAL DE OXIGENO NEONATAL</v>
      </c>
      <c r="C27" s="6">
        <v>13650</v>
      </c>
    </row>
    <row r="28" spans="1:3" x14ac:dyDescent="0.25">
      <c r="A28" s="5" t="str">
        <f>"ALF0130"</f>
        <v>ALF0130</v>
      </c>
      <c r="B28" s="5" t="str">
        <f>"CANULA NASAL DE OXIGENO PEDIATRICO"</f>
        <v>CANULA NASAL DE OXIGENO PEDIATRICO</v>
      </c>
      <c r="C28" s="6">
        <v>8000</v>
      </c>
    </row>
    <row r="29" spans="1:3" x14ac:dyDescent="0.25">
      <c r="A29" s="5" t="str">
        <f>"ALF0138"</f>
        <v>ALF0138</v>
      </c>
      <c r="B29" s="5" t="str">
        <f>"CATETER CENTRAL  NUTRILINE 24G 2FR /30CM"</f>
        <v>CATETER CENTRAL  NUTRILINE 24G 2FR /30CM</v>
      </c>
      <c r="C29" s="6">
        <v>290000</v>
      </c>
    </row>
    <row r="30" spans="1:3" x14ac:dyDescent="0.25">
      <c r="A30" s="5" t="str">
        <f>"ALF0139"</f>
        <v>ALF0139</v>
      </c>
      <c r="B30" s="5" t="str">
        <f>"CATETER  TRILUMEN PEDIATRICO 4 5 FR X 12.5 CM"</f>
        <v>CATETER  TRILUMEN PEDIATRICO 4 5 FR X 12.5 CM</v>
      </c>
      <c r="C30" s="6">
        <v>180000</v>
      </c>
    </row>
    <row r="31" spans="1:3" x14ac:dyDescent="0.25">
      <c r="A31" s="5" t="str">
        <f>"ALF0140"</f>
        <v>ALF0140</v>
      </c>
      <c r="B31" s="5" t="str">
        <f>"CATETER CENTRAL TRILUMEN 4.5 FR X 6CM"</f>
        <v>CATETER CENTRAL TRILUMEN 4.5 FR X 6CM</v>
      </c>
      <c r="C31" s="6">
        <v>205000</v>
      </c>
    </row>
    <row r="32" spans="1:3" x14ac:dyDescent="0.25">
      <c r="A32" s="5" t="str">
        <f>"ALF0141"</f>
        <v>ALF0141</v>
      </c>
      <c r="B32" s="5" t="str">
        <f>"CATETER EPICUTANEO CAVA  24G * 30CM"</f>
        <v>CATETER EPICUTANEO CAVA  24G * 30CM</v>
      </c>
      <c r="C32" s="6">
        <v>447788</v>
      </c>
    </row>
    <row r="33" spans="1:3" x14ac:dyDescent="0.25">
      <c r="A33" s="5" t="str">
        <f>"ALF0143"</f>
        <v>ALF0143</v>
      </c>
      <c r="B33" s="5" t="str">
        <f>"CATETER LEADER CATH 3Fr 8cm"</f>
        <v>CATETER LEADER CATH 3Fr 8cm</v>
      </c>
      <c r="C33" s="6">
        <v>65000</v>
      </c>
    </row>
    <row r="34" spans="1:3" x14ac:dyDescent="0.25">
      <c r="A34" s="5" t="str">
        <f>"ALF0144"</f>
        <v>ALF0144</v>
      </c>
      <c r="B34" s="5" t="str">
        <f>"CATETER NUTRILINE 20G X3FR 30CM"</f>
        <v>CATETER NUTRILINE 20G X3FR 30CM</v>
      </c>
      <c r="C34" s="6">
        <v>290000</v>
      </c>
    </row>
    <row r="35" spans="1:3" x14ac:dyDescent="0.25">
      <c r="A35" s="5" t="str">
        <f>"ALF0145"</f>
        <v>ALF0145</v>
      </c>
      <c r="B35" s="5" t="str">
        <f>"CATETER PERIFIX G 16 (EPIDURAL)"</f>
        <v>CATETER PERIFIX G 16 (EPIDURAL)</v>
      </c>
      <c r="C35" s="6">
        <v>61250</v>
      </c>
    </row>
    <row r="36" spans="1:3" x14ac:dyDescent="0.25">
      <c r="A36" s="5" t="str">
        <f>"ALF0146"</f>
        <v>ALF0146</v>
      </c>
      <c r="B36" s="5" t="str">
        <f>"CATETER CENTRAL PERIFERICO MONO CAVAFIX G16 X 45 CM"</f>
        <v>CATETER CENTRAL PERIFERICO MONO CAVAFIX G16 X 45 CM</v>
      </c>
      <c r="C36" s="6">
        <v>64663</v>
      </c>
    </row>
    <row r="37" spans="1:3" x14ac:dyDescent="0.25">
      <c r="A37" s="5" t="str">
        <f>"ALF0148"</f>
        <v>ALF0148</v>
      </c>
      <c r="B37" s="5" t="str">
        <f>"CATETER PREMICATH 28G X 20 CM PEDIATRICO"</f>
        <v>CATETER PREMICATH 28G X 20 CM PEDIATRICO</v>
      </c>
      <c r="C37" s="6">
        <v>480000</v>
      </c>
    </row>
    <row r="38" spans="1:3" x14ac:dyDescent="0.25">
      <c r="A38" s="5" t="str">
        <f>"ALF0149"</f>
        <v>ALF0149</v>
      </c>
      <c r="B38" s="5" t="str">
        <f>"CATETER TRILUMEN ADULTO 7.5 FR X 20CM"</f>
        <v>CATETER TRILUMEN ADULTO 7.5 FR X 20CM</v>
      </c>
      <c r="C38" s="6">
        <v>217536</v>
      </c>
    </row>
    <row r="39" spans="1:3" x14ac:dyDescent="0.25">
      <c r="A39" s="5" t="str">
        <f>"ALF0150"</f>
        <v>ALF0150</v>
      </c>
      <c r="B39" s="5" t="str">
        <f>"CATETER UMBILICAL 0.4 FR"</f>
        <v>CATETER UMBILICAL 0.4 FR</v>
      </c>
      <c r="C39" s="6">
        <v>65000</v>
      </c>
    </row>
    <row r="40" spans="1:3" x14ac:dyDescent="0.25">
      <c r="A40" s="5" t="str">
        <f>"ALF0151"</f>
        <v>ALF0151</v>
      </c>
      <c r="B40" s="5" t="str">
        <f>"CATETER UMBILICAL 2.5Fr"</f>
        <v>CATETER UMBILICAL 2.5Fr</v>
      </c>
      <c r="C40" s="6">
        <v>65000</v>
      </c>
    </row>
    <row r="41" spans="1:3" x14ac:dyDescent="0.25">
      <c r="A41" s="5" t="str">
        <f>"ALF0152"</f>
        <v>ALF0152</v>
      </c>
      <c r="B41" s="5" t="str">
        <f>"CATETER UMBILICAL 3.5Fr"</f>
        <v>CATETER UMBILICAL 3.5Fr</v>
      </c>
      <c r="C41" s="6">
        <v>65000</v>
      </c>
    </row>
    <row r="42" spans="1:3" x14ac:dyDescent="0.25">
      <c r="A42" s="5" t="str">
        <f>"ALF0153"</f>
        <v>ALF0153</v>
      </c>
      <c r="B42" s="5" t="str">
        <f>"CATETER SWAN GANZ 7.5FR 5VIAS"</f>
        <v>CATETER SWAN GANZ 7.5FR 5VIAS</v>
      </c>
      <c r="C42" s="6">
        <v>390000</v>
      </c>
    </row>
    <row r="43" spans="1:3" x14ac:dyDescent="0.25">
      <c r="A43" s="5" t="str">
        <f>"ALF0154"</f>
        <v>ALF0154</v>
      </c>
      <c r="B43" s="5" t="str">
        <f>"CATETER SWAN  GANZ  7.0FR 4 VIAS"</f>
        <v>CATETER SWAN  GANZ  7.0FR 4 VIAS</v>
      </c>
      <c r="C43" s="6">
        <v>390000</v>
      </c>
    </row>
    <row r="44" spans="1:3" x14ac:dyDescent="0.25">
      <c r="A44" s="5" t="str">
        <f>"ALF0166"</f>
        <v>ALF0166</v>
      </c>
      <c r="B44" s="5" t="str">
        <f>"TIRILLAS GLUCOMETER"</f>
        <v>TIRILLAS GLUCOMETER</v>
      </c>
      <c r="C44" s="6">
        <v>1875</v>
      </c>
    </row>
    <row r="45" spans="1:3" x14ac:dyDescent="0.25">
      <c r="A45" s="5" t="str">
        <f>"ALF0174"</f>
        <v>ALF0174</v>
      </c>
      <c r="B45" s="5" t="str">
        <f>"CIRCUITO DE ANESTESIA ADULTO"</f>
        <v>CIRCUITO DE ANESTESIA ADULTO</v>
      </c>
      <c r="C45" s="6">
        <v>50000</v>
      </c>
    </row>
    <row r="46" spans="1:3" x14ac:dyDescent="0.25">
      <c r="A46" s="5" t="str">
        <f>"ALF0175"</f>
        <v>ALF0175</v>
      </c>
      <c r="B46" s="5" t="str">
        <f>"CIRCUITO DE ANESTESIA PEDIATRICO"</f>
        <v>CIRCUITO DE ANESTESIA PEDIATRICO</v>
      </c>
      <c r="C46" s="6">
        <v>75000</v>
      </c>
    </row>
    <row r="47" spans="1:3" x14ac:dyDescent="0.25">
      <c r="A47" s="5" t="str">
        <f>"ALF0176"</f>
        <v>ALF0176</v>
      </c>
      <c r="B47" s="5" t="str">
        <f>"CIRCUITO DE VENTILADOR UNIVERSAL SINGLE-LIMB"</f>
        <v>CIRCUITO DE VENTILADOR UNIVERSAL SINGLE-LIMB</v>
      </c>
      <c r="C47" s="6">
        <v>129000</v>
      </c>
    </row>
    <row r="48" spans="1:3" x14ac:dyDescent="0.25">
      <c r="A48" s="5" t="str">
        <f>"ALF0177"</f>
        <v>ALF0177</v>
      </c>
      <c r="B48" s="5" t="str">
        <f>"CIRCUITO DE VENTILACION ADULTO"</f>
        <v>CIRCUITO DE VENTILACION ADULTO</v>
      </c>
      <c r="C48" s="6">
        <v>137878</v>
      </c>
    </row>
    <row r="49" spans="1:3" x14ac:dyDescent="0.25">
      <c r="A49" s="5" t="str">
        <f>"ALF0178"</f>
        <v>ALF0178</v>
      </c>
      <c r="B49" s="5" t="str">
        <f>"CIRCUITO DE VENTILACION NEONATAL"</f>
        <v>CIRCUITO DE VENTILACION NEONATAL</v>
      </c>
      <c r="C49" s="6">
        <v>347004</v>
      </c>
    </row>
    <row r="50" spans="1:3" x14ac:dyDescent="0.25">
      <c r="A50" s="5" t="str">
        <f>"ALF0179"</f>
        <v>ALF0179</v>
      </c>
      <c r="B50" s="5" t="str">
        <f>"CIRCUITO DE VENTILACION PEDIATRICO"</f>
        <v>CIRCUITO DE VENTILACION PEDIATRICO</v>
      </c>
      <c r="C50" s="6">
        <v>146891</v>
      </c>
    </row>
    <row r="51" spans="1:3" x14ac:dyDescent="0.25">
      <c r="A51" s="5" t="str">
        <f>"ALF0180"</f>
        <v>ALF0180</v>
      </c>
      <c r="B51" s="5" t="str">
        <f>"CIRCUITO JACSON REES 0.1 LTS"</f>
        <v>CIRCUITO JACSON REES 0.1 LTS</v>
      </c>
      <c r="C51" s="6">
        <v>227720</v>
      </c>
    </row>
    <row r="52" spans="1:3" x14ac:dyDescent="0.25">
      <c r="A52" s="5" t="str">
        <f>"ALF0182"</f>
        <v>ALF0182</v>
      </c>
      <c r="B52" s="5" t="str">
        <f>"CLAM UMBILICAL"</f>
        <v>CLAM UMBILICAL</v>
      </c>
      <c r="C52" s="6">
        <v>1500</v>
      </c>
    </row>
    <row r="53" spans="1:3" x14ac:dyDescent="0.25">
      <c r="A53" s="5" t="str">
        <f>"ALF0190"</f>
        <v>ALF0190</v>
      </c>
      <c r="B53" s="5" t="str">
        <f>"SISTEMA DE DRENAJE TORAXICO AQUA-SEAL REF: 8888571299"</f>
        <v>SISTEMA DE DRENAJE TORAXICO AQUA-SEAL REF: 8888571299</v>
      </c>
      <c r="C53" s="6">
        <v>290000</v>
      </c>
    </row>
    <row r="54" spans="1:3" x14ac:dyDescent="0.25">
      <c r="A54" s="5" t="str">
        <f>"ALF0191"</f>
        <v>ALF0191</v>
      </c>
      <c r="B54" s="5" t="str">
        <f>"SISTEMA CO-SET EN FRIO"</f>
        <v>SISTEMA CO-SET EN FRIO</v>
      </c>
      <c r="C54" s="6">
        <v>155250</v>
      </c>
    </row>
    <row r="55" spans="1:3" x14ac:dyDescent="0.25">
      <c r="A55" s="5" t="str">
        <f>"ALF0206"</f>
        <v>ALF0206</v>
      </c>
      <c r="B55" s="5" t="str">
        <f>"CROMADO   3-0  CT 1"</f>
        <v>CROMADO   3-0  CT 1</v>
      </c>
      <c r="C55" s="6">
        <v>14000</v>
      </c>
    </row>
    <row r="56" spans="1:3" x14ac:dyDescent="0.25">
      <c r="A56" s="5" t="str">
        <f>"ALF0207"</f>
        <v>ALF0207</v>
      </c>
      <c r="B56" s="5" t="str">
        <f>"CROMADO   4-0  RB-1"</f>
        <v>CROMADO   4-0  RB-1</v>
      </c>
      <c r="C56" s="6">
        <v>14000</v>
      </c>
    </row>
    <row r="57" spans="1:3" x14ac:dyDescent="0.25">
      <c r="A57" s="5" t="str">
        <f>"ALF0208"</f>
        <v>ALF0208</v>
      </c>
      <c r="B57" s="5" t="str">
        <f>"CROMADO   4-0 SH"</f>
        <v>CROMADO   4-0 SH</v>
      </c>
      <c r="C57" s="6">
        <v>14000</v>
      </c>
    </row>
    <row r="58" spans="1:3" x14ac:dyDescent="0.25">
      <c r="A58" s="5" t="str">
        <f>"ALF0209"</f>
        <v>ALF0209</v>
      </c>
      <c r="B58" s="5" t="str">
        <f>"CROMADO  0  CT-1 70cm"</f>
        <v>CROMADO  0  CT-1 70cm</v>
      </c>
      <c r="C58" s="6">
        <v>14000</v>
      </c>
    </row>
    <row r="59" spans="1:3" x14ac:dyDescent="0.25">
      <c r="A59" s="5" t="str">
        <f>"ALF0210"</f>
        <v>ALF0210</v>
      </c>
      <c r="B59" s="5" t="str">
        <f>"CROMADO  1 CT-1    70cm"</f>
        <v>CROMADO  1 CT-1    70cm</v>
      </c>
      <c r="C59" s="6">
        <v>14000</v>
      </c>
    </row>
    <row r="60" spans="1:3" x14ac:dyDescent="0.25">
      <c r="A60" s="5" t="str">
        <f>"ALF0211"</f>
        <v>ALF0211</v>
      </c>
      <c r="B60" s="5" t="str">
        <f>"CROMADO  2  CT-1"</f>
        <v>CROMADO  2  CT-1</v>
      </c>
      <c r="C60" s="6">
        <v>14000</v>
      </c>
    </row>
    <row r="61" spans="1:3" x14ac:dyDescent="0.25">
      <c r="A61" s="5" t="str">
        <f>"ALF0212"</f>
        <v>ALF0212</v>
      </c>
      <c r="B61" s="5" t="str">
        <f>"CROMADO  2-0   CT-1"</f>
        <v>CROMADO  2-0   CT-1</v>
      </c>
      <c r="C61" s="6">
        <v>14000</v>
      </c>
    </row>
    <row r="62" spans="1:3" x14ac:dyDescent="0.25">
      <c r="A62" s="5" t="str">
        <f>"ALF0213"</f>
        <v>ALF0213</v>
      </c>
      <c r="B62" s="5" t="str">
        <f>"CROMADO  2-0 SH"</f>
        <v>CROMADO  2-0 SH</v>
      </c>
      <c r="C62" s="6">
        <v>12000</v>
      </c>
    </row>
    <row r="63" spans="1:3" x14ac:dyDescent="0.25">
      <c r="A63" s="5" t="str">
        <f>"ALF0214"</f>
        <v>ALF0214</v>
      </c>
      <c r="B63" s="5" t="str">
        <f>"CROMADO  3-0 SH"</f>
        <v>CROMADO  3-0 SH</v>
      </c>
      <c r="C63" s="6">
        <v>14000</v>
      </c>
    </row>
    <row r="64" spans="1:3" x14ac:dyDescent="0.25">
      <c r="A64" s="5" t="str">
        <f>"ALF0216"</f>
        <v>ALF0216</v>
      </c>
      <c r="B64" s="5" t="str">
        <f>"CYSTOFLO ADULTO"</f>
        <v>CYSTOFLO ADULTO</v>
      </c>
      <c r="C64" s="6">
        <v>19000</v>
      </c>
    </row>
    <row r="65" spans="1:3" x14ac:dyDescent="0.25">
      <c r="A65" s="5" t="str">
        <f>"ALF0217"</f>
        <v>ALF0217</v>
      </c>
      <c r="B65" s="5" t="str">
        <f>"CYSTOFLO PEDIATRICO"</f>
        <v>CYSTOFLO PEDIATRICO</v>
      </c>
      <c r="C65" s="6">
        <v>19000</v>
      </c>
    </row>
    <row r="66" spans="1:3" x14ac:dyDescent="0.25">
      <c r="A66" s="5" t="str">
        <f>"ALF0222"</f>
        <v>ALF0222</v>
      </c>
      <c r="B66" s="5" t="str">
        <f>"DEXTROSA 10%  250mL"</f>
        <v>DEXTROSA 10%  250mL</v>
      </c>
      <c r="C66" s="6">
        <v>4050</v>
      </c>
    </row>
    <row r="67" spans="1:3" x14ac:dyDescent="0.25">
      <c r="A67" s="5" t="str">
        <f>"ALF0223"</f>
        <v>ALF0223</v>
      </c>
      <c r="B67" s="5" t="str">
        <f>"DEXTROSA 10%  500mL"</f>
        <v>DEXTROSA 10%  500mL</v>
      </c>
      <c r="C67" s="6">
        <v>4713</v>
      </c>
    </row>
    <row r="68" spans="1:3" x14ac:dyDescent="0.25">
      <c r="A68" s="5" t="str">
        <f>"ALF0224"</f>
        <v>ALF0224</v>
      </c>
      <c r="B68" s="5" t="str">
        <f>"DEXTROSA 5% 250mL"</f>
        <v>DEXTROSA 5% 250mL</v>
      </c>
      <c r="C68" s="6">
        <v>3556</v>
      </c>
    </row>
    <row r="69" spans="1:3" x14ac:dyDescent="0.25">
      <c r="A69" s="5" t="str">
        <f>"ALF0225"</f>
        <v>ALF0225</v>
      </c>
      <c r="B69" s="5" t="str">
        <f>"DEXTROSA 5% 500mL"</f>
        <v>DEXTROSA 5% 500mL</v>
      </c>
      <c r="C69" s="6">
        <v>4077</v>
      </c>
    </row>
    <row r="70" spans="1:3" x14ac:dyDescent="0.25">
      <c r="A70" s="5" t="str">
        <f>"ALF0226"</f>
        <v>ALF0226</v>
      </c>
      <c r="B70" s="5" t="str">
        <f>"DEXTROSA 50% 500mL"</f>
        <v>DEXTROSA 50% 500mL</v>
      </c>
      <c r="C70" s="6">
        <v>12388</v>
      </c>
    </row>
    <row r="71" spans="1:3" x14ac:dyDescent="0.25">
      <c r="A71" s="5" t="str">
        <f>"ALF0245"</f>
        <v>ALF0245</v>
      </c>
      <c r="B71" s="5" t="str">
        <f>"DRENES PENROSE (1/4* 17)"</f>
        <v>DRENES PENROSE (1/4* 17)</v>
      </c>
      <c r="C71" s="6">
        <v>5600</v>
      </c>
    </row>
    <row r="72" spans="1:3" x14ac:dyDescent="0.25">
      <c r="A72" s="5" t="str">
        <f>"ALF0247"</f>
        <v>ALF0247</v>
      </c>
      <c r="B72" s="5" t="str">
        <f>"DRENES PENROSE 1/2 X 17"</f>
        <v>DRENES PENROSE 1/2 X 17</v>
      </c>
      <c r="C72" s="6">
        <v>6000</v>
      </c>
    </row>
    <row r="73" spans="1:3" x14ac:dyDescent="0.25">
      <c r="A73" s="5" t="str">
        <f>"ALF0248"</f>
        <v>ALF0248</v>
      </c>
      <c r="B73" s="5" t="str">
        <f>"ELECTRODO MARCAPASO TEMPORAL  6 FR 110 CM"</f>
        <v>ELECTRODO MARCAPASO TEMPORAL  6 FR 110 CM</v>
      </c>
      <c r="C73" s="6">
        <v>587500</v>
      </c>
    </row>
    <row r="74" spans="1:3" x14ac:dyDescent="0.25">
      <c r="A74" s="5" t="str">
        <f>"ALF0256"</f>
        <v>ALF0256</v>
      </c>
      <c r="B74" s="5" t="str">
        <f>"EQUIPO BOMBA DE INFUSION - BRAUN"</f>
        <v>EQUIPO BOMBA DE INFUSION - BRAUN</v>
      </c>
      <c r="C74" s="6">
        <v>40000</v>
      </c>
    </row>
    <row r="75" spans="1:3" x14ac:dyDescent="0.25">
      <c r="A75" s="5" t="str">
        <f>"ALF0257"</f>
        <v>ALF0257</v>
      </c>
      <c r="B75" s="5" t="str">
        <f>"EQUIPO BOMBA FOTOSENSIBLE (BAXTER)"</f>
        <v>EQUIPO BOMBA FOTOSENSIBLE (BAXTER)</v>
      </c>
      <c r="C75" s="6">
        <v>53000</v>
      </c>
    </row>
    <row r="76" spans="1:3" x14ac:dyDescent="0.25">
      <c r="A76" s="5" t="str">
        <f>"ALF0258"</f>
        <v>ALF0258</v>
      </c>
      <c r="B76" s="5" t="str">
        <f>"EQUIPO BOMBA FOTOSENSIBLE-BRAUM"</f>
        <v>EQUIPO BOMBA FOTOSENSIBLE-BRAUM</v>
      </c>
      <c r="C76" s="6">
        <v>56350</v>
      </c>
    </row>
    <row r="77" spans="1:3" x14ac:dyDescent="0.25">
      <c r="A77" s="5" t="str">
        <f>"ALF0259"</f>
        <v>ALF0259</v>
      </c>
      <c r="B77" s="5" t="str">
        <f>"EQUIPO DE PVC PARA MEDIR PRESIÓN VENOSA (TRUWARE)"</f>
        <v>EQUIPO DE PVC PARA MEDIR PRESIÓN VENOSA (TRUWARE)</v>
      </c>
      <c r="C77" s="6">
        <v>120000</v>
      </c>
    </row>
    <row r="78" spans="1:3" x14ac:dyDescent="0.25">
      <c r="A78" s="5" t="str">
        <f>"ALF0260"</f>
        <v>ALF0260</v>
      </c>
      <c r="B78" s="5" t="str">
        <f>"EQUIPO ADMINISTRACION SANGRE"</f>
        <v>EQUIPO ADMINISTRACION SANGRE</v>
      </c>
      <c r="C78" s="6">
        <v>40000</v>
      </c>
    </row>
    <row r="79" spans="1:3" x14ac:dyDescent="0.25">
      <c r="A79" s="5" t="str">
        <f>"ALF0261"</f>
        <v>ALF0261</v>
      </c>
      <c r="B79" s="5" t="str">
        <f>"EQUIPO BOMBA INFUSIÓN ABBOT"</f>
        <v>EQUIPO BOMBA INFUSIÓN ABBOT</v>
      </c>
      <c r="C79" s="6">
        <v>40000</v>
      </c>
    </row>
    <row r="80" spans="1:3" x14ac:dyDescent="0.25">
      <c r="A80" s="5" t="str">
        <f>"ALF0262"</f>
        <v>ALF0262</v>
      </c>
      <c r="B80" s="5" t="str">
        <f>"EQUIPO BOMBA INFUSION BAXTER"</f>
        <v>EQUIPO BOMBA INFUSION BAXTER</v>
      </c>
      <c r="C80" s="6">
        <v>40000</v>
      </c>
    </row>
    <row r="81" spans="1:3" x14ac:dyDescent="0.25">
      <c r="A81" s="5" t="str">
        <f>"ALF0263"</f>
        <v>ALF0263</v>
      </c>
      <c r="B81" s="5" t="str">
        <f>"EQUIPO BOMBA INFUSION BRAUN- N"</f>
        <v>EQUIPO BOMBA INFUSION BRAUN- N</v>
      </c>
      <c r="C81" s="6">
        <v>40000</v>
      </c>
    </row>
    <row r="82" spans="1:3" x14ac:dyDescent="0.25">
      <c r="A82" s="5" t="str">
        <f>"ALF0264"</f>
        <v>ALF0264</v>
      </c>
      <c r="B82" s="5" t="str">
        <f>"EQUIPO DE EXTENSION PARA ANESTESIA ADULTO"</f>
        <v>EQUIPO DE EXTENSION PARA ANESTESIA ADULTO</v>
      </c>
      <c r="C82" s="6">
        <v>12765</v>
      </c>
    </row>
    <row r="83" spans="1:3" x14ac:dyDescent="0.25">
      <c r="A83" s="5" t="str">
        <f>"ALF0265"</f>
        <v>ALF0265</v>
      </c>
      <c r="B83" s="5" t="str">
        <f>"EQUIPO DE EXTENSION PARA ANESTESIA PEDIATRICO"</f>
        <v>EQUIPO DE EXTENSION PARA ANESTESIA PEDIATRICO</v>
      </c>
      <c r="C83" s="6">
        <v>12765</v>
      </c>
    </row>
    <row r="84" spans="1:3" x14ac:dyDescent="0.25">
      <c r="A84" s="5" t="str">
        <f>"ALF0266"</f>
        <v>ALF0266</v>
      </c>
      <c r="B84" s="5" t="str">
        <f>"EQUIPO MACROGOTEO"</f>
        <v>EQUIPO MACROGOTEO</v>
      </c>
      <c r="C84" s="6">
        <v>3335</v>
      </c>
    </row>
    <row r="85" spans="1:3" x14ac:dyDescent="0.25">
      <c r="A85" s="5" t="str">
        <f>"ALF0267"</f>
        <v>ALF0267</v>
      </c>
      <c r="B85" s="5" t="str">
        <f>"EQUIPO MICROGOTEO"</f>
        <v>EQUIPO MICROGOTEO</v>
      </c>
      <c r="C85" s="6">
        <v>2600</v>
      </c>
    </row>
    <row r="86" spans="1:3" x14ac:dyDescent="0.25">
      <c r="A86" s="5" t="str">
        <f>"ALF0268"</f>
        <v>ALF0268</v>
      </c>
      <c r="B86" s="5" t="str">
        <f>"EQUIPO MULTIFLO 3 VIAS ADULTO"</f>
        <v>EQUIPO MULTIFLO 3 VIAS ADULTO</v>
      </c>
      <c r="C86" s="6">
        <v>13949</v>
      </c>
    </row>
    <row r="87" spans="1:3" x14ac:dyDescent="0.25">
      <c r="A87" s="5" t="str">
        <f>"ALF0269"</f>
        <v>ALF0269</v>
      </c>
      <c r="B87" s="5" t="str">
        <f>"MASCARA VENTURY OXIGENO ADULTO"</f>
        <v>MASCARA VENTURY OXIGENO ADULTO</v>
      </c>
      <c r="C87" s="6">
        <v>30000</v>
      </c>
    </row>
    <row r="88" spans="1:3" x14ac:dyDescent="0.25">
      <c r="A88" s="5" t="str">
        <f>"ALF0270"</f>
        <v>ALF0270</v>
      </c>
      <c r="B88" s="5" t="str">
        <f>"MASCARA VENTURY OXIGENO PEDIATRICA"</f>
        <v>MASCARA VENTURY OXIGENO PEDIATRICA</v>
      </c>
      <c r="C88" s="6">
        <v>30000</v>
      </c>
    </row>
    <row r="89" spans="1:3" x14ac:dyDescent="0.25">
      <c r="A89" s="5" t="str">
        <f>"ALF0272"</f>
        <v>ALF0272</v>
      </c>
      <c r="B89" s="5" t="str">
        <f>"NEBULIDAZOR VENTURY"</f>
        <v>NEBULIDAZOR VENTURY</v>
      </c>
      <c r="C89" s="6">
        <v>45000</v>
      </c>
    </row>
    <row r="90" spans="1:3" x14ac:dyDescent="0.25">
      <c r="A90" s="5" t="str">
        <f>"ALF0302"</f>
        <v>ALF0302</v>
      </c>
      <c r="B90" s="5" t="str">
        <f>"GANCHO DE COLOSTOMIA"</f>
        <v>GANCHO DE COLOSTOMIA</v>
      </c>
      <c r="C90" s="6">
        <v>10500</v>
      </c>
    </row>
    <row r="91" spans="1:3" x14ac:dyDescent="0.25">
      <c r="A91" s="5" t="str">
        <f>"ALF0312"</f>
        <v>ALF0312</v>
      </c>
      <c r="B91" s="5" t="str">
        <f>"GUANTE ESTERIL No 6.5"</f>
        <v>GUANTE ESTERIL No 6.5</v>
      </c>
      <c r="C91" s="6">
        <v>1500</v>
      </c>
    </row>
    <row r="92" spans="1:3" x14ac:dyDescent="0.25">
      <c r="A92" s="5" t="str">
        <f>"ALF0313"</f>
        <v>ALF0313</v>
      </c>
      <c r="B92" s="5" t="str">
        <f>"GUANTE ESTERIL No 7.0"</f>
        <v>GUANTE ESTERIL No 7.0</v>
      </c>
      <c r="C92" s="6">
        <v>1500</v>
      </c>
    </row>
    <row r="93" spans="1:3" x14ac:dyDescent="0.25">
      <c r="A93" s="5" t="str">
        <f>"ALF0314"</f>
        <v>ALF0314</v>
      </c>
      <c r="B93" s="5" t="str">
        <f>"GUANTE ESTERIL No 8.0"</f>
        <v>GUANTE ESTERIL No 8.0</v>
      </c>
      <c r="C93" s="6">
        <v>1500</v>
      </c>
    </row>
    <row r="94" spans="1:3" x14ac:dyDescent="0.25">
      <c r="A94" s="5" t="str">
        <f>"ALF0315"</f>
        <v>ALF0315</v>
      </c>
      <c r="B94" s="5" t="str">
        <f>"GUANTE ESTERIL No. 7.5"</f>
        <v>GUANTE ESTERIL No. 7.5</v>
      </c>
      <c r="C94" s="6">
        <v>1500</v>
      </c>
    </row>
    <row r="95" spans="1:3" x14ac:dyDescent="0.25">
      <c r="A95" s="5" t="str">
        <f>"ALF0316"</f>
        <v>ALF0316</v>
      </c>
      <c r="B95" s="5" t="str">
        <f>"GUIA DE ENTUBACION # 10"</f>
        <v>GUIA DE ENTUBACION # 10</v>
      </c>
      <c r="C95" s="6">
        <v>58800</v>
      </c>
    </row>
    <row r="96" spans="1:3" x14ac:dyDescent="0.25">
      <c r="A96" s="5" t="str">
        <f>"ALF0317"</f>
        <v>ALF0317</v>
      </c>
      <c r="B96" s="5" t="str">
        <f>"GUIA DE ENTUBACION # 14"</f>
        <v>GUIA DE ENTUBACION # 14</v>
      </c>
      <c r="C96" s="6">
        <v>27631</v>
      </c>
    </row>
    <row r="97" spans="1:3" x14ac:dyDescent="0.25">
      <c r="A97" s="5" t="str">
        <f>"ALF0318"</f>
        <v>ALF0318</v>
      </c>
      <c r="B97" s="5" t="str">
        <f>"GUIA DE ENTUBACION # 6"</f>
        <v>GUIA DE ENTUBACION # 6</v>
      </c>
      <c r="C97" s="6">
        <v>16300</v>
      </c>
    </row>
    <row r="98" spans="1:3" x14ac:dyDescent="0.25">
      <c r="A98" s="5" t="str">
        <f>"ALF0321"</f>
        <v>ALF0321</v>
      </c>
      <c r="B98" s="5" t="str">
        <f>"HEMOVAC 1/4"</f>
        <v>HEMOVAC 1/4</v>
      </c>
      <c r="C98" s="6">
        <v>65000</v>
      </c>
    </row>
    <row r="99" spans="1:3" x14ac:dyDescent="0.25">
      <c r="A99" s="5" t="str">
        <f>"ALF0324"</f>
        <v>ALF0324</v>
      </c>
      <c r="B99" s="5" t="str">
        <f>"HEMOVAC 1/8"</f>
        <v>HEMOVAC 1/8</v>
      </c>
      <c r="C99" s="6">
        <v>65000</v>
      </c>
    </row>
    <row r="100" spans="1:3" x14ac:dyDescent="0.25">
      <c r="A100" s="5" t="str">
        <f>"ALF0325"</f>
        <v>ALF0325</v>
      </c>
      <c r="B100" s="5" t="str">
        <f>"HEMOVAC 3/16"</f>
        <v>HEMOVAC 3/16</v>
      </c>
      <c r="C100" s="6">
        <v>65000</v>
      </c>
    </row>
    <row r="101" spans="1:3" x14ac:dyDescent="0.25">
      <c r="A101" s="5" t="str">
        <f>"ALF0330"</f>
        <v>ALF0330</v>
      </c>
      <c r="B101" s="5" t="str">
        <f>"HEPARINA SODICA 5000UI AMP"</f>
        <v>HEPARINA SODICA 5000UI AMP</v>
      </c>
      <c r="C101" s="6">
        <v>18500</v>
      </c>
    </row>
    <row r="102" spans="1:3" x14ac:dyDescent="0.25">
      <c r="A102" s="5" t="str">
        <f>"ALF0342"</f>
        <v>ALF0342</v>
      </c>
      <c r="B102" s="5" t="str">
        <f>"HOJA DE BISTURI No. 10"</f>
        <v>HOJA DE BISTURI No. 10</v>
      </c>
      <c r="C102" s="6">
        <v>1350</v>
      </c>
    </row>
    <row r="103" spans="1:3" x14ac:dyDescent="0.25">
      <c r="A103" s="5" t="str">
        <f>"ALF0343"</f>
        <v>ALF0343</v>
      </c>
      <c r="B103" s="5" t="str">
        <f>"HOJA DE BISTURI No. 11"</f>
        <v>HOJA DE BISTURI No. 11</v>
      </c>
      <c r="C103" s="6">
        <v>1350</v>
      </c>
    </row>
    <row r="104" spans="1:3" x14ac:dyDescent="0.25">
      <c r="A104" s="5" t="str">
        <f>"ALF0344"</f>
        <v>ALF0344</v>
      </c>
      <c r="B104" s="5" t="str">
        <f>"HOJA DE BISTURI No. 12"</f>
        <v>HOJA DE BISTURI No. 12</v>
      </c>
      <c r="C104" s="6">
        <v>1350</v>
      </c>
    </row>
    <row r="105" spans="1:3" x14ac:dyDescent="0.25">
      <c r="A105" s="5" t="str">
        <f>"ALF0345"</f>
        <v>ALF0345</v>
      </c>
      <c r="B105" s="5" t="str">
        <f>"HOJA DE BISTURI No. 15"</f>
        <v>HOJA DE BISTURI No. 15</v>
      </c>
      <c r="C105" s="6">
        <v>1350</v>
      </c>
    </row>
    <row r="106" spans="1:3" x14ac:dyDescent="0.25">
      <c r="A106" s="5" t="str">
        <f>"ALF0346"</f>
        <v>ALF0346</v>
      </c>
      <c r="B106" s="5" t="str">
        <f>"HOJA DE BISTURI No. 20"</f>
        <v>HOJA DE BISTURI No. 20</v>
      </c>
      <c r="C106" s="6">
        <v>1350</v>
      </c>
    </row>
    <row r="107" spans="1:3" x14ac:dyDescent="0.25">
      <c r="A107" s="5" t="str">
        <f>"ALF0347"</f>
        <v>ALF0347</v>
      </c>
      <c r="B107" s="5" t="str">
        <f>"HUMIDIFICADOR DE BURBUJA"</f>
        <v>HUMIDIFICADOR DE BURBUJA</v>
      </c>
      <c r="C107" s="6">
        <v>17000</v>
      </c>
    </row>
    <row r="108" spans="1:3" x14ac:dyDescent="0.25">
      <c r="A108" s="5" t="str">
        <f>"ALF0357"</f>
        <v>ALF0357</v>
      </c>
      <c r="B108" s="5" t="str">
        <f>"JELCO # 26"</f>
        <v>JELCO # 26</v>
      </c>
      <c r="C108" s="6">
        <v>3550</v>
      </c>
    </row>
    <row r="109" spans="1:3" x14ac:dyDescent="0.25">
      <c r="A109" s="5" t="str">
        <f>"ALF0358"</f>
        <v>ALF0358</v>
      </c>
      <c r="B109" s="5" t="str">
        <f>"JELCO No. 24"</f>
        <v>JELCO No. 24</v>
      </c>
      <c r="C109" s="6">
        <v>3000</v>
      </c>
    </row>
    <row r="110" spans="1:3" x14ac:dyDescent="0.25">
      <c r="A110" s="5" t="str">
        <f>"ALF0359"</f>
        <v>ALF0359</v>
      </c>
      <c r="B110" s="5" t="str">
        <f>"JELCO No.14"</f>
        <v>JELCO No.14</v>
      </c>
      <c r="C110" s="6">
        <v>3000</v>
      </c>
    </row>
    <row r="111" spans="1:3" x14ac:dyDescent="0.25">
      <c r="A111" s="5" t="str">
        <f>"ALF0360"</f>
        <v>ALF0360</v>
      </c>
      <c r="B111" s="5" t="str">
        <f>"JELCO No.16"</f>
        <v>JELCO No.16</v>
      </c>
      <c r="C111" s="6">
        <v>3725</v>
      </c>
    </row>
    <row r="112" spans="1:3" x14ac:dyDescent="0.25">
      <c r="A112" s="5" t="str">
        <f>"ALF0361"</f>
        <v>ALF0361</v>
      </c>
      <c r="B112" s="5" t="str">
        <f>"JELCO No.18"</f>
        <v>JELCO No.18</v>
      </c>
      <c r="C112" s="6">
        <v>3000</v>
      </c>
    </row>
    <row r="113" spans="1:3" x14ac:dyDescent="0.25">
      <c r="A113" s="5" t="str">
        <f>"ALF0362"</f>
        <v>ALF0362</v>
      </c>
      <c r="B113" s="5" t="str">
        <f>"JELCO No.20"</f>
        <v>JELCO No.20</v>
      </c>
      <c r="C113" s="6">
        <v>3000</v>
      </c>
    </row>
    <row r="114" spans="1:3" x14ac:dyDescent="0.25">
      <c r="A114" s="5" t="str">
        <f>"ALF0363"</f>
        <v>ALF0363</v>
      </c>
      <c r="B114" s="5" t="str">
        <f>"JELCO No.22"</f>
        <v>JELCO No.22</v>
      </c>
      <c r="C114" s="6">
        <v>3000</v>
      </c>
    </row>
    <row r="115" spans="1:3" x14ac:dyDescent="0.25">
      <c r="A115" s="5" t="str">
        <f>"ALF0364"</f>
        <v>ALF0364</v>
      </c>
      <c r="B115" s="5" t="str">
        <f>"JERINGA X 10ML"</f>
        <v>JERINGA X 10ML</v>
      </c>
      <c r="C115" s="6">
        <v>800</v>
      </c>
    </row>
    <row r="116" spans="1:3" x14ac:dyDescent="0.25">
      <c r="A116" s="5" t="str">
        <f>"ALF0365"</f>
        <v>ALF0365</v>
      </c>
      <c r="B116" s="5" t="str">
        <f>"JERINGA X 1ML"</f>
        <v>JERINGA X 1ML</v>
      </c>
      <c r="C116" s="6">
        <v>500</v>
      </c>
    </row>
    <row r="117" spans="1:3" x14ac:dyDescent="0.25">
      <c r="A117" s="5" t="str">
        <f>"ALF0366"</f>
        <v>ALF0366</v>
      </c>
      <c r="B117" s="5" t="str">
        <f>"JERINGA X 3ML"</f>
        <v>JERINGA X 3ML</v>
      </c>
      <c r="C117" s="6">
        <v>200</v>
      </c>
    </row>
    <row r="118" spans="1:3" x14ac:dyDescent="0.25">
      <c r="A118" s="5" t="str">
        <f>"ALF0367"</f>
        <v>ALF0367</v>
      </c>
      <c r="B118" s="5" t="str">
        <f>"JERINGA X 20ML"</f>
        <v>JERINGA X 20ML</v>
      </c>
      <c r="C118" s="6">
        <v>1000</v>
      </c>
    </row>
    <row r="119" spans="1:3" x14ac:dyDescent="0.25">
      <c r="A119" s="5" t="str">
        <f>"ALF0368"</f>
        <v>ALF0368</v>
      </c>
      <c r="B119" s="5" t="str">
        <f>"JERINGA X 2ML"</f>
        <v>JERINGA X 2ML</v>
      </c>
      <c r="C119" s="6">
        <v>330</v>
      </c>
    </row>
    <row r="120" spans="1:3" x14ac:dyDescent="0.25">
      <c r="A120" s="5" t="str">
        <f>"ALF0369"</f>
        <v>ALF0369</v>
      </c>
      <c r="B120" s="5" t="str">
        <f>"JERINGA X 50ML"</f>
        <v>JERINGA X 50ML</v>
      </c>
      <c r="C120" s="6">
        <v>2500</v>
      </c>
    </row>
    <row r="121" spans="1:3" x14ac:dyDescent="0.25">
      <c r="A121" s="5" t="str">
        <f>"ALF0370"</f>
        <v>ALF0370</v>
      </c>
      <c r="B121" s="5" t="str">
        <f>"JERINGA X 50ML PUNTA CATETER"</f>
        <v>JERINGA X 50ML PUNTA CATETER</v>
      </c>
      <c r="C121" s="6">
        <v>3000</v>
      </c>
    </row>
    <row r="122" spans="1:3" x14ac:dyDescent="0.25">
      <c r="A122" s="5" t="str">
        <f>"ALF0371"</f>
        <v>ALF0371</v>
      </c>
      <c r="B122" s="5" t="str">
        <f>"JERINGA x 5ML"</f>
        <v>JERINGA x 5ML</v>
      </c>
      <c r="C122" s="6">
        <v>600</v>
      </c>
    </row>
    <row r="123" spans="1:3" x14ac:dyDescent="0.25">
      <c r="A123" s="5" t="str">
        <f>"ALF0377"</f>
        <v>ALF0377</v>
      </c>
      <c r="B123" s="5" t="str">
        <f>"KIT DE COINOTOMIA EMERGENCIA ADULTO QUICKTRACKH"</f>
        <v>KIT DE COINOTOMIA EMERGENCIA ADULTO QUICKTRACKH</v>
      </c>
      <c r="C123" s="6">
        <v>700000</v>
      </c>
    </row>
    <row r="124" spans="1:3" x14ac:dyDescent="0.25">
      <c r="A124" s="5" t="str">
        <f>"ALF0378"</f>
        <v>ALF0378</v>
      </c>
      <c r="B124" s="5" t="str">
        <f>"KIT DE CONIOCTOMIA PEDIATRICO"</f>
        <v>KIT DE CONIOCTOMIA PEDIATRICO</v>
      </c>
      <c r="C124" s="6">
        <v>650000</v>
      </c>
    </row>
    <row r="125" spans="1:3" x14ac:dyDescent="0.25">
      <c r="A125" s="5" t="str">
        <f>"ALF0379"</f>
        <v>ALF0379</v>
      </c>
      <c r="B125" s="5" t="str">
        <f>"TRANSDUCTOR TRUWAVE DOBLE ADULTO"</f>
        <v>TRANSDUCTOR TRUWAVE DOBLE ADULTO</v>
      </c>
      <c r="C125" s="6">
        <v>290000</v>
      </c>
    </row>
    <row r="126" spans="1:3" x14ac:dyDescent="0.25">
      <c r="A126" s="5" t="str">
        <f>"ALF0380"</f>
        <v>ALF0380</v>
      </c>
      <c r="B126" s="5" t="str">
        <f>"KIT TRANSDUCTOR SENCILLO"</f>
        <v>KIT TRANSDUCTOR SENCILLO</v>
      </c>
      <c r="C126" s="6">
        <v>120000</v>
      </c>
    </row>
    <row r="127" spans="1:3" x14ac:dyDescent="0.25">
      <c r="A127" s="5" t="str">
        <f>"ALF0386"</f>
        <v>ALF0386</v>
      </c>
      <c r="B127" s="5" t="str">
        <f>"LANCETAS ESTÉRILES"</f>
        <v>LANCETAS ESTÉRILES</v>
      </c>
      <c r="C127" s="6">
        <v>400</v>
      </c>
    </row>
    <row r="128" spans="1:3" x14ac:dyDescent="0.25">
      <c r="A128" s="5" t="str">
        <f>"ALF0387"</f>
        <v>ALF0387</v>
      </c>
      <c r="B128" s="5" t="str">
        <f>"LAPIZ ELECTROBISTURI"</f>
        <v>LAPIZ ELECTROBISTURI</v>
      </c>
      <c r="C128" s="6">
        <v>14328</v>
      </c>
    </row>
    <row r="129" spans="1:3" x14ac:dyDescent="0.25">
      <c r="A129" s="5" t="str">
        <f>"ALF0392"</f>
        <v>ALF0392</v>
      </c>
      <c r="B129" s="5" t="str">
        <f>"LIDOCAINA 1% x 50mL (ROXICAINA)"</f>
        <v>LIDOCAINA 1% x 50mL (ROXICAINA)</v>
      </c>
      <c r="C129" s="6">
        <v>10210</v>
      </c>
    </row>
    <row r="130" spans="1:3" x14ac:dyDescent="0.25">
      <c r="A130" s="5" t="str">
        <f>"ALF0398"</f>
        <v>ALF0398</v>
      </c>
      <c r="B130" s="5" t="str">
        <f>"LLAVE DE TRES VIAS"</f>
        <v>LLAVE DE TRES VIAS</v>
      </c>
      <c r="C130" s="6">
        <v>5000</v>
      </c>
    </row>
    <row r="131" spans="1:3" x14ac:dyDescent="0.25">
      <c r="A131" s="5" t="str">
        <f>"ALF0408"</f>
        <v>ALF0408</v>
      </c>
      <c r="B131" s="5" t="str">
        <f>"MANGUERA CORRUGADA PARA AEROSOLTERAPIA"</f>
        <v>MANGUERA CORRUGADA PARA AEROSOLTERAPIA</v>
      </c>
      <c r="C131" s="6">
        <v>19500</v>
      </c>
    </row>
    <row r="132" spans="1:3" x14ac:dyDescent="0.25">
      <c r="A132" s="5" t="str">
        <f>"ALF0409"</f>
        <v>ALF0409</v>
      </c>
      <c r="B132" s="5" t="str">
        <f>"MASCARA DE ANESTESIA #5 ADULTO"</f>
        <v>MASCARA DE ANESTESIA #5 ADULTO</v>
      </c>
      <c r="C132" s="6">
        <v>30000</v>
      </c>
    </row>
    <row r="133" spans="1:3" x14ac:dyDescent="0.25">
      <c r="A133" s="5" t="str">
        <f>"ALF0410"</f>
        <v>ALF0410</v>
      </c>
      <c r="B133" s="5" t="str">
        <f>"MASCARA DE ANESTESIA #4 PEDIATRICA"</f>
        <v>MASCARA DE ANESTESIA #4 PEDIATRICA</v>
      </c>
      <c r="C133" s="6">
        <v>25935</v>
      </c>
    </row>
    <row r="134" spans="1:3" x14ac:dyDescent="0.25">
      <c r="A134" s="5" t="str">
        <f>"ALF0411"</f>
        <v>ALF0411</v>
      </c>
      <c r="B134" s="5" t="str">
        <f>"MASCARA DE OXIGENO  NO REINHALACION ADULTO"</f>
        <v>MASCARA DE OXIGENO  NO REINHALACION ADULTO</v>
      </c>
      <c r="C134" s="6">
        <v>9120</v>
      </c>
    </row>
    <row r="135" spans="1:3" x14ac:dyDescent="0.25">
      <c r="A135" s="5" t="str">
        <f>"ALF0412"</f>
        <v>ALF0412</v>
      </c>
      <c r="B135" s="5" t="str">
        <f>"INHALOCAMARA A"</f>
        <v>INHALOCAMARA A</v>
      </c>
      <c r="C135" s="6">
        <v>20000</v>
      </c>
    </row>
    <row r="136" spans="1:3" x14ac:dyDescent="0.25">
      <c r="A136" s="5" t="str">
        <f>"ALF0413"</f>
        <v>ALF0413</v>
      </c>
      <c r="B136" s="5" t="str">
        <f>"INCENTIVO RESPIRATORIO DE FLUJO"</f>
        <v>INCENTIVO RESPIRATORIO DE FLUJO</v>
      </c>
      <c r="C136" s="6">
        <v>25890</v>
      </c>
    </row>
    <row r="137" spans="1:3" x14ac:dyDescent="0.25">
      <c r="A137" s="5" t="str">
        <f>"ALF0414"</f>
        <v>ALF0414</v>
      </c>
      <c r="B137" s="5" t="str">
        <f>"INHALOCAMARA P"</f>
        <v>INHALOCAMARA P</v>
      </c>
      <c r="C137" s="6">
        <v>14000</v>
      </c>
    </row>
    <row r="138" spans="1:3" x14ac:dyDescent="0.25">
      <c r="A138" s="5" t="str">
        <f>"ALF0415"</f>
        <v>ALF0415</v>
      </c>
      <c r="B138" s="5" t="str">
        <f>"MASCARA DE OXIGENO  NO REINHALACION PEDIATRICO"</f>
        <v>MASCARA DE OXIGENO  NO REINHALACION PEDIATRICO</v>
      </c>
      <c r="C138" s="6">
        <v>12000</v>
      </c>
    </row>
    <row r="139" spans="1:3" x14ac:dyDescent="0.25">
      <c r="A139" s="5" t="str">
        <f>"ALF0416"</f>
        <v>ALF0416</v>
      </c>
      <c r="B139" s="5" t="str">
        <f>"MASCARA DE OXIGENO ADULTO"</f>
        <v>MASCARA DE OXIGENO ADULTO</v>
      </c>
      <c r="C139" s="6">
        <v>9800</v>
      </c>
    </row>
    <row r="140" spans="1:3" x14ac:dyDescent="0.25">
      <c r="A140" s="5" t="str">
        <f>"ALF0417"</f>
        <v>ALF0417</v>
      </c>
      <c r="B140" s="5" t="str">
        <f>"MASCARA DE OXIGENO PEDIATRICA"</f>
        <v>MASCARA DE OXIGENO PEDIATRICA</v>
      </c>
      <c r="C140" s="6">
        <v>30000</v>
      </c>
    </row>
    <row r="141" spans="1:3" x14ac:dyDescent="0.25">
      <c r="A141" s="5" t="str">
        <f>"ALF0418"</f>
        <v>ALF0418</v>
      </c>
      <c r="B141" s="5" t="str">
        <f>"MASCARA LARINGEA No 4"</f>
        <v>MASCARA LARINGEA No 4</v>
      </c>
      <c r="C141" s="6">
        <v>151500</v>
      </c>
    </row>
    <row r="142" spans="1:3" x14ac:dyDescent="0.25">
      <c r="A142" s="5" t="str">
        <f>"ALF0420"</f>
        <v>ALF0420</v>
      </c>
      <c r="B142" s="5" t="str">
        <f>"MASCARA PARA TRAQUEOSTOMIA ADULTO"</f>
        <v>MASCARA PARA TRAQUEOSTOMIA ADULTO</v>
      </c>
      <c r="C142" s="6">
        <v>16000</v>
      </c>
    </row>
    <row r="143" spans="1:3" x14ac:dyDescent="0.25">
      <c r="A143" s="5" t="str">
        <f>"ALF0421"</f>
        <v>ALF0421</v>
      </c>
      <c r="B143" s="5" t="str">
        <f>"MASCARA PARA TRAQUEOSTOMIA PEDIATRICO"</f>
        <v>MASCARA PARA TRAQUEOSTOMIA PEDIATRICO</v>
      </c>
      <c r="C143" s="6">
        <v>32000</v>
      </c>
    </row>
    <row r="144" spans="1:3" x14ac:dyDescent="0.25">
      <c r="A144" s="5" t="str">
        <f>"ALF0424"</f>
        <v>ALF0424</v>
      </c>
      <c r="B144" s="5" t="str">
        <f>"MEDIO CONTRASTE 300MG X50ML / IOPAMIRON"</f>
        <v>MEDIO CONTRASTE 300MG X50ML / IOPAMIRON</v>
      </c>
      <c r="C144" s="6">
        <v>128103</v>
      </c>
    </row>
    <row r="145" spans="1:3" x14ac:dyDescent="0.25">
      <c r="A145" s="5" t="str">
        <f>"ALF0456"</f>
        <v>ALF0456</v>
      </c>
      <c r="B145" s="5" t="str">
        <f>"NARIZ DE CAMELLO ADULTO"</f>
        <v>NARIZ DE CAMELLO ADULTO</v>
      </c>
      <c r="C145" s="6">
        <v>25000</v>
      </c>
    </row>
    <row r="146" spans="1:3" x14ac:dyDescent="0.25">
      <c r="A146" s="5" t="str">
        <f>"ALF0458"</f>
        <v>ALF0458</v>
      </c>
      <c r="B146" s="5" t="str">
        <f>"NARIZ DE CAMELLO PEDIATRICO"</f>
        <v>NARIZ DE CAMELLO PEDIATRICO</v>
      </c>
      <c r="C146" s="6">
        <v>25000</v>
      </c>
    </row>
    <row r="147" spans="1:3" x14ac:dyDescent="0.25">
      <c r="A147" s="5" t="str">
        <f>"ALF0471"</f>
        <v>ALF0471</v>
      </c>
      <c r="B147" s="5" t="str">
        <f>"NYLON 2-0 KS"</f>
        <v>NYLON 2-0 KS</v>
      </c>
      <c r="C147" s="6">
        <v>11000</v>
      </c>
    </row>
    <row r="148" spans="1:3" x14ac:dyDescent="0.25">
      <c r="A148" s="5" t="str">
        <f>"ALF0472"</f>
        <v>ALF0472</v>
      </c>
      <c r="B148" s="5" t="str">
        <f>"NYLON 2-0 SC-26"</f>
        <v>NYLON 2-0 SC-26</v>
      </c>
      <c r="C148" s="6">
        <v>14500</v>
      </c>
    </row>
    <row r="149" spans="1:3" x14ac:dyDescent="0.25">
      <c r="A149" s="5" t="str">
        <f>"ALF0473"</f>
        <v>ALF0473</v>
      </c>
      <c r="B149" s="5" t="str">
        <f>"NYLON 3-0 KS"</f>
        <v>NYLON 3-0 KS</v>
      </c>
      <c r="C149" s="6">
        <v>14000</v>
      </c>
    </row>
    <row r="150" spans="1:3" x14ac:dyDescent="0.25">
      <c r="A150" s="5" t="str">
        <f>"ALF0475"</f>
        <v>ALF0475</v>
      </c>
      <c r="B150" s="5" t="str">
        <f>"NYLON 3-0 SC-24"</f>
        <v>NYLON 3-0 SC-24</v>
      </c>
      <c r="C150" s="6">
        <v>14500</v>
      </c>
    </row>
    <row r="151" spans="1:3" x14ac:dyDescent="0.25">
      <c r="A151" s="5" t="str">
        <f>"ALF0476"</f>
        <v>ALF0476</v>
      </c>
      <c r="B151" s="5" t="str">
        <f>"NYLON 4-0 SC-20"</f>
        <v>NYLON 4-0 SC-20</v>
      </c>
      <c r="C151" s="6">
        <v>9500</v>
      </c>
    </row>
    <row r="152" spans="1:3" x14ac:dyDescent="0.25">
      <c r="A152" s="5" t="str">
        <f>"ALF0477"</f>
        <v>ALF0477</v>
      </c>
      <c r="B152" s="5" t="str">
        <f>"NYLON 5-0  SC-20"</f>
        <v>NYLON 5-0  SC-20</v>
      </c>
      <c r="C152" s="6">
        <v>9500</v>
      </c>
    </row>
    <row r="153" spans="1:3" x14ac:dyDescent="0.25">
      <c r="A153" s="5" t="str">
        <f>"ALF0478"</f>
        <v>ALF0478</v>
      </c>
      <c r="B153" s="5" t="str">
        <f>"NYLON 6 0 SC 16"</f>
        <v>NYLON 6 0 SC 16</v>
      </c>
      <c r="C153" s="6">
        <v>9500</v>
      </c>
    </row>
    <row r="154" spans="1:3" x14ac:dyDescent="0.25">
      <c r="A154" s="5" t="str">
        <f>"ALF0491"</f>
        <v>ALF0491</v>
      </c>
      <c r="B154" s="5" t="str">
        <f>"DRENAJE PLEURAL 14 CON TROCAR"</f>
        <v>DRENAJE PLEURAL 14 CON TROCAR</v>
      </c>
      <c r="C154" s="6">
        <v>35000</v>
      </c>
    </row>
    <row r="155" spans="1:3" x14ac:dyDescent="0.25">
      <c r="A155" s="5" t="str">
        <f>"ALF0492"</f>
        <v>ALF0492</v>
      </c>
      <c r="B155" s="5" t="str">
        <f>"DRENAJE PLEURAL12  CON TROCAR"</f>
        <v>DRENAJE PLEURAL12  CON TROCAR</v>
      </c>
      <c r="C155" s="6">
        <v>32000</v>
      </c>
    </row>
    <row r="156" spans="1:3" x14ac:dyDescent="0.25">
      <c r="A156" s="5" t="str">
        <f>"ALF0493"</f>
        <v>ALF0493</v>
      </c>
      <c r="B156" s="5" t="str">
        <f>"DRENAJE PLEURAL NO 10 CON TOCAR"</f>
        <v>DRENAJE PLEURAL NO 10 CON TOCAR</v>
      </c>
      <c r="C156" s="6">
        <v>53150</v>
      </c>
    </row>
    <row r="157" spans="1:3" x14ac:dyDescent="0.25">
      <c r="A157" s="5" t="str">
        <f>"ALF0494"</f>
        <v>ALF0494</v>
      </c>
      <c r="B157" s="5" t="str">
        <f>"DRENAJE PLEURAL NO  8 CON TROCAR"</f>
        <v>DRENAJE PLEURAL NO  8 CON TROCAR</v>
      </c>
      <c r="C157" s="6">
        <v>53150</v>
      </c>
    </row>
    <row r="158" spans="1:3" x14ac:dyDescent="0.25">
      <c r="A158" s="5" t="str">
        <f>"ALF0502"</f>
        <v>ALF0502</v>
      </c>
      <c r="B158" s="5" t="str">
        <f>"MASCARA MICRONEBULIZADOR ADULTO"</f>
        <v>MASCARA MICRONEBULIZADOR ADULTO</v>
      </c>
      <c r="C158" s="6">
        <v>9800</v>
      </c>
    </row>
    <row r="159" spans="1:3" x14ac:dyDescent="0.25">
      <c r="A159" s="5" t="str">
        <f>"ALF0503"</f>
        <v>ALF0503</v>
      </c>
      <c r="B159" s="5" t="str">
        <f>"MASCARA MICRONEBULIZADOR  P"</f>
        <v>MASCARA MICRONEBULIZADOR  P</v>
      </c>
      <c r="C159" s="6">
        <v>9400</v>
      </c>
    </row>
    <row r="160" spans="1:3" x14ac:dyDescent="0.25">
      <c r="A160" s="5" t="str">
        <f>"ALF0514"</f>
        <v>ALF0514</v>
      </c>
      <c r="B160" s="5" t="str">
        <f>"SEDA  2-0   S.A  SUTUPACK"</f>
        <v>SEDA  2-0   S.A  SUTUPACK</v>
      </c>
      <c r="C160" s="6">
        <v>16000</v>
      </c>
    </row>
    <row r="161" spans="1:3" x14ac:dyDescent="0.25">
      <c r="A161" s="5" t="str">
        <f>"ALF0515"</f>
        <v>ALF0515</v>
      </c>
      <c r="B161" s="5" t="str">
        <f>"SEDA  3 - 0  S.A  SUTUPACK"</f>
        <v>SEDA  3 - 0  S.A  SUTUPACK</v>
      </c>
      <c r="C161" s="6">
        <v>14000</v>
      </c>
    </row>
    <row r="162" spans="1:3" x14ac:dyDescent="0.25">
      <c r="A162" s="5" t="str">
        <f>"ALF0516"</f>
        <v>ALF0516</v>
      </c>
      <c r="B162" s="5" t="str">
        <f>"SEDA  3-0  KS  75"</f>
        <v>SEDA  3-0  KS  75</v>
      </c>
      <c r="C162" s="6">
        <v>14000</v>
      </c>
    </row>
    <row r="163" spans="1:3" x14ac:dyDescent="0.25">
      <c r="A163" s="5" t="str">
        <f>"ALF0518"</f>
        <v>ALF0518</v>
      </c>
      <c r="B163" s="5" t="str">
        <f>"SEDA 1  S.A  SUTUPACK"</f>
        <v>SEDA 1  S.A  SUTUPACK</v>
      </c>
      <c r="C163" s="6">
        <v>16000</v>
      </c>
    </row>
    <row r="164" spans="1:3" x14ac:dyDescent="0.25">
      <c r="A164" s="5" t="str">
        <f>"ALF0519"</f>
        <v>ALF0519</v>
      </c>
      <c r="B164" s="5" t="str">
        <f>"SEDA 1  SH"</f>
        <v>SEDA 1  SH</v>
      </c>
      <c r="C164" s="6">
        <v>9500</v>
      </c>
    </row>
    <row r="165" spans="1:3" x14ac:dyDescent="0.25">
      <c r="A165" s="5" t="str">
        <f>"ALF0520"</f>
        <v>ALF0520</v>
      </c>
      <c r="B165" s="5" t="str">
        <f>"SEDA 2 0 SH"</f>
        <v>SEDA 2 0 SH</v>
      </c>
      <c r="C165" s="6">
        <v>9000</v>
      </c>
    </row>
    <row r="166" spans="1:3" x14ac:dyDescent="0.25">
      <c r="A166" s="5" t="str">
        <f>"ALF0521"</f>
        <v>ALF0521</v>
      </c>
      <c r="B166" s="5" t="str">
        <f>"SEDA 2.0 KS"</f>
        <v>SEDA 2.0 KS</v>
      </c>
      <c r="C166" s="6">
        <v>14000</v>
      </c>
    </row>
    <row r="167" spans="1:3" x14ac:dyDescent="0.25">
      <c r="A167" s="5" t="str">
        <f>"ALF0522"</f>
        <v>ALF0522</v>
      </c>
      <c r="B167" s="5" t="str">
        <f>"SEDA 3-0  SH"</f>
        <v>SEDA 3-0  SH</v>
      </c>
      <c r="C167" s="6">
        <v>10100</v>
      </c>
    </row>
    <row r="168" spans="1:3" x14ac:dyDescent="0.25">
      <c r="A168" s="5" t="str">
        <f>"ALF0523"</f>
        <v>ALF0523</v>
      </c>
      <c r="B168" s="5" t="str">
        <f>"SEDA 4-0 SC-20"</f>
        <v>SEDA 4-0 SC-20</v>
      </c>
      <c r="C168" s="6">
        <v>10100</v>
      </c>
    </row>
    <row r="169" spans="1:3" x14ac:dyDescent="0.25">
      <c r="A169" s="5" t="str">
        <f>"ALF0526"</f>
        <v>ALF0526</v>
      </c>
      <c r="B169" s="5" t="str">
        <f>"SEDA 5-0 SC-20"</f>
        <v>SEDA 5-0 SC-20</v>
      </c>
      <c r="C169" s="6">
        <v>10100</v>
      </c>
    </row>
    <row r="170" spans="1:3" x14ac:dyDescent="0.25">
      <c r="A170" s="5" t="str">
        <f>"ALF0527"</f>
        <v>ALF0527</v>
      </c>
      <c r="B170" s="5" t="str">
        <f>"SET PERFUSOR DE 20"</f>
        <v>SET PERFUSOR DE 20</v>
      </c>
      <c r="C170" s="6">
        <v>34497</v>
      </c>
    </row>
    <row r="171" spans="1:3" x14ac:dyDescent="0.25">
      <c r="A171" s="5" t="str">
        <f>"ALF0528"</f>
        <v>ALF0528</v>
      </c>
      <c r="B171" s="5" t="str">
        <f>"SET PERFUSOR DE 50 ML"</f>
        <v>SET PERFUSOR DE 50 ML</v>
      </c>
      <c r="C171" s="6">
        <v>34497</v>
      </c>
    </row>
    <row r="172" spans="1:3" x14ac:dyDescent="0.25">
      <c r="A172" s="5" t="str">
        <f>"ALF0534"</f>
        <v>ALF0534</v>
      </c>
      <c r="B172" s="5" t="str">
        <f>"SONDA DE GASTROSTOMIA 16FR"</f>
        <v>SONDA DE GASTROSTOMIA 16FR</v>
      </c>
      <c r="C172" s="6">
        <v>250000</v>
      </c>
    </row>
    <row r="173" spans="1:3" x14ac:dyDescent="0.25">
      <c r="A173" s="5" t="str">
        <f>"ALF0535"</f>
        <v>ALF0535</v>
      </c>
      <c r="B173" s="5" t="str">
        <f>"SONDA DE GASTROSTOMIA 12FR"</f>
        <v>SONDA DE GASTROSTOMIA 12FR</v>
      </c>
      <c r="C173" s="6">
        <v>250000</v>
      </c>
    </row>
    <row r="174" spans="1:3" x14ac:dyDescent="0.25">
      <c r="A174" s="5" t="str">
        <f>"ALF0536"</f>
        <v>ALF0536</v>
      </c>
      <c r="B174" s="5" t="str">
        <f>"SONDA DE GASTROSTOMIA 18FR"</f>
        <v>SONDA DE GASTROSTOMIA 18FR</v>
      </c>
      <c r="C174" s="6">
        <v>250000</v>
      </c>
    </row>
    <row r="175" spans="1:3" x14ac:dyDescent="0.25">
      <c r="A175" s="5" t="str">
        <f>"ALF0537"</f>
        <v>ALF0537</v>
      </c>
      <c r="B175" s="5" t="str">
        <f>"SISTEMA DE SUCCION CERRADA FR 8"</f>
        <v>SISTEMA DE SUCCION CERRADA FR 8</v>
      </c>
      <c r="C175" s="6">
        <v>94825</v>
      </c>
    </row>
    <row r="176" spans="1:3" x14ac:dyDescent="0.25">
      <c r="A176" s="5" t="str">
        <f>"ALF0538"</f>
        <v>ALF0538</v>
      </c>
      <c r="B176" s="5" t="str">
        <f>"SISTEMA DE SUCCION CERRADO N°6"</f>
        <v>SISTEMA DE SUCCION CERRADO N°6</v>
      </c>
      <c r="C176" s="6">
        <v>94825</v>
      </c>
    </row>
    <row r="177" spans="1:3" x14ac:dyDescent="0.25">
      <c r="A177" s="5" t="str">
        <f>"ALF0539"</f>
        <v>ALF0539</v>
      </c>
      <c r="B177" s="5" t="str">
        <f>"SONDA FOLEY # 10"</f>
        <v>SONDA FOLEY # 10</v>
      </c>
      <c r="C177" s="6">
        <v>12000</v>
      </c>
    </row>
    <row r="178" spans="1:3" x14ac:dyDescent="0.25">
      <c r="A178" s="5" t="str">
        <f>"ALF0540"</f>
        <v>ALF0540</v>
      </c>
      <c r="B178" s="5" t="str">
        <f>"SONDA FOLEY # 12"</f>
        <v>SONDA FOLEY # 12</v>
      </c>
      <c r="C178" s="6">
        <v>8000</v>
      </c>
    </row>
    <row r="179" spans="1:3" x14ac:dyDescent="0.25">
      <c r="A179" s="5" t="str">
        <f>"ALF0541"</f>
        <v>ALF0541</v>
      </c>
      <c r="B179" s="5" t="str">
        <f>"SONDA FOLEY # 14"</f>
        <v>SONDA FOLEY # 14</v>
      </c>
      <c r="C179" s="6">
        <v>8000</v>
      </c>
    </row>
    <row r="180" spans="1:3" x14ac:dyDescent="0.25">
      <c r="A180" s="5" t="str">
        <f>"ALF0542"</f>
        <v>ALF0542</v>
      </c>
      <c r="B180" s="5" t="str">
        <f>"SONDA FOLEY # 16"</f>
        <v>SONDA FOLEY # 16</v>
      </c>
      <c r="C180" s="6">
        <v>8000</v>
      </c>
    </row>
    <row r="181" spans="1:3" x14ac:dyDescent="0.25">
      <c r="A181" s="5" t="str">
        <f>"ALF0543"</f>
        <v>ALF0543</v>
      </c>
      <c r="B181" s="5" t="str">
        <f>"SONDA FOLEY # 18"</f>
        <v>SONDA FOLEY # 18</v>
      </c>
      <c r="C181" s="6">
        <v>8000</v>
      </c>
    </row>
    <row r="182" spans="1:3" x14ac:dyDescent="0.25">
      <c r="A182" s="5" t="str">
        <f>"ALF0544"</f>
        <v>ALF0544</v>
      </c>
      <c r="B182" s="5" t="str">
        <f>"SONDA FOLEY # 20"</f>
        <v>SONDA FOLEY # 20</v>
      </c>
      <c r="C182" s="6">
        <v>7000</v>
      </c>
    </row>
    <row r="183" spans="1:3" x14ac:dyDescent="0.25">
      <c r="A183" s="5" t="str">
        <f>"ALF0545"</f>
        <v>ALF0545</v>
      </c>
      <c r="B183" s="5" t="str">
        <f>"SONDA FOLEY # 22"</f>
        <v>SONDA FOLEY # 22</v>
      </c>
      <c r="C183" s="6">
        <v>8000</v>
      </c>
    </row>
    <row r="184" spans="1:3" x14ac:dyDescent="0.25">
      <c r="A184" s="5" t="str">
        <f>"ALF0546"</f>
        <v>ALF0546</v>
      </c>
      <c r="B184" s="5" t="str">
        <f>"SONDA FOLEY # 24 DOS VIAS"</f>
        <v>SONDA FOLEY # 24 DOS VIAS</v>
      </c>
      <c r="C184" s="6">
        <v>8000</v>
      </c>
    </row>
    <row r="185" spans="1:3" x14ac:dyDescent="0.25">
      <c r="A185" s="5" t="str">
        <f>"ALF0547"</f>
        <v>ALF0547</v>
      </c>
      <c r="B185" s="5" t="str">
        <f>"SONDA FOLEY # 24 TRES VIAS"</f>
        <v>SONDA FOLEY # 24 TRES VIAS</v>
      </c>
      <c r="C185" s="6">
        <v>6000</v>
      </c>
    </row>
    <row r="186" spans="1:3" x14ac:dyDescent="0.25">
      <c r="A186" s="5" t="str">
        <f>"ALF0548"</f>
        <v>ALF0548</v>
      </c>
      <c r="B186" s="5" t="str">
        <f>"SONDA FOLEY # 6"</f>
        <v>SONDA FOLEY # 6</v>
      </c>
      <c r="C186" s="6">
        <v>39200</v>
      </c>
    </row>
    <row r="187" spans="1:3" x14ac:dyDescent="0.25">
      <c r="A187" s="5" t="str">
        <f>"ALF0549"</f>
        <v>ALF0549</v>
      </c>
      <c r="B187" s="5" t="str">
        <f>"SONDA FOLEY # 8"</f>
        <v>SONDA FOLEY # 8</v>
      </c>
      <c r="C187" s="6">
        <v>8000</v>
      </c>
    </row>
    <row r="188" spans="1:3" x14ac:dyDescent="0.25">
      <c r="A188" s="5" t="str">
        <f>"ALF0550"</f>
        <v>ALF0550</v>
      </c>
      <c r="B188" s="5" t="str">
        <f>"SONDA FOLEY #20  TRES  VIAS"</f>
        <v>SONDA FOLEY #20  TRES  VIAS</v>
      </c>
      <c r="C188" s="6">
        <v>6500</v>
      </c>
    </row>
    <row r="189" spans="1:3" x14ac:dyDescent="0.25">
      <c r="A189" s="5" t="str">
        <f>"ALF0551"</f>
        <v>ALF0551</v>
      </c>
      <c r="B189" s="5" t="str">
        <f>"SONDA FOLEY #22  TRES  VIAS"</f>
        <v>SONDA FOLEY #22  TRES  VIAS</v>
      </c>
      <c r="C189" s="6">
        <v>8000</v>
      </c>
    </row>
    <row r="190" spans="1:3" x14ac:dyDescent="0.25">
      <c r="A190" s="5" t="str">
        <f>"ALF0552"</f>
        <v>ALF0552</v>
      </c>
      <c r="B190" s="5" t="str">
        <f>"SONDA FOLEY N° 18 TRES VIAS"</f>
        <v>SONDA FOLEY N° 18 TRES VIAS</v>
      </c>
      <c r="C190" s="6">
        <v>5000</v>
      </c>
    </row>
    <row r="191" spans="1:3" x14ac:dyDescent="0.25">
      <c r="A191" s="5" t="str">
        <f>"ALF0553"</f>
        <v>ALF0553</v>
      </c>
      <c r="B191" s="5" t="str">
        <f>"SONDA NASOGASTRICA # 12"</f>
        <v>SONDA NASOGASTRICA # 12</v>
      </c>
      <c r="C191" s="6">
        <v>1600</v>
      </c>
    </row>
    <row r="192" spans="1:3" x14ac:dyDescent="0.25">
      <c r="A192" s="5" t="str">
        <f>"ALF0554"</f>
        <v>ALF0554</v>
      </c>
      <c r="B192" s="5" t="str">
        <f>"SONDA NASOGASTRICA # 14"</f>
        <v>SONDA NASOGASTRICA # 14</v>
      </c>
      <c r="C192" s="6">
        <v>2160</v>
      </c>
    </row>
    <row r="193" spans="1:3" x14ac:dyDescent="0.25">
      <c r="A193" s="5" t="str">
        <f>"ALF0555"</f>
        <v>ALF0555</v>
      </c>
      <c r="B193" s="5" t="str">
        <f>"SONDA NASOGASTRICA # 16"</f>
        <v>SONDA NASOGASTRICA # 16</v>
      </c>
      <c r="C193" s="6">
        <v>1600</v>
      </c>
    </row>
    <row r="194" spans="1:3" x14ac:dyDescent="0.25">
      <c r="A194" s="5" t="str">
        <f>"ALF0556"</f>
        <v>ALF0556</v>
      </c>
      <c r="B194" s="5" t="str">
        <f>"SONDA NASOGASTRICA # 18"</f>
        <v>SONDA NASOGASTRICA # 18</v>
      </c>
      <c r="C194" s="6">
        <v>1600</v>
      </c>
    </row>
    <row r="195" spans="1:3" x14ac:dyDescent="0.25">
      <c r="A195" s="5" t="str">
        <f>"ALF0557"</f>
        <v>ALF0557</v>
      </c>
      <c r="B195" s="5" t="str">
        <f>"SONDA NASOGASTRICA # 20"</f>
        <v>SONDA NASOGASTRICA # 20</v>
      </c>
      <c r="C195" s="6">
        <v>3277</v>
      </c>
    </row>
    <row r="196" spans="1:3" x14ac:dyDescent="0.25">
      <c r="A196" s="5" t="str">
        <f>"ALF0558"</f>
        <v>ALF0558</v>
      </c>
      <c r="B196" s="5" t="str">
        <f>"SONDA NASOGASTRICA # 6"</f>
        <v>SONDA NASOGASTRICA # 6</v>
      </c>
      <c r="C196" s="6">
        <v>1600</v>
      </c>
    </row>
    <row r="197" spans="1:3" x14ac:dyDescent="0.25">
      <c r="A197" s="5" t="str">
        <f>"ALF0559"</f>
        <v>ALF0559</v>
      </c>
      <c r="B197" s="5" t="str">
        <f>"SONDA NASOGASTRICO # 10"</f>
        <v>SONDA NASOGASTRICO # 10</v>
      </c>
      <c r="C197" s="6">
        <v>2250</v>
      </c>
    </row>
    <row r="198" spans="1:3" x14ac:dyDescent="0.25">
      <c r="A198" s="5" t="str">
        <f>"ALF0560"</f>
        <v>ALF0560</v>
      </c>
      <c r="B198" s="5" t="str">
        <f>"SONDA NASOGASTICA # 8"</f>
        <v>SONDA NASOGASTICA # 8</v>
      </c>
      <c r="C198" s="6">
        <v>1944</v>
      </c>
    </row>
    <row r="199" spans="1:3" x14ac:dyDescent="0.25">
      <c r="A199" s="5" t="str">
        <f>"ALF0561"</f>
        <v>ALF0561</v>
      </c>
      <c r="B199" s="5" t="str">
        <f>"SONDA NELATON # 10"</f>
        <v>SONDA NELATON # 10</v>
      </c>
      <c r="C199" s="6">
        <v>1600</v>
      </c>
    </row>
    <row r="200" spans="1:3" x14ac:dyDescent="0.25">
      <c r="A200" s="5" t="str">
        <f>"ALF0562"</f>
        <v>ALF0562</v>
      </c>
      <c r="B200" s="5" t="str">
        <f>"SONDA NELATON # 16"</f>
        <v>SONDA NELATON # 16</v>
      </c>
      <c r="C200" s="6">
        <v>1600</v>
      </c>
    </row>
    <row r="201" spans="1:3" x14ac:dyDescent="0.25">
      <c r="A201" s="5" t="str">
        <f>"ALF0563"</f>
        <v>ALF0563</v>
      </c>
      <c r="B201" s="5" t="str">
        <f>"SONDA NELATON # 18"</f>
        <v>SONDA NELATON # 18</v>
      </c>
      <c r="C201" s="6">
        <v>1500</v>
      </c>
    </row>
    <row r="202" spans="1:3" x14ac:dyDescent="0.25">
      <c r="A202" s="5" t="str">
        <f>"ALF0564"</f>
        <v>ALF0564</v>
      </c>
      <c r="B202" s="5" t="str">
        <f>"SONDA NELATON # 20"</f>
        <v>SONDA NELATON # 20</v>
      </c>
      <c r="C202" s="6">
        <v>2100</v>
      </c>
    </row>
    <row r="203" spans="1:3" x14ac:dyDescent="0.25">
      <c r="A203" s="5" t="str">
        <f>"ALF0565"</f>
        <v>ALF0565</v>
      </c>
      <c r="B203" s="5" t="str">
        <f>"SONDA NELATON # 5"</f>
        <v>SONDA NELATON # 5</v>
      </c>
      <c r="C203" s="6">
        <v>1600</v>
      </c>
    </row>
    <row r="204" spans="1:3" x14ac:dyDescent="0.25">
      <c r="A204" s="5" t="str">
        <f>"ALF0566"</f>
        <v>ALF0566</v>
      </c>
      <c r="B204" s="5" t="str">
        <f>"SONDA NELATON # 8"</f>
        <v>SONDA NELATON # 8</v>
      </c>
      <c r="C204" s="6">
        <v>1500</v>
      </c>
    </row>
    <row r="205" spans="1:3" x14ac:dyDescent="0.25">
      <c r="A205" s="5" t="str">
        <f>"ALF0567"</f>
        <v>ALF0567</v>
      </c>
      <c r="B205" s="5" t="str">
        <f>"SONDA NELATON #12"</f>
        <v>SONDA NELATON #12</v>
      </c>
      <c r="C205" s="6">
        <v>2300</v>
      </c>
    </row>
    <row r="206" spans="1:3" x14ac:dyDescent="0.25">
      <c r="A206" s="5" t="str">
        <f>"ALF0568"</f>
        <v>ALF0568</v>
      </c>
      <c r="B206" s="5" t="str">
        <f>"SONDA NELATON #4"</f>
        <v>SONDA NELATON #4</v>
      </c>
      <c r="C206" s="6">
        <v>1200</v>
      </c>
    </row>
    <row r="207" spans="1:3" x14ac:dyDescent="0.25">
      <c r="A207" s="5" t="str">
        <f>"ALF0569"</f>
        <v>ALF0569</v>
      </c>
      <c r="B207" s="5" t="str">
        <f>"SONDA NELATON #6"</f>
        <v>SONDA NELATON #6</v>
      </c>
      <c r="C207" s="6">
        <v>1500</v>
      </c>
    </row>
    <row r="208" spans="1:3" x14ac:dyDescent="0.25">
      <c r="A208" s="5" t="str">
        <f>"ALF0570"</f>
        <v>ALF0570</v>
      </c>
      <c r="B208" s="5" t="str">
        <f>"SONDA NELATON 14"</f>
        <v>SONDA NELATON 14</v>
      </c>
      <c r="C208" s="6">
        <v>1750</v>
      </c>
    </row>
    <row r="209" spans="1:3" x14ac:dyDescent="0.25">
      <c r="A209" s="5" t="str">
        <f>"ALF0599"</f>
        <v>ALF0599</v>
      </c>
      <c r="B209" s="5" t="str">
        <f>"TUBO DE  TORAX 38 FR"</f>
        <v>TUBO DE  TORAX 38 FR</v>
      </c>
      <c r="C209" s="6">
        <v>8000</v>
      </c>
    </row>
    <row r="210" spans="1:3" x14ac:dyDescent="0.25">
      <c r="A210" s="5" t="str">
        <f>"ALF0601"</f>
        <v>ALF0601</v>
      </c>
      <c r="B210" s="5" t="str">
        <f>"TUBO DE TORAX 14 FR"</f>
        <v>TUBO DE TORAX 14 FR</v>
      </c>
      <c r="C210" s="6">
        <v>8000</v>
      </c>
    </row>
    <row r="211" spans="1:3" x14ac:dyDescent="0.25">
      <c r="A211" s="5" t="str">
        <f>"ALF0602"</f>
        <v>ALF0602</v>
      </c>
      <c r="B211" s="5" t="str">
        <f>"TUBO DE TORAX 16FR"</f>
        <v>TUBO DE TORAX 16FR</v>
      </c>
      <c r="C211" s="6">
        <v>8000</v>
      </c>
    </row>
    <row r="212" spans="1:3" x14ac:dyDescent="0.25">
      <c r="A212" s="5" t="str">
        <f>"ALF0603"</f>
        <v>ALF0603</v>
      </c>
      <c r="B212" s="5" t="str">
        <f>"TUBO DE TORAX 20 FR"</f>
        <v>TUBO DE TORAX 20 FR</v>
      </c>
      <c r="C212" s="6">
        <v>8000</v>
      </c>
    </row>
    <row r="213" spans="1:3" x14ac:dyDescent="0.25">
      <c r="A213" s="5" t="str">
        <f>"ALF0604"</f>
        <v>ALF0604</v>
      </c>
      <c r="B213" s="5" t="str">
        <f>"TUBO DE TORAX 28 FR"</f>
        <v>TUBO DE TORAX 28 FR</v>
      </c>
      <c r="C213" s="6">
        <v>16000</v>
      </c>
    </row>
    <row r="214" spans="1:3" x14ac:dyDescent="0.25">
      <c r="A214" s="5" t="str">
        <f>"ALF0605"</f>
        <v>ALF0605</v>
      </c>
      <c r="B214" s="5" t="str">
        <f>"TUBO DE LATEX EN T #18 FR"</f>
        <v>TUBO DE LATEX EN T #18 FR</v>
      </c>
      <c r="C214" s="6">
        <v>16000</v>
      </c>
    </row>
    <row r="215" spans="1:3" x14ac:dyDescent="0.25">
      <c r="A215" s="5" t="str">
        <f>"ALF0606"</f>
        <v>ALF0606</v>
      </c>
      <c r="B215" s="5" t="str">
        <f>"TUBO DE TORAX 30 FR"</f>
        <v>TUBO DE TORAX 30 FR</v>
      </c>
      <c r="C215" s="6">
        <v>8000</v>
      </c>
    </row>
    <row r="216" spans="1:3" x14ac:dyDescent="0.25">
      <c r="A216" s="5" t="str">
        <f>"ALF0607"</f>
        <v>ALF0607</v>
      </c>
      <c r="B216" s="5" t="str">
        <f>"TUBO DE TORAX 32 FR"</f>
        <v>TUBO DE TORAX 32 FR</v>
      </c>
      <c r="C216" s="6">
        <v>8000</v>
      </c>
    </row>
    <row r="217" spans="1:3" x14ac:dyDescent="0.25">
      <c r="A217" s="5" t="str">
        <f>"ALF0608"</f>
        <v>ALF0608</v>
      </c>
      <c r="B217" s="5" t="str">
        <f>"TUBO DE TORAX 34 FR"</f>
        <v>TUBO DE TORAX 34 FR</v>
      </c>
      <c r="C217" s="6">
        <v>8000</v>
      </c>
    </row>
    <row r="218" spans="1:3" x14ac:dyDescent="0.25">
      <c r="A218" s="5" t="str">
        <f>"ALF0609"</f>
        <v>ALF0609</v>
      </c>
      <c r="B218" s="5" t="str">
        <f>"TUBO DE TORAX 36 FR"</f>
        <v>TUBO DE TORAX 36 FR</v>
      </c>
      <c r="C218" s="6">
        <v>8000</v>
      </c>
    </row>
    <row r="219" spans="1:3" x14ac:dyDescent="0.25">
      <c r="A219" s="5" t="str">
        <f>"ALF0610"</f>
        <v>ALF0610</v>
      </c>
      <c r="B219" s="5" t="str">
        <f>"CANULA DE TRAQUEOSTOMIA No. 7.0"</f>
        <v>CANULA DE TRAQUEOSTOMIA No. 7.0</v>
      </c>
      <c r="C219" s="6">
        <v>112000</v>
      </c>
    </row>
    <row r="220" spans="1:3" x14ac:dyDescent="0.25">
      <c r="A220" s="5" t="str">
        <f>"ALF0611"</f>
        <v>ALF0611</v>
      </c>
      <c r="B220" s="5" t="str">
        <f>"CANULA DE TRAQUEOSTOMIA No. 7.5"</f>
        <v>CANULA DE TRAQUEOSTOMIA No. 7.5</v>
      </c>
      <c r="C220" s="6">
        <v>112000</v>
      </c>
    </row>
    <row r="221" spans="1:3" x14ac:dyDescent="0.25">
      <c r="A221" s="5" t="str">
        <f>"ALF0612"</f>
        <v>ALF0612</v>
      </c>
      <c r="B221" s="5" t="str">
        <f>"CANULA DE TRAQUEOSTOMIA No. 8.0"</f>
        <v>CANULA DE TRAQUEOSTOMIA No. 8.0</v>
      </c>
      <c r="C221" s="6">
        <v>112000</v>
      </c>
    </row>
    <row r="222" spans="1:3" x14ac:dyDescent="0.25">
      <c r="A222" s="5" t="str">
        <f>"ALF0615"</f>
        <v>ALF0615</v>
      </c>
      <c r="B222" s="5" t="str">
        <f>"TUBO ENDOTRAQUEAL 2.0 S/B"</f>
        <v>TUBO ENDOTRAQUEAL 2.0 S/B</v>
      </c>
      <c r="C222" s="6">
        <v>8000</v>
      </c>
    </row>
    <row r="223" spans="1:3" x14ac:dyDescent="0.25">
      <c r="A223" s="5" t="str">
        <f>"ALF0616"</f>
        <v>ALF0616</v>
      </c>
      <c r="B223" s="5" t="str">
        <f>"TUBO ENDOTRAQUEAL 2.5 S/B"</f>
        <v>TUBO ENDOTRAQUEAL 2.5 S/B</v>
      </c>
      <c r="C223" s="6">
        <v>8000</v>
      </c>
    </row>
    <row r="224" spans="1:3" x14ac:dyDescent="0.25">
      <c r="A224" s="5" t="str">
        <f>"ALF0617"</f>
        <v>ALF0617</v>
      </c>
      <c r="B224" s="5" t="str">
        <f>"TUBO ENDOTRAQUEAL 3 0 S/B"</f>
        <v>TUBO ENDOTRAQUEAL 3 0 S/B</v>
      </c>
      <c r="C224" s="6">
        <v>8000</v>
      </c>
    </row>
    <row r="225" spans="1:3" x14ac:dyDescent="0.25">
      <c r="A225" s="5" t="str">
        <f>"ALF0618"</f>
        <v>ALF0618</v>
      </c>
      <c r="B225" s="5" t="str">
        <f>"TUBO ENDOTRAQUEAL 3.0 C/B"</f>
        <v>TUBO ENDOTRAQUEAL 3.0 C/B</v>
      </c>
      <c r="C225" s="6">
        <v>8000</v>
      </c>
    </row>
    <row r="226" spans="1:3" x14ac:dyDescent="0.25">
      <c r="A226" s="5" t="str">
        <f>"ALF0619"</f>
        <v>ALF0619</v>
      </c>
      <c r="B226" s="5" t="str">
        <f>"TUBO ENDOTRAQUEAL 3.5 C/B"</f>
        <v>TUBO ENDOTRAQUEAL 3.5 C/B</v>
      </c>
      <c r="C226" s="6">
        <v>8000</v>
      </c>
    </row>
    <row r="227" spans="1:3" x14ac:dyDescent="0.25">
      <c r="A227" s="5" t="str">
        <f>"ALF0620"</f>
        <v>ALF0620</v>
      </c>
      <c r="B227" s="5" t="str">
        <f>"TUBO ENDOTRAQUEAL 3.5 S/B"</f>
        <v>TUBO ENDOTRAQUEAL 3.5 S/B</v>
      </c>
      <c r="C227" s="6">
        <v>8000</v>
      </c>
    </row>
    <row r="228" spans="1:3" x14ac:dyDescent="0.25">
      <c r="A228" s="5" t="str">
        <f>"ALF0621"</f>
        <v>ALF0621</v>
      </c>
      <c r="B228" s="5" t="str">
        <f>"TUBO ENDOTRAQUEAL 4.0 C/B"</f>
        <v>TUBO ENDOTRAQUEAL 4.0 C/B</v>
      </c>
      <c r="C228" s="6">
        <v>8000</v>
      </c>
    </row>
    <row r="229" spans="1:3" x14ac:dyDescent="0.25">
      <c r="A229" s="5" t="str">
        <f>"ALF0622"</f>
        <v>ALF0622</v>
      </c>
      <c r="B229" s="5" t="str">
        <f>"TUBO ENDOTRAQUEAL 4.0 S/B"</f>
        <v>TUBO ENDOTRAQUEAL 4.0 S/B</v>
      </c>
      <c r="C229" s="6">
        <v>8000</v>
      </c>
    </row>
    <row r="230" spans="1:3" x14ac:dyDescent="0.25">
      <c r="A230" s="5" t="str">
        <f>"ALF0623"</f>
        <v>ALF0623</v>
      </c>
      <c r="B230" s="5" t="str">
        <f>"TUBO ENDOTRAQUEAL 4.5 C/B"</f>
        <v>TUBO ENDOTRAQUEAL 4.5 C/B</v>
      </c>
      <c r="C230" s="6">
        <v>8000</v>
      </c>
    </row>
    <row r="231" spans="1:3" x14ac:dyDescent="0.25">
      <c r="A231" s="5" t="str">
        <f>"ALF0624"</f>
        <v>ALF0624</v>
      </c>
      <c r="B231" s="5" t="str">
        <f>"TUBO ENDOTRAQUEAL 4.5 S/B"</f>
        <v>TUBO ENDOTRAQUEAL 4.5 S/B</v>
      </c>
      <c r="C231" s="6">
        <v>8000</v>
      </c>
    </row>
    <row r="232" spans="1:3" x14ac:dyDescent="0.25">
      <c r="A232" s="5" t="str">
        <f>"ALF0625"</f>
        <v>ALF0625</v>
      </c>
      <c r="B232" s="5" t="str">
        <f>"TUBO ENDOTRAQUEAL 5.0 C/B"</f>
        <v>TUBO ENDOTRAQUEAL 5.0 C/B</v>
      </c>
      <c r="C232" s="6">
        <v>8000</v>
      </c>
    </row>
    <row r="233" spans="1:3" x14ac:dyDescent="0.25">
      <c r="A233" s="5" t="str">
        <f>"ALF0626"</f>
        <v>ALF0626</v>
      </c>
      <c r="B233" s="5" t="str">
        <f>"TUBO ENDOTRAQUEAL 5.0 S/B"</f>
        <v>TUBO ENDOTRAQUEAL 5.0 S/B</v>
      </c>
      <c r="C233" s="6">
        <v>8000</v>
      </c>
    </row>
    <row r="234" spans="1:3" x14ac:dyDescent="0.25">
      <c r="A234" s="5" t="str">
        <f>"ALF0627"</f>
        <v>ALF0627</v>
      </c>
      <c r="B234" s="5" t="str">
        <f>"TUBO ENDOTRAQUEAL 5.5  C/B"</f>
        <v>TUBO ENDOTRAQUEAL 5.5  C/B</v>
      </c>
      <c r="C234" s="6">
        <v>8000</v>
      </c>
    </row>
    <row r="235" spans="1:3" x14ac:dyDescent="0.25">
      <c r="A235" s="5" t="str">
        <f>"ALF0628"</f>
        <v>ALF0628</v>
      </c>
      <c r="B235" s="5" t="str">
        <f>"TUBO ENDOTRAQUEAL 5.5 S/B"</f>
        <v>TUBO ENDOTRAQUEAL 5.5 S/B</v>
      </c>
      <c r="C235" s="6">
        <v>8000</v>
      </c>
    </row>
    <row r="236" spans="1:3" x14ac:dyDescent="0.25">
      <c r="A236" s="5" t="str">
        <f>"ALF0630"</f>
        <v>ALF0630</v>
      </c>
      <c r="B236" s="5" t="str">
        <f>"TUBO ENDOTRAQUEAL 6.0 C/B"</f>
        <v>TUBO ENDOTRAQUEAL 6.0 C/B</v>
      </c>
      <c r="C236" s="6">
        <v>8000</v>
      </c>
    </row>
    <row r="237" spans="1:3" x14ac:dyDescent="0.25">
      <c r="A237" s="5" t="str">
        <f>"ALF0631"</f>
        <v>ALF0631</v>
      </c>
      <c r="B237" s="5" t="str">
        <f>"TUBO ENDOTRAQUEAL 6.0 S/B"</f>
        <v>TUBO ENDOTRAQUEAL 6.0 S/B</v>
      </c>
      <c r="C237" s="6">
        <v>8000</v>
      </c>
    </row>
    <row r="238" spans="1:3" x14ac:dyDescent="0.25">
      <c r="A238" s="5" t="str">
        <f>"ALF0632"</f>
        <v>ALF0632</v>
      </c>
      <c r="B238" s="5" t="str">
        <f>"TUBO ENDOTRAQUEAL 6.5 C/B"</f>
        <v>TUBO ENDOTRAQUEAL 6.5 C/B</v>
      </c>
      <c r="C238" s="6">
        <v>8000</v>
      </c>
    </row>
    <row r="239" spans="1:3" x14ac:dyDescent="0.25">
      <c r="A239" s="5" t="str">
        <f>"ALF0633"</f>
        <v>ALF0633</v>
      </c>
      <c r="B239" s="5" t="str">
        <f>"TUBO ENDOTRAQUEAL 7.0 C/B"</f>
        <v>TUBO ENDOTRAQUEAL 7.0 C/B</v>
      </c>
      <c r="C239" s="6">
        <v>8000</v>
      </c>
    </row>
    <row r="240" spans="1:3" x14ac:dyDescent="0.25">
      <c r="A240" s="5" t="str">
        <f>"ALF0635"</f>
        <v>ALF0635</v>
      </c>
      <c r="B240" s="5" t="str">
        <f>"TUBO ENDOTRAQUEAL 7.5 C/B"</f>
        <v>TUBO ENDOTRAQUEAL 7.5 C/B</v>
      </c>
      <c r="C240" s="6">
        <v>8000</v>
      </c>
    </row>
    <row r="241" spans="1:3" x14ac:dyDescent="0.25">
      <c r="A241" s="5" t="str">
        <f>"ALF0636"</f>
        <v>ALF0636</v>
      </c>
      <c r="B241" s="5" t="str">
        <f>"TUBO ENDOTRAQUEAL 8.0 C/B"</f>
        <v>TUBO ENDOTRAQUEAL 8.0 C/B</v>
      </c>
      <c r="C241" s="6">
        <v>8000</v>
      </c>
    </row>
    <row r="242" spans="1:3" x14ac:dyDescent="0.25">
      <c r="A242" s="5" t="str">
        <f>"ALF0637"</f>
        <v>ALF0637</v>
      </c>
      <c r="B242" s="5" t="str">
        <f>"TUBO ENDOTRAQUEAL 8.5 C/B"</f>
        <v>TUBO ENDOTRAQUEAL 8.5 C/B</v>
      </c>
      <c r="C242" s="6">
        <v>8500</v>
      </c>
    </row>
    <row r="243" spans="1:3" x14ac:dyDescent="0.25">
      <c r="A243" s="5" t="str">
        <f>"ALF0642"</f>
        <v>ALF0642</v>
      </c>
      <c r="B243" s="5" t="str">
        <f>"VENDA DE ALGODON  3X5 YDAS"</f>
        <v>VENDA DE ALGODON  3X5 YDAS</v>
      </c>
      <c r="C243" s="6">
        <v>3000</v>
      </c>
    </row>
    <row r="244" spans="1:3" x14ac:dyDescent="0.25">
      <c r="A244" s="5" t="str">
        <f>"ALF0643"</f>
        <v>ALF0643</v>
      </c>
      <c r="B244" s="5" t="str">
        <f>"VENDA DE ALGODON  4X5 YDAS"</f>
        <v>VENDA DE ALGODON  4X5 YDAS</v>
      </c>
      <c r="C244" s="6">
        <v>3527</v>
      </c>
    </row>
    <row r="245" spans="1:3" x14ac:dyDescent="0.25">
      <c r="A245" s="5" t="str">
        <f>"ALF0644"</f>
        <v>ALF0644</v>
      </c>
      <c r="B245" s="5" t="str">
        <f>"VENDA DE ALGODON  5X5 YDAS"</f>
        <v>VENDA DE ALGODON  5X5 YDAS</v>
      </c>
      <c r="C245" s="6">
        <v>3000</v>
      </c>
    </row>
    <row r="246" spans="1:3" x14ac:dyDescent="0.25">
      <c r="A246" s="5" t="str">
        <f>"ALF0645"</f>
        <v>ALF0645</v>
      </c>
      <c r="B246" s="5" t="str">
        <f>"VENDA DE ALGODON  6X5 YDAS"</f>
        <v>VENDA DE ALGODON  6X5 YDAS</v>
      </c>
      <c r="C246" s="6">
        <v>4000</v>
      </c>
    </row>
    <row r="247" spans="1:3" x14ac:dyDescent="0.25">
      <c r="A247" s="5" t="str">
        <f>"ALF0646"</f>
        <v>ALF0646</v>
      </c>
      <c r="B247" s="5" t="str">
        <f>"VENDA DE YESO  3X5 YDAS"</f>
        <v>VENDA DE YESO  3X5 YDAS</v>
      </c>
      <c r="C247" s="6">
        <v>6288</v>
      </c>
    </row>
    <row r="248" spans="1:3" x14ac:dyDescent="0.25">
      <c r="A248" s="5" t="str">
        <f>"ALF0647"</f>
        <v>ALF0647</v>
      </c>
      <c r="B248" s="5" t="str">
        <f>"VENDA DE YESO  4X5 YDAS"</f>
        <v>VENDA DE YESO  4X5 YDAS</v>
      </c>
      <c r="C248" s="6">
        <v>13194</v>
      </c>
    </row>
    <row r="249" spans="1:3" x14ac:dyDescent="0.25">
      <c r="A249" s="5" t="str">
        <f>"ALF0648"</f>
        <v>ALF0648</v>
      </c>
      <c r="B249" s="5" t="str">
        <f>"VENDA DE YESO  5X5 YDAS"</f>
        <v>VENDA DE YESO  5X5 YDAS</v>
      </c>
      <c r="C249" s="6">
        <v>10014</v>
      </c>
    </row>
    <row r="250" spans="1:3" x14ac:dyDescent="0.25">
      <c r="A250" s="5" t="str">
        <f>"ALF0649"</f>
        <v>ALF0649</v>
      </c>
      <c r="B250" s="5" t="str">
        <f>"VENDA DE YESO  6X5 YDAS"</f>
        <v>VENDA DE YESO  6X5 YDAS</v>
      </c>
      <c r="C250" s="6">
        <v>11000</v>
      </c>
    </row>
    <row r="251" spans="1:3" x14ac:dyDescent="0.25">
      <c r="A251" s="5" t="str">
        <f>"ALF0650"</f>
        <v>ALF0650</v>
      </c>
      <c r="B251" s="5" t="str">
        <f>"VENDA ELASTICA  3X5 YDAS"</f>
        <v>VENDA ELASTICA  3X5 YDAS</v>
      </c>
      <c r="C251" s="6">
        <v>6165</v>
      </c>
    </row>
    <row r="252" spans="1:3" x14ac:dyDescent="0.25">
      <c r="A252" s="5" t="str">
        <f>"ALF0651"</f>
        <v>ALF0651</v>
      </c>
      <c r="B252" s="5" t="str">
        <f>"VENDA ELASTICA  5 X5 YDAS"</f>
        <v>VENDA ELASTICA  5 X5 YDAS</v>
      </c>
      <c r="C252" s="6">
        <v>6200</v>
      </c>
    </row>
    <row r="253" spans="1:3" x14ac:dyDescent="0.25">
      <c r="A253" s="5" t="str">
        <f>"ALF0652"</f>
        <v>ALF0652</v>
      </c>
      <c r="B253" s="5" t="str">
        <f>"VENDA ELASTICA  6X5 YDAS"</f>
        <v>VENDA ELASTICA  6X5 YDAS</v>
      </c>
      <c r="C253" s="6">
        <v>5500</v>
      </c>
    </row>
    <row r="254" spans="1:3" x14ac:dyDescent="0.25">
      <c r="A254" s="5" t="str">
        <f>"ALF0653"</f>
        <v>ALF0653</v>
      </c>
      <c r="B254" s="5" t="str">
        <f>"VENDA ELASTICA 4X5 YDAS"</f>
        <v>VENDA ELASTICA 4X5 YDAS</v>
      </c>
      <c r="C254" s="6">
        <v>6270</v>
      </c>
    </row>
    <row r="255" spans="1:3" x14ac:dyDescent="0.25">
      <c r="A255" s="5" t="str">
        <f>"ALF0656"</f>
        <v>ALF0656</v>
      </c>
      <c r="B255" s="5" t="str">
        <f>"VICRYL 0 CT-1"</f>
        <v>VICRYL 0 CT-1</v>
      </c>
      <c r="C255" s="6">
        <v>25000</v>
      </c>
    </row>
    <row r="256" spans="1:3" x14ac:dyDescent="0.25">
      <c r="A256" s="5" t="str">
        <f>"ALF0657"</f>
        <v>ALF0657</v>
      </c>
      <c r="B256" s="5" t="str">
        <f>"VICRYL 1 CT-1"</f>
        <v>VICRYL 1 CT-1</v>
      </c>
      <c r="C256" s="6">
        <v>23000</v>
      </c>
    </row>
    <row r="257" spans="1:3" x14ac:dyDescent="0.25">
      <c r="A257" s="5" t="str">
        <f>"ALF0658"</f>
        <v>ALF0658</v>
      </c>
      <c r="B257" s="5" t="str">
        <f>"VICRYL 2-0  CT-1"</f>
        <v>VICRYL 2-0  CT-1</v>
      </c>
      <c r="C257" s="6">
        <v>18000</v>
      </c>
    </row>
    <row r="258" spans="1:3" x14ac:dyDescent="0.25">
      <c r="A258" s="5" t="str">
        <f>"ALF0659"</f>
        <v>ALF0659</v>
      </c>
      <c r="B258" s="5" t="str">
        <f>"VICRYL 2-0  SH"</f>
        <v>VICRYL 2-0  SH</v>
      </c>
      <c r="C258" s="6">
        <v>23000</v>
      </c>
    </row>
    <row r="259" spans="1:3" x14ac:dyDescent="0.25">
      <c r="A259" s="5" t="str">
        <f>"ALF0661"</f>
        <v>ALF0661</v>
      </c>
      <c r="B259" s="5" t="str">
        <f>"VICRYL 3-0  SH-"</f>
        <v>VICRYL 3-0  SH-</v>
      </c>
      <c r="C259" s="6">
        <v>19000</v>
      </c>
    </row>
    <row r="260" spans="1:3" x14ac:dyDescent="0.25">
      <c r="A260" s="5" t="str">
        <f>"ALF0662"</f>
        <v>ALF0662</v>
      </c>
      <c r="B260" s="5" t="str">
        <f>"VICRYL 4-0 RB-1"</f>
        <v>VICRYL 4-0 RB-1</v>
      </c>
      <c r="C260" s="6">
        <v>23000</v>
      </c>
    </row>
    <row r="261" spans="1:3" x14ac:dyDescent="0.25">
      <c r="A261" s="5" t="str">
        <f>"ALF0664"</f>
        <v>ALF0664</v>
      </c>
      <c r="B261" s="5" t="str">
        <f>"VICRYL 5-0 RB1"</f>
        <v>VICRYL 5-0 RB1</v>
      </c>
      <c r="C261" s="6">
        <v>22983</v>
      </c>
    </row>
    <row r="262" spans="1:3" x14ac:dyDescent="0.25">
      <c r="A262" s="5" t="str">
        <f>"ALF0683"</f>
        <v>ALF0683</v>
      </c>
      <c r="B262" s="5" t="str">
        <f>"MEDIO DE CONTRASTE 350MG/50ML AMPOLLA (OMNIPAQUE)"</f>
        <v>MEDIO DE CONTRASTE 350MG/50ML AMPOLLA (OMNIPAQUE)</v>
      </c>
      <c r="C262" s="6">
        <v>149465</v>
      </c>
    </row>
    <row r="263" spans="1:3" x14ac:dyDescent="0.25">
      <c r="A263" s="5" t="str">
        <f>"ALF0696"</f>
        <v>ALF0696</v>
      </c>
      <c r="B263" s="5" t="str">
        <f>"INTRODUCTOR PERCUTANEO 8.5FR"</f>
        <v>INTRODUCTOR PERCUTANEO 8.5FR</v>
      </c>
      <c r="C263" s="6">
        <v>222008</v>
      </c>
    </row>
    <row r="264" spans="1:3" x14ac:dyDescent="0.25">
      <c r="A264" s="5" t="str">
        <f>"ALF0697"</f>
        <v>ALF0697</v>
      </c>
      <c r="B264" s="5" t="str">
        <f>"SONDA PARA NUTRICIÓN ENTERAL NO. 12 C.P. TUNGSTENO"</f>
        <v>SONDA PARA NUTRICIÓN ENTERAL NO. 12 C.P. TUNGSTENO</v>
      </c>
      <c r="C264" s="6">
        <v>157040</v>
      </c>
    </row>
    <row r="265" spans="1:3" x14ac:dyDescent="0.25">
      <c r="A265" s="5" t="str">
        <f>"ALF0698"</f>
        <v>ALF0698</v>
      </c>
      <c r="B265" s="5" t="str">
        <f>"EQUIPO BOMBA ADMINISTARCION  DE SANGRE BN"</f>
        <v>EQUIPO BOMBA ADMINISTARCION  DE SANGRE BN</v>
      </c>
      <c r="C265" s="6">
        <v>40000</v>
      </c>
    </row>
    <row r="266" spans="1:3" x14ac:dyDescent="0.25">
      <c r="A266" s="5" t="str">
        <f>"ALF0699"</f>
        <v>ALF0699</v>
      </c>
      <c r="B266" s="5" t="str">
        <f>"EQUIPO BOMBADE ALIMENTACION BN"</f>
        <v>EQUIPO BOMBADE ALIMENTACION BN</v>
      </c>
      <c r="C266" s="6">
        <v>40000</v>
      </c>
    </row>
    <row r="267" spans="1:3" x14ac:dyDescent="0.25">
      <c r="A267" s="5" t="str">
        <f>"ALF0700"</f>
        <v>ALF0700</v>
      </c>
      <c r="B267" s="5" t="str">
        <f>"SISTEMA DE SUCCION CERRADA 10FR"</f>
        <v>SISTEMA DE SUCCION CERRADA 10FR</v>
      </c>
      <c r="C267" s="6">
        <v>94826</v>
      </c>
    </row>
    <row r="268" spans="1:3" x14ac:dyDescent="0.25">
      <c r="A268" s="5" t="str">
        <f>"ALF0701"</f>
        <v>ALF0701</v>
      </c>
      <c r="B268" s="5" t="str">
        <f>"SISTEMA DE SUCCION CERRADA 14FR"</f>
        <v>SISTEMA DE SUCCION CERRADA 14FR</v>
      </c>
      <c r="C268" s="6">
        <v>85800</v>
      </c>
    </row>
    <row r="269" spans="1:3" x14ac:dyDescent="0.25">
      <c r="A269" s="5" t="str">
        <f>"ALF0704"</f>
        <v>ALF0704</v>
      </c>
      <c r="B269" s="5" t="str">
        <f>"ADHESIVO TRANSPARENTE   5.0X7.2CM/2X3 -PERIFERICO"</f>
        <v>ADHESIVO TRANSPARENTE   5.0X7.2CM/2X3 -PERIFERICO</v>
      </c>
      <c r="C269" s="6">
        <v>3200</v>
      </c>
    </row>
    <row r="270" spans="1:3" x14ac:dyDescent="0.25">
      <c r="A270" s="5" t="str">
        <f>"ALF0705"</f>
        <v>ALF0705</v>
      </c>
      <c r="B270" s="5" t="str">
        <f>"MASCARA OXIGENO TERAPIA NEONATAL MICRONEBULIZADOR"</f>
        <v>MASCARA OXIGENO TERAPIA NEONATAL MICRONEBULIZADOR</v>
      </c>
      <c r="C270" s="6">
        <v>10041</v>
      </c>
    </row>
    <row r="271" spans="1:3" x14ac:dyDescent="0.25">
      <c r="A271" s="5" t="str">
        <f>"ALF0706"</f>
        <v>ALF0706</v>
      </c>
      <c r="B271" s="5" t="str">
        <f>"CAUCHO PARA SUCCION  X 1 METRO"</f>
        <v>CAUCHO PARA SUCCION  X 1 METRO</v>
      </c>
      <c r="C271" s="6">
        <v>45000</v>
      </c>
    </row>
    <row r="272" spans="1:3" x14ac:dyDescent="0.25">
      <c r="A272" s="5" t="str">
        <f>"ALF0709"</f>
        <v>ALF0709</v>
      </c>
      <c r="B272" s="5" t="str">
        <f>"GELFOAM ESPONJA ESTERIL 100 CM"</f>
        <v>GELFOAM ESPONJA ESTERIL 100 CM</v>
      </c>
      <c r="C272" s="6">
        <v>90369</v>
      </c>
    </row>
    <row r="273" spans="1:3" x14ac:dyDescent="0.25">
      <c r="A273" s="5" t="str">
        <f>"ALF0710"</f>
        <v>ALF0710</v>
      </c>
      <c r="B273" s="5" t="str">
        <f>"MEROCEL STANDAR CON VENTILADOR"</f>
        <v>MEROCEL STANDAR CON VENTILADOR</v>
      </c>
      <c r="C273" s="6">
        <v>100000</v>
      </c>
    </row>
    <row r="274" spans="1:3" x14ac:dyDescent="0.25">
      <c r="A274" s="5" t="str">
        <f>"ALF0712"</f>
        <v>ALF0712</v>
      </c>
      <c r="B274" s="5" t="str">
        <f>"FILTRO INSPIRATORIO PARA SERVO 300C"</f>
        <v>FILTRO INSPIRATORIO PARA SERVO 300C</v>
      </c>
      <c r="C274" s="6">
        <v>37300</v>
      </c>
    </row>
    <row r="275" spans="1:3" x14ac:dyDescent="0.25">
      <c r="A275" s="5" t="str">
        <f>"ALF0713"</f>
        <v>ALF0713</v>
      </c>
      <c r="B275" s="5" t="str">
        <f>"FILTRO INSPIRATORIO PARA SERVO 900C"</f>
        <v>FILTRO INSPIRATORIO PARA SERVO 900C</v>
      </c>
      <c r="C275" s="6">
        <v>41310</v>
      </c>
    </row>
    <row r="276" spans="1:3" x14ac:dyDescent="0.25">
      <c r="A276" s="5" t="str">
        <f>"ALF0714"</f>
        <v>ALF0714</v>
      </c>
      <c r="B276" s="5" t="str">
        <f>"SONDA DE GASTROSTOMIA 20FR"</f>
        <v>SONDA DE GASTROSTOMIA 20FR</v>
      </c>
      <c r="C276" s="6">
        <v>230000</v>
      </c>
    </row>
    <row r="277" spans="1:3" x14ac:dyDescent="0.25">
      <c r="A277" s="5" t="str">
        <f>"ALF0715"</f>
        <v>ALF0715</v>
      </c>
      <c r="B277" s="5" t="str">
        <f>"SONDA DE GASTROSTOMIA 22FR"</f>
        <v>SONDA DE GASTROSTOMIA 22FR</v>
      </c>
      <c r="C277" s="6">
        <v>250000</v>
      </c>
    </row>
    <row r="278" spans="1:3" x14ac:dyDescent="0.25">
      <c r="A278" s="5" t="str">
        <f>"ALF0716"</f>
        <v>ALF0716</v>
      </c>
      <c r="B278" s="5" t="str">
        <f>"BOTELLA PARA DRENAJE TORAXICO X 1100 CC"</f>
        <v>BOTELLA PARA DRENAJE TORAXICO X 1100 CC</v>
      </c>
      <c r="C278" s="6">
        <v>145426</v>
      </c>
    </row>
    <row r="279" spans="1:3" x14ac:dyDescent="0.25">
      <c r="A279" s="5" t="str">
        <f>"ALF0718"</f>
        <v>ALF0718</v>
      </c>
      <c r="B279" s="5" t="str">
        <f>"CUELLO ORTOPEDICO  M ( ADULTO)"</f>
        <v>CUELLO ORTOPEDICO  M ( ADULTO)</v>
      </c>
      <c r="C279" s="6">
        <v>40000</v>
      </c>
    </row>
    <row r="280" spans="1:3" x14ac:dyDescent="0.25">
      <c r="A280" s="5" t="str">
        <f>"ALF0719"</f>
        <v>ALF0719</v>
      </c>
      <c r="B280" s="5" t="str">
        <f>"COLLAR RIGIDO DE FILADELFIA"</f>
        <v>COLLAR RIGIDO DE FILADELFIA</v>
      </c>
      <c r="C280" s="6">
        <v>67500</v>
      </c>
    </row>
    <row r="281" spans="1:3" x14ac:dyDescent="0.25">
      <c r="A281" s="5" t="str">
        <f>"ALF0720"</f>
        <v>ALF0720</v>
      </c>
      <c r="B281" s="5" t="str">
        <f>"BURETROL EQUIPO"</f>
        <v>BURETROL EQUIPO</v>
      </c>
      <c r="C281" s="6">
        <v>5000</v>
      </c>
    </row>
    <row r="282" spans="1:3" x14ac:dyDescent="0.25">
      <c r="A282" s="5" t="str">
        <f>"ALF0723"</f>
        <v>ALF0723</v>
      </c>
      <c r="B282" s="5" t="str">
        <f>"KIT APOSITO MEDIUM 18*12.5*3.3CM.LR8 GENADYNE"</f>
        <v>KIT APOSITO MEDIUM 18*12.5*3.3CM.LR8 GENADYNE</v>
      </c>
      <c r="C282" s="6">
        <v>549807</v>
      </c>
    </row>
    <row r="283" spans="1:3" x14ac:dyDescent="0.25">
      <c r="A283" s="5" t="str">
        <f>"ALF0724"</f>
        <v>ALF0724</v>
      </c>
      <c r="B283" s="5" t="str">
        <f>"KIT APOSITO PVA BLANCO -XLRS GENADYNE"</f>
        <v>KIT APOSITO PVA BLANCO -XLRS GENADYNE</v>
      </c>
      <c r="C283" s="6">
        <v>570000</v>
      </c>
    </row>
    <row r="284" spans="1:3" x14ac:dyDescent="0.25">
      <c r="A284" s="5" t="str">
        <f>"ALF0725"</f>
        <v>ALF0725</v>
      </c>
      <c r="B284" s="5" t="str">
        <f>"MALLA DE PROLENE 30 X30CMS J&amp;J"</f>
        <v>MALLA DE PROLENE 30 X30CMS J&amp;J</v>
      </c>
      <c r="C284" s="6">
        <v>920000</v>
      </c>
    </row>
    <row r="285" spans="1:3" x14ac:dyDescent="0.25">
      <c r="A285" s="5" t="str">
        <f>"ALF0726"</f>
        <v>ALF0726</v>
      </c>
      <c r="B285" s="5" t="str">
        <f>"JERINGA CT SENCILLA-MC 150ML"</f>
        <v>JERINGA CT SENCILLA-MC 150ML</v>
      </c>
      <c r="C285" s="6">
        <v>47000</v>
      </c>
    </row>
    <row r="286" spans="1:3" x14ac:dyDescent="0.25">
      <c r="A286" s="5" t="str">
        <f>"ALF0727"</f>
        <v>ALF0727</v>
      </c>
      <c r="B286" s="5" t="str">
        <f>"JERINGA ELS 200ML HEMO"</f>
        <v>JERINGA ELS 200ML HEMO</v>
      </c>
      <c r="C286" s="6">
        <v>47000</v>
      </c>
    </row>
    <row r="287" spans="1:3" x14ac:dyDescent="0.25">
      <c r="A287" s="5" t="str">
        <f>"ALF0728"</f>
        <v>ALF0728</v>
      </c>
      <c r="B287" s="5" t="str">
        <f>"CATGUT SIMPLE 2-0 SA"</f>
        <v>CATGUT SIMPLE 2-0 SA</v>
      </c>
      <c r="C287" s="6">
        <v>16000</v>
      </c>
    </row>
    <row r="288" spans="1:3" x14ac:dyDescent="0.25">
      <c r="A288" s="5" t="str">
        <f>"ALF0729"</f>
        <v>ALF0729</v>
      </c>
      <c r="B288" s="5" t="str">
        <f>"CATGUT SIMPLE 2-0 SH"</f>
        <v>CATGUT SIMPLE 2-0 SH</v>
      </c>
      <c r="C288" s="6">
        <v>14000</v>
      </c>
    </row>
    <row r="289" spans="1:3" x14ac:dyDescent="0.25">
      <c r="A289" s="5" t="str">
        <f>"ALF0731"</f>
        <v>ALF0731</v>
      </c>
      <c r="B289" s="5" t="str">
        <f>"MONOCRYL  4-0 PS-2"</f>
        <v>MONOCRYL  4-0 PS-2</v>
      </c>
      <c r="C289" s="6">
        <v>40000</v>
      </c>
    </row>
    <row r="290" spans="1:3" x14ac:dyDescent="0.25">
      <c r="A290" s="5" t="str">
        <f>"ALF0732"</f>
        <v>ALF0732</v>
      </c>
      <c r="B290" s="5" t="str">
        <f>"MONOCRYL  3-0 PS-2"</f>
        <v>MONOCRYL  3-0 PS-2</v>
      </c>
      <c r="C290" s="6">
        <v>31000</v>
      </c>
    </row>
    <row r="291" spans="1:3" x14ac:dyDescent="0.25">
      <c r="A291" s="5" t="str">
        <f>"ALF0734"</f>
        <v>ALF0734</v>
      </c>
      <c r="B291" s="5" t="str">
        <f>"PROLENE 4 -0 CARDIOVASCULAR DOBLE AGUJA 2 RB1"</f>
        <v>PROLENE 4 -0 CARDIOVASCULAR DOBLE AGUJA 2 RB1</v>
      </c>
      <c r="C291" s="6">
        <v>45000</v>
      </c>
    </row>
    <row r="292" spans="1:3" x14ac:dyDescent="0.25">
      <c r="A292" s="5" t="str">
        <f>"ALF0735"</f>
        <v>ALF0735</v>
      </c>
      <c r="B292" s="5" t="str">
        <f>"PROLENE 5-0 2RB-1"</f>
        <v>PROLENE 5-0 2RB-1</v>
      </c>
      <c r="C292" s="6">
        <v>31500</v>
      </c>
    </row>
    <row r="293" spans="1:3" x14ac:dyDescent="0.25">
      <c r="A293" s="5" t="str">
        <f>"ALF0736"</f>
        <v>ALF0736</v>
      </c>
      <c r="B293" s="5" t="str">
        <f>"PROLENE 6 -0 2 BV-1"</f>
        <v>PROLENE 6 -0 2 BV-1</v>
      </c>
      <c r="C293" s="6">
        <v>59139</v>
      </c>
    </row>
    <row r="294" spans="1:3" x14ac:dyDescent="0.25">
      <c r="A294" s="5" t="str">
        <f>"ALF0741"</f>
        <v>ALF0741</v>
      </c>
      <c r="B294" s="5" t="str">
        <f>"EQUIPO EXT EN Y P/CATE ONE-LINK A7N8377"</f>
        <v>EQUIPO EXT EN Y P/CATE ONE-LINK A7N8377</v>
      </c>
      <c r="C294" s="6">
        <v>12000</v>
      </c>
    </row>
    <row r="295" spans="1:3" x14ac:dyDescent="0.25">
      <c r="A295" s="5" t="str">
        <f>"ALF0743"</f>
        <v>ALF0743</v>
      </c>
      <c r="B295" s="5" t="str">
        <f>"VALVULA  ONE-LINK-7N8399"</f>
        <v>VALVULA  ONE-LINK-7N8399</v>
      </c>
      <c r="C295" s="6">
        <v>7735</v>
      </c>
    </row>
    <row r="296" spans="1:3" x14ac:dyDescent="0.25">
      <c r="A296" s="5" t="str">
        <f>"ALF0744"</f>
        <v>ALF0744</v>
      </c>
      <c r="B296" s="5" t="str">
        <f>"CATETER  FOGARTY /1LUMEN P/EMBOLECTOMIA C/B 80CM 5FR-LEMAITR"</f>
        <v>CATETER  FOGARTY /1LUMEN P/EMBOLECTOMIA C/B 80CM 5FR-LEMAITR</v>
      </c>
      <c r="C296" s="6">
        <v>390000</v>
      </c>
    </row>
    <row r="297" spans="1:3" x14ac:dyDescent="0.25">
      <c r="A297" s="5" t="str">
        <f>"ALF0745"</f>
        <v>ALF0745</v>
      </c>
      <c r="B297" s="5" t="str">
        <f>"CATETER FOGARTY 1LUMEN P/EMBOLECTOMIAC/B 80CM-7FR-LEMAITRE"</f>
        <v>CATETER FOGARTY 1LUMEN P/EMBOLECTOMIAC/B 80CM-7FR-LEMAITRE</v>
      </c>
      <c r="C297" s="6">
        <v>390000</v>
      </c>
    </row>
    <row r="298" spans="1:3" x14ac:dyDescent="0.25">
      <c r="A298" s="5" t="str">
        <f>"ALF0746"</f>
        <v>ALF0746</v>
      </c>
      <c r="B298" s="5" t="str">
        <f>"CATETER FOGARTY 1LUMEN P/EMBOLECTOMIA C/B80CM 6FR-LEMAITRE"</f>
        <v>CATETER FOGARTY 1LUMEN P/EMBOLECTOMIA C/B80CM 6FR-LEMAITRE</v>
      </c>
      <c r="C298" s="6">
        <v>390000</v>
      </c>
    </row>
    <row r="299" spans="1:3" x14ac:dyDescent="0.25">
      <c r="A299" s="5" t="str">
        <f>"ALF0747"</f>
        <v>ALF0747</v>
      </c>
      <c r="B299" s="5" t="str">
        <f>"CATETER FOGARTY 1LUMEN P/EMBOLECTOMIA C/B 80CM 4FR-LEMAITRE"</f>
        <v>CATETER FOGARTY 1LUMEN P/EMBOLECTOMIA C/B 80CM 4FR-LEMAITRE</v>
      </c>
      <c r="C299" s="6">
        <v>325000</v>
      </c>
    </row>
    <row r="300" spans="1:3" x14ac:dyDescent="0.25">
      <c r="A300" s="5" t="str">
        <f>"ALF0748"</f>
        <v>ALF0748</v>
      </c>
      <c r="B300" s="5" t="str">
        <f>"GORRO CPAP 17-22 CM TALLA S-FISHER/REFBC300"</f>
        <v>GORRO CPAP 17-22 CM TALLA S-FISHER/REFBC300</v>
      </c>
      <c r="C300" s="6">
        <v>104922</v>
      </c>
    </row>
    <row r="301" spans="1:3" x14ac:dyDescent="0.25">
      <c r="A301" s="5" t="str">
        <f>"ALF0749"</f>
        <v>ALF0749</v>
      </c>
      <c r="B301" s="5" t="str">
        <f>"GORRO CPAP 25 -29 CMTALLA L-FISHER"</f>
        <v>GORRO CPAP 25 -29 CMTALLA L-FISHER</v>
      </c>
      <c r="C301" s="6">
        <v>166000</v>
      </c>
    </row>
    <row r="302" spans="1:3" x14ac:dyDescent="0.25">
      <c r="A302" s="5" t="str">
        <f>"ALF0750"</f>
        <v>ALF0750</v>
      </c>
      <c r="B302" s="5" t="str">
        <f>"GORRO CPAP 22-25 CM TALLA M-FISHER/BC303"</f>
        <v>GORRO CPAP 22-25 CM TALLA M-FISHER/BC303</v>
      </c>
      <c r="C302" s="6">
        <v>166000</v>
      </c>
    </row>
    <row r="303" spans="1:3" x14ac:dyDescent="0.25">
      <c r="A303" s="5" t="str">
        <f>"ALF0752"</f>
        <v>ALF0752</v>
      </c>
      <c r="B303" s="5" t="str">
        <f>"PRONG NASAL 3.5MM X 2.0MM-S-FISHER"</f>
        <v>PRONG NASAL 3.5MM X 2.0MM-S-FISHER</v>
      </c>
      <c r="C303" s="6">
        <v>36801</v>
      </c>
    </row>
    <row r="304" spans="1:3" x14ac:dyDescent="0.25">
      <c r="A304" s="5" t="str">
        <f>"ALF0753"</f>
        <v>ALF0753</v>
      </c>
      <c r="B304" s="5" t="str">
        <f>"PRONG NASAL 4.0MM X 3.0MM-M-FISHER"</f>
        <v>PRONG NASAL 4.0MM X 3.0MM-M-FISHER</v>
      </c>
      <c r="C304" s="6">
        <v>36801</v>
      </c>
    </row>
    <row r="305" spans="1:3" x14ac:dyDescent="0.25">
      <c r="A305" s="5" t="str">
        <f>"ALF0754"</f>
        <v>ALF0754</v>
      </c>
      <c r="B305" s="5" t="str">
        <f>"PRONG  NASAL 4.5MM X 4.0MM-L-FISHER"</f>
        <v>PRONG  NASAL 4.5MM X 4.0MM-L-FISHER</v>
      </c>
      <c r="C305" s="6">
        <v>34075</v>
      </c>
    </row>
    <row r="306" spans="1:3" x14ac:dyDescent="0.25">
      <c r="A306" s="5" t="str">
        <f>"ALF0755"</f>
        <v>ALF0755</v>
      </c>
      <c r="B306" s="5" t="str">
        <f>"MASCARA PARA USO CON GORRO CPAP INFANTIL  TALLA S-FISHER/BC3520"</f>
        <v>MASCARA PARA USO CON GORRO CPAP INFANTIL  TALLA S-FISHER/BC3520</v>
      </c>
      <c r="C306" s="6">
        <v>75000</v>
      </c>
    </row>
    <row r="307" spans="1:3" x14ac:dyDescent="0.25">
      <c r="A307" s="5" t="str">
        <f>"ALF0756"</f>
        <v>ALF0756</v>
      </c>
      <c r="B307" s="5" t="str">
        <f>"MASCARA PARA USO CON GORRO CPAP INFANTIL TALLA M-FISHER /BC4030"</f>
        <v>MASCARA PARA USO CON GORRO CPAP INFANTIL TALLA M-FISHER /BC4030</v>
      </c>
      <c r="C307" s="6">
        <v>75000</v>
      </c>
    </row>
    <row r="308" spans="1:3" x14ac:dyDescent="0.25">
      <c r="A308" s="5" t="str">
        <f>"ALF0757"</f>
        <v>ALF0757</v>
      </c>
      <c r="B308" s="5" t="str">
        <f>"MASCARA  PARA USO CON GORRO CPAP INFANTIL TALLA L-FISHER /BC4540"</f>
        <v>MASCARA  PARA USO CON GORRO CPAP INFANTIL TALLA L-FISHER /BC4540</v>
      </c>
      <c r="C308" s="6">
        <v>81000</v>
      </c>
    </row>
    <row r="309" spans="1:3" x14ac:dyDescent="0.25">
      <c r="A309" s="5" t="str">
        <f>"ALF0758"</f>
        <v>ALF0758</v>
      </c>
      <c r="B309" s="5" t="str">
        <f>"BALON DE PRUEBA  NEO (SIRVE PARA NEOPUFF)"</f>
        <v>BALON DE PRUEBA  NEO (SIRVE PARA NEOPUFF)</v>
      </c>
      <c r="C309" s="6">
        <v>131544</v>
      </c>
    </row>
    <row r="310" spans="1:3" x14ac:dyDescent="0.25">
      <c r="A310" s="5" t="str">
        <f>"ALF0760"</f>
        <v>ALF0760</v>
      </c>
      <c r="B310" s="5" t="str">
        <f>"CIRCUITO CPAP  PARA VENTILACION  RT225 - RT125 (VENTILADOR  CONVENCIONAL)"</f>
        <v>CIRCUITO CPAP  PARA VENTILACION  RT225 - RT125 (VENTILADOR  CONVENCIONAL)</v>
      </c>
      <c r="C310" s="6">
        <v>187920</v>
      </c>
    </row>
    <row r="311" spans="1:3" x14ac:dyDescent="0.25">
      <c r="A311" s="5" t="str">
        <f>"ALF0761"</f>
        <v>ALF0761</v>
      </c>
      <c r="B311" s="5" t="str">
        <f>"CIRCUITO CPAP RESPIRATORIO NEO CON LINEA CALENTADA RT268 (ALTA FRECUENCIA)"</f>
        <v>CIRCUITO CPAP RESPIRATORIO NEO CON LINEA CALENTADA RT268 (ALTA FRECUENCIA)</v>
      </c>
      <c r="C311" s="6">
        <v>347007</v>
      </c>
    </row>
    <row r="312" spans="1:3" x14ac:dyDescent="0.25">
      <c r="A312" s="5" t="str">
        <f>"ALF0762"</f>
        <v>ALF0762</v>
      </c>
      <c r="B312" s="5" t="str">
        <f>"CIRCUITO CPAP INFANTIL DE  BURBUJA ( BC 161 )"</f>
        <v>CIRCUITO CPAP INFANTIL DE  BURBUJA ( BC 161 )</v>
      </c>
      <c r="C312" s="6">
        <v>310068</v>
      </c>
    </row>
    <row r="313" spans="1:3" x14ac:dyDescent="0.25">
      <c r="A313" s="5" t="str">
        <f>"ALF0763"</f>
        <v>ALF0763</v>
      </c>
      <c r="B313" s="5" t="str">
        <f>"RECARGA GRAPADORA SELECCION 55MM-SR55"</f>
        <v>RECARGA GRAPADORA SELECCION 55MM-SR55</v>
      </c>
      <c r="C313" s="6">
        <v>548950</v>
      </c>
    </row>
    <row r="314" spans="1:3" x14ac:dyDescent="0.25">
      <c r="A314" s="5" t="str">
        <f>"ALF0764"</f>
        <v>ALF0764</v>
      </c>
      <c r="B314" s="5" t="str">
        <f>"RECARGA PARA CORTADORA VERDE L 55MM TRT55"</f>
        <v>RECARGA PARA CORTADORA VERDE L 55MM TRT55</v>
      </c>
      <c r="C314" s="6">
        <v>494650</v>
      </c>
    </row>
    <row r="315" spans="1:3" x14ac:dyDescent="0.25">
      <c r="A315" s="5" t="str">
        <f>"ALF0766"</f>
        <v>ALF0766</v>
      </c>
      <c r="B315" s="5" t="str">
        <f>"RECARGA PARA GRAPADORA VERDE L 75MM TRT75"</f>
        <v>RECARGA PARA GRAPADORA VERDE L 75MM TRT75</v>
      </c>
      <c r="C315" s="6">
        <v>540000</v>
      </c>
    </row>
    <row r="316" spans="1:3" x14ac:dyDescent="0.25">
      <c r="A316" s="5" t="str">
        <f>"ALF0768"</f>
        <v>ALF0768</v>
      </c>
      <c r="B316" s="5" t="str">
        <f>"KIT DE SIGMOIDECTOMIA"</f>
        <v>KIT DE SIGMOIDECTOMIA</v>
      </c>
      <c r="C316" s="6">
        <v>1600000</v>
      </c>
    </row>
    <row r="317" spans="1:3" x14ac:dyDescent="0.25">
      <c r="A317" s="5" t="str">
        <f>"ALF0769"</f>
        <v>ALF0769</v>
      </c>
      <c r="B317" s="5" t="str">
        <f>"CORTADORA GRAPADORA L55MM AZU LREF TLC55"</f>
        <v>CORTADORA GRAPADORA L55MM AZU LREF TLC55</v>
      </c>
      <c r="C317" s="6">
        <v>1450000</v>
      </c>
    </row>
    <row r="318" spans="1:3" x14ac:dyDescent="0.25">
      <c r="A318" s="5" t="str">
        <f>"ALF0771"</f>
        <v>ALF0771</v>
      </c>
      <c r="B318" s="5" t="str">
        <f>"GRAPADORA CIRCULAR CURVA  29MM  REF.CDH29"</f>
        <v>GRAPADORA CIRCULAR CURVA  29MM  REF.CDH29</v>
      </c>
      <c r="C318" s="6">
        <v>3600000</v>
      </c>
    </row>
    <row r="319" spans="1:3" x14ac:dyDescent="0.25">
      <c r="A319" s="5" t="str">
        <f>"ALF0772"</f>
        <v>ALF0772</v>
      </c>
      <c r="B319" s="5" t="str">
        <f>"EQUIPO MULTIFLO 3 VIAS - OCTUPOS-PROLONGADOR"</f>
        <v>EQUIPO MULTIFLO 3 VIAS - OCTUPOS-PROLONGADOR</v>
      </c>
      <c r="C319" s="6">
        <v>15500</v>
      </c>
    </row>
    <row r="320" spans="1:3" x14ac:dyDescent="0.25">
      <c r="A320" s="5" t="str">
        <f>"ALF0773"</f>
        <v>ALF0773</v>
      </c>
      <c r="B320" s="5" t="str">
        <f>"ELECTRODOS 100 PEDIATRICO"</f>
        <v>ELECTRODOS 100 PEDIATRICO</v>
      </c>
      <c r="C320" s="6">
        <v>3138</v>
      </c>
    </row>
    <row r="321" spans="1:3" x14ac:dyDescent="0.25">
      <c r="A321" s="5" t="str">
        <f>"ALF0774"</f>
        <v>ALF0774</v>
      </c>
      <c r="B321" s="5" t="str">
        <f>"ELECTRODOS 200 ADULTOS"</f>
        <v>ELECTRODOS 200 ADULTOS</v>
      </c>
      <c r="C321" s="6">
        <v>2000</v>
      </c>
    </row>
    <row r="322" spans="1:3" x14ac:dyDescent="0.25">
      <c r="A322" s="5" t="str">
        <f>"ALF0781"</f>
        <v>ALF0781</v>
      </c>
      <c r="B322" s="5" t="str">
        <f>"BOLSA  NUTRICIÓN PARENT X 200 ML- NUTRIMIX"</f>
        <v>BOLSA  NUTRICIÓN PARENT X 200 ML- NUTRIMIX</v>
      </c>
      <c r="C322" s="6">
        <v>37150</v>
      </c>
    </row>
    <row r="323" spans="1:3" x14ac:dyDescent="0.25">
      <c r="A323" s="5" t="str">
        <f>"ALF0782"</f>
        <v>ALF0782</v>
      </c>
      <c r="B323" s="5" t="str">
        <f>"BOLSA ALIMENTACION PARENTERAL 500CC"</f>
        <v>BOLSA ALIMENTACION PARENTERAL 500CC</v>
      </c>
      <c r="C323" s="6">
        <v>48195</v>
      </c>
    </row>
    <row r="324" spans="1:3" x14ac:dyDescent="0.25">
      <c r="A324" s="5" t="str">
        <f>"ALF0809"</f>
        <v>ALF0809</v>
      </c>
      <c r="B324" s="5" t="str">
        <f>"DIALIZADOR XENIUM XPH 110"</f>
        <v>DIALIZADOR XENIUM XPH 110</v>
      </c>
      <c r="C324" s="6">
        <v>54486</v>
      </c>
    </row>
    <row r="325" spans="1:3" x14ac:dyDescent="0.25">
      <c r="A325" s="5" t="str">
        <f>"ALF0810"</f>
        <v>ALF0810</v>
      </c>
      <c r="B325" s="5" t="str">
        <f>"DIALIZADOR XENIUM XPH 130"</f>
        <v>DIALIZADOR XENIUM XPH 130</v>
      </c>
      <c r="C325" s="6">
        <v>71910</v>
      </c>
    </row>
    <row r="326" spans="1:3" x14ac:dyDescent="0.25">
      <c r="A326" s="5" t="str">
        <f>"ALF0813"</f>
        <v>ALF0813</v>
      </c>
      <c r="B326" s="5" t="str">
        <f>"SET LINEAS ARTERIOVENOSA-8MM-MINI-PRIME"</f>
        <v>SET LINEAS ARTERIOVENOSA-8MM-MINI-PRIME</v>
      </c>
      <c r="C326" s="6">
        <v>23490</v>
      </c>
    </row>
    <row r="327" spans="1:3" x14ac:dyDescent="0.25">
      <c r="A327" s="5" t="str">
        <f>"ALF0815"</f>
        <v>ALF0815</v>
      </c>
      <c r="B327" s="5" t="str">
        <f>"KIT CATETER MAHURKAR RECTA 13.5X16CM-8888135161"</f>
        <v>KIT CATETER MAHURKAR RECTA 13.5X16CM-8888135161</v>
      </c>
      <c r="C327" s="6">
        <v>530000</v>
      </c>
    </row>
    <row r="328" spans="1:3" x14ac:dyDescent="0.25">
      <c r="A328" s="5" t="str">
        <f>"ALF0816"</f>
        <v>ALF0816</v>
      </c>
      <c r="B328" s="5" t="str">
        <f>"PASTA CONVATEC (STOMAHESIVE)BARRERA PROTECTORA CUTANEA Y RELLENO"</f>
        <v>PASTA CONVATEC (STOMAHESIVE)BARRERA PROTECTORA CUTANEA Y RELLENO</v>
      </c>
      <c r="C328" s="6">
        <v>950000</v>
      </c>
    </row>
    <row r="329" spans="1:3" x14ac:dyDescent="0.25">
      <c r="A329" s="5" t="str">
        <f>"ALF0826"</f>
        <v>ALF0826</v>
      </c>
      <c r="B329" s="5" t="str">
        <f>"CANULA DE GUEDEL  No.0"</f>
        <v>CANULA DE GUEDEL  No.0</v>
      </c>
      <c r="C329" s="6">
        <v>8000</v>
      </c>
    </row>
    <row r="330" spans="1:3" x14ac:dyDescent="0.25">
      <c r="A330" s="5" t="str">
        <f>"ALF0827"</f>
        <v>ALF0827</v>
      </c>
      <c r="B330" s="5" t="str">
        <f>"SENSOR EN LINEA DE CO 680006"</f>
        <v>SENSOR EN LINEA DE CO 680006</v>
      </c>
      <c r="C330" s="6">
        <v>79200</v>
      </c>
    </row>
    <row r="331" spans="1:3" x14ac:dyDescent="0.25">
      <c r="A331" s="5" t="str">
        <f>"ALF0831"</f>
        <v>ALF0831</v>
      </c>
      <c r="B331" s="5" t="str">
        <f>"LINER SEMIRIGIDO 3000ML"</f>
        <v>LINER SEMIRIGIDO 3000ML</v>
      </c>
      <c r="C331" s="6">
        <v>30000</v>
      </c>
    </row>
    <row r="332" spans="1:3" x14ac:dyDescent="0.25">
      <c r="A332" s="5" t="str">
        <f>"ALF0832"</f>
        <v>ALF0832</v>
      </c>
      <c r="B332" s="5" t="str">
        <f>"EXTENCION ANESTECIA GLOBAL 101CM GMD"</f>
        <v>EXTENCION ANESTECIA GLOBAL 101CM GMD</v>
      </c>
      <c r="C332" s="6">
        <v>4600</v>
      </c>
    </row>
    <row r="333" spans="1:3" x14ac:dyDescent="0.25">
      <c r="A333" s="5" t="str">
        <f>"ALF0833"</f>
        <v>ALF0833</v>
      </c>
      <c r="B333" s="5" t="str">
        <f>"JERINGA CT SENCILLA-MC 200ML-RXX"</f>
        <v>JERINGA CT SENCILLA-MC 200ML-RXX</v>
      </c>
      <c r="C333" s="6">
        <v>45360</v>
      </c>
    </row>
    <row r="334" spans="1:3" x14ac:dyDescent="0.25">
      <c r="A334" s="5" t="str">
        <f>"ALF0867"</f>
        <v>ALF0867</v>
      </c>
      <c r="B334" s="5" t="str">
        <f>"ADAPTADOR MDI 22 MM. - ADULTO  REF. 1659"</f>
        <v>ADAPTADOR MDI 22 MM. - ADULTO  REF. 1659</v>
      </c>
      <c r="C334" s="6">
        <v>11000</v>
      </c>
    </row>
    <row r="335" spans="1:3" x14ac:dyDescent="0.25">
      <c r="A335" s="5" t="str">
        <f>"ALF0868"</f>
        <v>ALF0868</v>
      </c>
      <c r="B335" s="5" t="str">
        <f>"ADAPTADOR MDI 15 MM.-  PEDIATRICO  REF 1751"</f>
        <v>ADAPTADOR MDI 15 MM.-  PEDIATRICO  REF 1751</v>
      </c>
      <c r="C335" s="6">
        <v>14530</v>
      </c>
    </row>
    <row r="336" spans="1:3" x14ac:dyDescent="0.25">
      <c r="A336" s="5" t="str">
        <f>"ALF0870"</f>
        <v>ALF0870</v>
      </c>
      <c r="B336" s="5" t="str">
        <f>"VENTILA ( SALBUTAMOL 5MG/ML)"</f>
        <v>VENTILA ( SALBUTAMOL 5MG/ML)</v>
      </c>
      <c r="C336" s="6">
        <v>26000</v>
      </c>
    </row>
    <row r="337" spans="1:3" x14ac:dyDescent="0.25">
      <c r="A337" s="5" t="str">
        <f>"ALF0873"</f>
        <v>ALF0873</v>
      </c>
      <c r="B337" s="5" t="str">
        <f>"ROXICAINA JALEA (LIDOCAINA CLORHIDRATO 2% )"</f>
        <v>ROXICAINA JALEA (LIDOCAINA CLORHIDRATO 2% )</v>
      </c>
      <c r="C337" s="6">
        <v>10300</v>
      </c>
    </row>
    <row r="338" spans="1:3" x14ac:dyDescent="0.25">
      <c r="A338" s="5" t="str">
        <f>"ALF0884"</f>
        <v>ALF0884</v>
      </c>
      <c r="B338" s="5" t="str">
        <f>"CATETER UMBILICAL 0.5 FR  X 38 CM"</f>
        <v>CATETER UMBILICAL 0.5 FR  X 38 CM</v>
      </c>
      <c r="C338" s="6">
        <v>9500</v>
      </c>
    </row>
    <row r="339" spans="1:3" x14ac:dyDescent="0.25">
      <c r="A339" s="5" t="str">
        <f>"ALF0885"</f>
        <v>ALF0885</v>
      </c>
      <c r="B339" s="5" t="str">
        <f>"CAUCHO DE SUCCION 3.6 MTS"</f>
        <v>CAUCHO DE SUCCION 3.6 MTS</v>
      </c>
      <c r="C339" s="6">
        <v>16000</v>
      </c>
    </row>
    <row r="340" spans="1:3" x14ac:dyDescent="0.25">
      <c r="A340" s="5" t="str">
        <f>"ALF0889"</f>
        <v>ALF0889</v>
      </c>
      <c r="B340" s="5" t="str">
        <f>"EQUIPO BOMBA INFUSION NUTRICION ENTERAL 1000ML"</f>
        <v>EQUIPO BOMBA INFUSION NUTRICION ENTERAL 1000ML</v>
      </c>
      <c r="C340" s="6">
        <v>55000</v>
      </c>
    </row>
    <row r="341" spans="1:3" x14ac:dyDescent="0.25">
      <c r="A341" s="5" t="str">
        <f>"ALF0895"</f>
        <v>ALF0895</v>
      </c>
      <c r="B341" s="5" t="str">
        <f>"KIT APOSITO LARGE 26X15X3.3CM"</f>
        <v>KIT APOSITO LARGE 26X15X3.3CM</v>
      </c>
      <c r="C341" s="6">
        <v>530000</v>
      </c>
    </row>
    <row r="342" spans="1:3" x14ac:dyDescent="0.25">
      <c r="A342" s="5" t="str">
        <f>"ALF0902"</f>
        <v>ALF0902</v>
      </c>
      <c r="B342" s="5" t="str">
        <f>"LAMIVUDINA 150mg + ZIDOVUDINA 300mg  TABLETA"</f>
        <v>LAMIVUDINA 150mg + ZIDOVUDINA 300mg  TABLETA</v>
      </c>
      <c r="C342" s="6">
        <v>900</v>
      </c>
    </row>
    <row r="343" spans="1:3" x14ac:dyDescent="0.25">
      <c r="A343" s="5" t="str">
        <f>"ALF0910"</f>
        <v>ALF0910</v>
      </c>
      <c r="B343" s="5" t="str">
        <f>"CATETER FOGARTY C/B  80CM X 3F"</f>
        <v>CATETER FOGARTY C/B  80CM X 3F</v>
      </c>
      <c r="C343" s="6">
        <v>351000</v>
      </c>
    </row>
    <row r="344" spans="1:3" x14ac:dyDescent="0.25">
      <c r="A344" s="5" t="str">
        <f>"ALF0912"</f>
        <v>ALF0912</v>
      </c>
      <c r="B344" s="5" t="str">
        <f>"CONECTOR EN Y"</f>
        <v>CONECTOR EN Y</v>
      </c>
      <c r="C344" s="6">
        <v>111766</v>
      </c>
    </row>
    <row r="345" spans="1:3" x14ac:dyDescent="0.25">
      <c r="A345" s="5" t="str">
        <f>"ALF0914"</f>
        <v>ALF0914</v>
      </c>
      <c r="B345" s="5" t="str">
        <f>"MASCARA LARINGEA No 5"</f>
        <v>MASCARA LARINGEA No 5</v>
      </c>
      <c r="C345" s="6">
        <v>164493</v>
      </c>
    </row>
    <row r="346" spans="1:3" x14ac:dyDescent="0.25">
      <c r="A346" s="5" t="str">
        <f>"ALF0924"</f>
        <v>ALF0924</v>
      </c>
      <c r="B346" s="5" t="str">
        <f>"CATETER PARA LAVADO BRONCOALVEOLAR"</f>
        <v>CATETER PARA LAVADO BRONCOALVEOLAR</v>
      </c>
      <c r="C346" s="6">
        <v>614250</v>
      </c>
    </row>
    <row r="347" spans="1:3" x14ac:dyDescent="0.25">
      <c r="A347" s="5" t="str">
        <f>"ALF0925"</f>
        <v>ALF0925</v>
      </c>
      <c r="B347" s="5" t="str">
        <f>"CLIP-GRAPAS DE LIGADURA DE TITANIO (VERDE )"</f>
        <v>CLIP-GRAPAS DE LIGADURA DE TITANIO (VERDE )</v>
      </c>
      <c r="C347" s="6">
        <v>51200</v>
      </c>
    </row>
    <row r="348" spans="1:3" x14ac:dyDescent="0.25">
      <c r="A348" s="5" t="str">
        <f>"ALF0926"</f>
        <v>ALF0926</v>
      </c>
      <c r="B348" s="5" t="str">
        <f>"CABESTRILLO INMOVILIZADOR  HOMBRO BANBA ADULTO-2200"</f>
        <v>CABESTRILLO INMOVILIZADOR  HOMBRO BANBA ADULTO-2200</v>
      </c>
      <c r="C348" s="6">
        <v>75000</v>
      </c>
    </row>
    <row r="349" spans="1:3" x14ac:dyDescent="0.25">
      <c r="A349" s="5" t="str">
        <f>"ALF0927"</f>
        <v>ALF0927</v>
      </c>
      <c r="B349" s="5" t="str">
        <f>"CABESTRILLO  SENCILLO PEDIATRICO  TALLA M KM2002"</f>
        <v>CABESTRILLO  SENCILLO PEDIATRICO  TALLA M KM2002</v>
      </c>
      <c r="C349" s="6">
        <v>39150</v>
      </c>
    </row>
    <row r="350" spans="1:3" x14ac:dyDescent="0.25">
      <c r="A350" s="5" t="str">
        <f>"ALF0929"</f>
        <v>ALF0929</v>
      </c>
      <c r="B350" s="5" t="str">
        <f>"CABESTRILLO INMOVILIZADOR  HOMBRO BANBA  PEDIATRICO"</f>
        <v>CABESTRILLO INMOVILIZADOR  HOMBRO BANBA  PEDIATRICO</v>
      </c>
      <c r="C350" s="6">
        <v>75000</v>
      </c>
    </row>
    <row r="351" spans="1:3" x14ac:dyDescent="0.25">
      <c r="A351" s="5" t="str">
        <f>"ALF0931"</f>
        <v>ALF0931</v>
      </c>
      <c r="B351" s="5" t="str">
        <f>"CABESTRILLO  INMOVILIZADOR DE HOMBRO  SENCILLO ADULTO  REF: KM2000"</f>
        <v>CABESTRILLO  INMOVILIZADOR DE HOMBRO  SENCILLO ADULTO  REF: KM2000</v>
      </c>
      <c r="C351" s="6">
        <v>40000</v>
      </c>
    </row>
    <row r="352" spans="1:3" x14ac:dyDescent="0.25">
      <c r="A352" s="5" t="str">
        <f>"ALF0938"</f>
        <v>ALF0938</v>
      </c>
      <c r="B352" s="5" t="str">
        <f>"RECOLECTOR PARA MUESTRAS DE SECRECIONES 40ML ( TRAMPA DE LUKEN )"</f>
        <v>RECOLECTOR PARA MUESTRAS DE SECRECIONES 40ML ( TRAMPA DE LUKEN )</v>
      </c>
      <c r="C352" s="6">
        <v>75000</v>
      </c>
    </row>
    <row r="353" spans="1:3" x14ac:dyDescent="0.25">
      <c r="A353" s="5" t="str">
        <f>"ALF0939"</f>
        <v>ALF0939</v>
      </c>
      <c r="B353" s="5" t="str">
        <f>"PROLENE 7-0 X 75CM ( REF. 2BV1M8703T )"</f>
        <v>PROLENE 7-0 X 75CM ( REF. 2BV1M8703T )</v>
      </c>
      <c r="C353" s="6">
        <v>59139</v>
      </c>
    </row>
    <row r="354" spans="1:3" x14ac:dyDescent="0.25">
      <c r="A354" s="5" t="str">
        <f>"ALF0946"</f>
        <v>ALF0946</v>
      </c>
      <c r="B354" s="5" t="str">
        <f>"KIT CONSUMIBLES AERONOX"</f>
        <v>KIT CONSUMIBLES AERONOX</v>
      </c>
      <c r="C354" s="6">
        <v>121500</v>
      </c>
    </row>
    <row r="355" spans="1:3" x14ac:dyDescent="0.25">
      <c r="A355" s="5" t="str">
        <f>"ALF0950"</f>
        <v>ALF0950</v>
      </c>
      <c r="B355" s="5" t="str">
        <f>"CABESTRILLO  INMOVILIZADOR DE HOMBRO  SENCILLO INFANTIL  REF: KM2102"</f>
        <v>CABESTRILLO  INMOVILIZADOR DE HOMBRO  SENCILLO INFANTIL  REF: KM2102</v>
      </c>
      <c r="C355" s="6">
        <v>40000</v>
      </c>
    </row>
    <row r="356" spans="1:3" x14ac:dyDescent="0.25">
      <c r="A356" s="5" t="str">
        <f>"ALF0953"</f>
        <v>ALF0953</v>
      </c>
      <c r="B356" s="5" t="str">
        <f>"BOQUILLAS DESECHABLES"</f>
        <v>BOQUILLAS DESECHABLES</v>
      </c>
      <c r="C356" s="6">
        <v>35000</v>
      </c>
    </row>
    <row r="357" spans="1:3" x14ac:dyDescent="0.25">
      <c r="A357" s="5" t="str">
        <f>"ALF0955"</f>
        <v>ALF0955</v>
      </c>
      <c r="B357" s="5" t="str">
        <f>"SISTEMA ABDOMINAL ABTHERA-REF M8275026"</f>
        <v>SISTEMA ABDOMINAL ABTHERA-REF M8275026</v>
      </c>
      <c r="C357" s="6">
        <v>4087038</v>
      </c>
    </row>
    <row r="358" spans="1:3" x14ac:dyDescent="0.25">
      <c r="A358" s="5" t="str">
        <f>"ALF0956"</f>
        <v>ALF0956</v>
      </c>
      <c r="B358" s="5" t="str">
        <f>"INFOVAC CANISTER INFOVAC 1000CC-REF M8275093"</f>
        <v>INFOVAC CANISTER INFOVAC 1000CC-REF M8275093</v>
      </c>
      <c r="C358" s="6">
        <v>1843258</v>
      </c>
    </row>
    <row r="359" spans="1:3" x14ac:dyDescent="0.25">
      <c r="A359" s="5" t="str">
        <f>"ALF0960"</f>
        <v>ALF0960</v>
      </c>
      <c r="B359" s="5" t="str">
        <f>"GUIA  HIDROFILICA VISIGLIDE 0.35  RECTA REF. G-240-35455"</f>
        <v>GUIA  HIDROFILICA VISIGLIDE 0.35  RECTA REF. G-240-35455</v>
      </c>
      <c r="C359" s="6">
        <v>1620622</v>
      </c>
    </row>
    <row r="360" spans="1:3" x14ac:dyDescent="0.25">
      <c r="A360" s="5" t="str">
        <f>"ALF0961"</f>
        <v>ALF0961</v>
      </c>
      <c r="B360" s="5" t="str">
        <f>"MULTI-3V BALON DE EXXTRACCION DE TRIPLE LUMEN"</f>
        <v>MULTI-3V BALON DE EXXTRACCION DE TRIPLE LUMEN</v>
      </c>
      <c r="C360" s="6">
        <v>1243091</v>
      </c>
    </row>
    <row r="361" spans="1:3" x14ac:dyDescent="0.25">
      <c r="A361" s="5" t="str">
        <f>"ALF0965"</f>
        <v>ALF0965</v>
      </c>
      <c r="B361" s="5" t="str">
        <f>"ASAS PARA POLIPECTOMIA REF.SD-210U-25"</f>
        <v>ASAS PARA POLIPECTOMIA REF.SD-210U-25</v>
      </c>
      <c r="C361" s="6">
        <v>198434</v>
      </c>
    </row>
    <row r="362" spans="1:3" x14ac:dyDescent="0.25">
      <c r="A362" s="5" t="str">
        <f>"ALF0968"</f>
        <v>ALF0968</v>
      </c>
      <c r="B362" s="5" t="str">
        <f>"MASCARA LARINGEA No 2"</f>
        <v>MASCARA LARINGEA No 2</v>
      </c>
      <c r="C362" s="6">
        <v>170819</v>
      </c>
    </row>
    <row r="363" spans="1:3" x14ac:dyDescent="0.25">
      <c r="A363" s="5" t="str">
        <f>"ALF0969"</f>
        <v>ALF0969</v>
      </c>
      <c r="B363" s="5" t="str">
        <f>"MASCARA ORONASAL PARA VENTILACION NO INVASIVA CPAP ADULTO"</f>
        <v>MASCARA ORONASAL PARA VENTILACION NO INVASIVA CPAP ADULTO</v>
      </c>
      <c r="C363" s="6">
        <v>1200000</v>
      </c>
    </row>
    <row r="364" spans="1:3" x14ac:dyDescent="0.25">
      <c r="A364" s="5" t="str">
        <f>"ALF0982"</f>
        <v>ALF0982</v>
      </c>
      <c r="B364" s="5" t="str">
        <f>"CIRCUITO  FLIGHT 60 DESECHABLE"</f>
        <v>CIRCUITO  FLIGHT 60 DESECHABLE</v>
      </c>
      <c r="C364" s="6">
        <v>227720</v>
      </c>
    </row>
    <row r="365" spans="1:3" x14ac:dyDescent="0.25">
      <c r="A365" s="5" t="str">
        <f>"ALF0983"</f>
        <v>ALF0983</v>
      </c>
      <c r="B365" s="5" t="str">
        <f>"PLACA BIPOLAR ADULTO DESECHABLE"</f>
        <v>PLACA BIPOLAR ADULTO DESECHABLE</v>
      </c>
      <c r="C365" s="6">
        <v>15000</v>
      </c>
    </row>
    <row r="366" spans="1:3" x14ac:dyDescent="0.25">
      <c r="A366" s="5" t="str">
        <f>"ALF0985"</f>
        <v>ALF0985</v>
      </c>
      <c r="B366" s="5" t="str">
        <f>"PROTECTOR DEL CILINDRO DE SUCCION MAJ1453"</f>
        <v>PROTECTOR DEL CILINDRO DE SUCCION MAJ1453</v>
      </c>
      <c r="C366" s="6">
        <v>441988</v>
      </c>
    </row>
    <row r="367" spans="1:3" x14ac:dyDescent="0.25">
      <c r="A367" s="5" t="str">
        <f>"ALF0994"</f>
        <v>ALF0994</v>
      </c>
      <c r="B367" s="5" t="str">
        <f>"KIT DE GASTRONOMIA ENDOSCOPICA  PERCUTANEA"</f>
        <v>KIT DE GASTRONOMIA ENDOSCOPICA  PERCUTANEA</v>
      </c>
      <c r="C367" s="6">
        <v>776250</v>
      </c>
    </row>
    <row r="368" spans="1:3" x14ac:dyDescent="0.25">
      <c r="A368" s="5" t="str">
        <f>"ALF0997"</f>
        <v>ALF0997</v>
      </c>
      <c r="B368" s="5" t="str">
        <f>"INMOVILIZADOR DE MUÑECA DERECHO  TALLA ÚNICA REF :18480N"</f>
        <v>INMOVILIZADOR DE MUÑECA DERECHO  TALLA ÚNICA REF :18480N</v>
      </c>
      <c r="C368" s="6">
        <v>43200</v>
      </c>
    </row>
    <row r="369" spans="1:3" x14ac:dyDescent="0.25">
      <c r="A369" s="5" t="str">
        <f>"ALF0998"</f>
        <v>ALF0998</v>
      </c>
      <c r="B369" s="5" t="str">
        <f>"INMOVILIZADOR DE MUÑECA IZQUIERDO TALLA ÚNICA REF : 18491A"</f>
        <v>INMOVILIZADOR DE MUÑECA IZQUIERDO TALLA ÚNICA REF : 18491A</v>
      </c>
      <c r="C369" s="6">
        <v>43200</v>
      </c>
    </row>
    <row r="370" spans="1:3" x14ac:dyDescent="0.25">
      <c r="A370" s="5" t="str">
        <f>"ALF1001"</f>
        <v>ALF1001</v>
      </c>
      <c r="B370" s="5" t="str">
        <f>"SENSATRAC LARGE SILVER DRESSING-ref m8275099"</f>
        <v>SENSATRAC LARGE SILVER DRESSING-ref m8275099</v>
      </c>
      <c r="C370" s="6">
        <v>1473095</v>
      </c>
    </row>
    <row r="371" spans="1:3" x14ac:dyDescent="0.25">
      <c r="A371" s="5" t="str">
        <f>"ALF1002"</f>
        <v>ALF1002</v>
      </c>
      <c r="B371" s="5" t="str">
        <f>"SENSATRAC WHITEFOAM LARGE  10X15CM"</f>
        <v>SENSATRAC WHITEFOAM LARGE  10X15CM</v>
      </c>
      <c r="C371" s="6">
        <v>1073845</v>
      </c>
    </row>
    <row r="372" spans="1:3" x14ac:dyDescent="0.25">
      <c r="A372" s="5" t="str">
        <f>"ALF1003"</f>
        <v>ALF1003</v>
      </c>
      <c r="B372" s="5" t="str">
        <f>"BOLSA PARA MEZCLA  ALIMENTACION PARENTERAL 3000ML"</f>
        <v>BOLSA PARA MEZCLA  ALIMENTACION PARENTERAL 3000ML</v>
      </c>
      <c r="C372" s="6">
        <v>42623</v>
      </c>
    </row>
    <row r="373" spans="1:3" x14ac:dyDescent="0.25">
      <c r="A373" s="5" t="str">
        <f>"ALF1007"</f>
        <v>ALF1007</v>
      </c>
      <c r="B373" s="5" t="str">
        <f>"NYLON 10-0 EP0.2 30CM"</f>
        <v>NYLON 10-0 EP0.2 30CM</v>
      </c>
      <c r="C373" s="6">
        <v>56700</v>
      </c>
    </row>
    <row r="374" spans="1:3" x14ac:dyDescent="0.25">
      <c r="A374" s="5" t="str">
        <f>"ALF1009"</f>
        <v>ALF1009</v>
      </c>
      <c r="B374" s="5" t="str">
        <f>"SET DE SUTURA DE DESCARGA (VENTROFIL )"</f>
        <v>SET DE SUTURA DE DESCARGA (VENTROFIL )</v>
      </c>
      <c r="C374" s="6">
        <v>64088</v>
      </c>
    </row>
    <row r="375" spans="1:3" x14ac:dyDescent="0.25">
      <c r="A375" s="5" t="str">
        <f>"ALF1016"</f>
        <v>ALF1016</v>
      </c>
      <c r="B375" s="5" t="str">
        <f>"ASAS PAPA PILIPECTOMIA OVALADA REF SD-210U-10"</f>
        <v>ASAS PAPA PILIPECTOMIA OVALADA REF SD-210U-10</v>
      </c>
      <c r="C375" s="6">
        <v>172800</v>
      </c>
    </row>
    <row r="376" spans="1:3" x14ac:dyDescent="0.25">
      <c r="A376" s="5" t="str">
        <f>"ALF1019"</f>
        <v>ALF1019</v>
      </c>
      <c r="B376" s="5" t="str">
        <f>"MASCARA PARA ANESTECIA #3"</f>
        <v>MASCARA PARA ANESTECIA #3</v>
      </c>
      <c r="C376" s="6">
        <v>9207</v>
      </c>
    </row>
    <row r="377" spans="1:3" x14ac:dyDescent="0.25">
      <c r="A377" s="5" t="str">
        <f>"ALF1020"</f>
        <v>ALF1020</v>
      </c>
      <c r="B377" s="5" t="str">
        <f>"MASCARA PARA ANESTECIA #2"</f>
        <v>MASCARA PARA ANESTECIA #2</v>
      </c>
      <c r="C377" s="6">
        <v>6800</v>
      </c>
    </row>
    <row r="378" spans="1:3" x14ac:dyDescent="0.25">
      <c r="A378" s="5" t="str">
        <f>"ALF1021"</f>
        <v>ALF1021</v>
      </c>
      <c r="B378" s="5" t="str">
        <f>"CATETER RENAL RDC-6FR"</f>
        <v>CATETER RENAL RDC-6FR</v>
      </c>
      <c r="C378" s="6">
        <v>70000</v>
      </c>
    </row>
    <row r="379" spans="1:3" x14ac:dyDescent="0.25">
      <c r="A379" s="5" t="str">
        <f>"ALF1023"</f>
        <v>ALF1023</v>
      </c>
      <c r="B379" s="5" t="str">
        <f>"GUANTES ESTERILES 8.5"</f>
        <v>GUANTES ESTERILES 8.5</v>
      </c>
      <c r="C379" s="6">
        <v>1120</v>
      </c>
    </row>
    <row r="380" spans="1:3" x14ac:dyDescent="0.25">
      <c r="A380" s="5" t="str">
        <f>"ALF1035"</f>
        <v>ALF1035</v>
      </c>
      <c r="B380" s="5" t="str">
        <f>"INMOVILIZADOR DE RODILLA ARTICULACION LIBRE  TALLA L"</f>
        <v>INMOVILIZADOR DE RODILLA ARTICULACION LIBRE  TALLA L</v>
      </c>
      <c r="C380" s="6">
        <v>72500</v>
      </c>
    </row>
    <row r="381" spans="1:3" x14ac:dyDescent="0.25">
      <c r="A381" s="5" t="str">
        <f>"ALF1037"</f>
        <v>ALF1037</v>
      </c>
      <c r="B381" s="5" t="str">
        <f>"SONDA NASOGASTRICA CON PUNTA DE TUSTENO 8 FR"</f>
        <v>SONDA NASOGASTRICA CON PUNTA DE TUSTENO 8 FR</v>
      </c>
      <c r="C381" s="6">
        <v>150000</v>
      </c>
    </row>
    <row r="382" spans="1:3" x14ac:dyDescent="0.25">
      <c r="A382" s="5" t="str">
        <f>"ALF1045"</f>
        <v>ALF1045</v>
      </c>
      <c r="B382" s="5" t="str">
        <f>"AGUJA PARA BIOPSIA OSWOOD - 11G X 6G"</f>
        <v>AGUJA PARA BIOPSIA OSWOOD - 11G X 6G</v>
      </c>
      <c r="C382" s="6">
        <v>540000</v>
      </c>
    </row>
    <row r="383" spans="1:3" x14ac:dyDescent="0.25">
      <c r="A383" s="5" t="str">
        <f>"ALF1046"</f>
        <v>ALF1046</v>
      </c>
      <c r="B383" s="5" t="str">
        <f>"AGUJA PARA BIOPSIA JHAMSHIDI 11G X 100MM"</f>
        <v>AGUJA PARA BIOPSIA JHAMSHIDI 11G X 100MM</v>
      </c>
      <c r="C383" s="6">
        <v>540000</v>
      </c>
    </row>
    <row r="384" spans="1:3" x14ac:dyDescent="0.25">
      <c r="A384" s="5" t="str">
        <f>"ALF1051"</f>
        <v>ALF1051</v>
      </c>
      <c r="B384" s="5" t="str">
        <f>"PROTESIS VASCULAR SEAL  PTFE ESCALONADA 4 A 7MM X 40CM"</f>
        <v>PROTESIS VASCULAR SEAL  PTFE ESCALONADA 4 A 7MM X 40CM</v>
      </c>
      <c r="C384" s="6">
        <v>3929500</v>
      </c>
    </row>
    <row r="385" spans="1:3" x14ac:dyDescent="0.25">
      <c r="A385" s="5" t="str">
        <f>"ALF1054"</f>
        <v>ALF1054</v>
      </c>
      <c r="B385" s="5" t="str">
        <f>"SONDA DE ASPIRACION  CON CONTROL N°8"</f>
        <v>SONDA DE ASPIRACION  CON CONTROL N°8</v>
      </c>
      <c r="C385" s="6">
        <v>2466</v>
      </c>
    </row>
    <row r="386" spans="1:3" x14ac:dyDescent="0.25">
      <c r="A386" s="5" t="str">
        <f>"ALF1060"</f>
        <v>ALF1060</v>
      </c>
      <c r="B386" s="5" t="str">
        <f>"CAMPO EN U 120CM X 130CM ( U - DRAPE ) REF:1015"</f>
        <v>CAMPO EN U 120CM X 130CM ( U - DRAPE ) REF:1015</v>
      </c>
      <c r="C386" s="6">
        <v>165246</v>
      </c>
    </row>
    <row r="387" spans="1:3" x14ac:dyDescent="0.25">
      <c r="A387" s="5" t="str">
        <f>"ALF1061"</f>
        <v>ALF1061</v>
      </c>
      <c r="B387" s="5" t="str">
        <f>"CAMPO DE INCISION ANTIMICROBIANO 56CM X 45CM (IOBAN ) REF:6650"</f>
        <v>CAMPO DE INCISION ANTIMICROBIANO 56CM X 45CM (IOBAN ) REF:6650</v>
      </c>
      <c r="C387" s="6">
        <v>176687</v>
      </c>
    </row>
    <row r="388" spans="1:3" x14ac:dyDescent="0.25">
      <c r="A388" s="5" t="str">
        <f>"ALF1062"</f>
        <v>ALF1062</v>
      </c>
      <c r="B388" s="5" t="str">
        <f>"CAMPO DE INCISION ANTIMICROBIANO 56CM X 60CM ( IOBAN ) REF:6648"</f>
        <v>CAMPO DE INCISION ANTIMICROBIANO 56CM X 60CM ( IOBAN ) REF:6648</v>
      </c>
      <c r="C388" s="6">
        <v>233396</v>
      </c>
    </row>
    <row r="389" spans="1:3" x14ac:dyDescent="0.25">
      <c r="A389" s="5" t="str">
        <f>"ALF1068"</f>
        <v>ALF1068</v>
      </c>
      <c r="B389" s="5" t="str">
        <f>"FILTRO BACTERIANO INSPIRATORIO PURITAN DESECHABLE  1-074647"</f>
        <v>FILTRO BACTERIANO INSPIRATORIO PURITAN DESECHABLE  1-074647</v>
      </c>
      <c r="C389" s="6">
        <v>68900</v>
      </c>
    </row>
    <row r="390" spans="1:3" x14ac:dyDescent="0.25">
      <c r="A390" s="5" t="str">
        <f>"ALF1070"</f>
        <v>ALF1070</v>
      </c>
      <c r="B390" s="5" t="str">
        <f>"CATÉTER URETERAL DOBLE J 6Fr x 24"</f>
        <v>CATÉTER URETERAL DOBLE J 6Fr x 24</v>
      </c>
      <c r="C390" s="6">
        <v>240000</v>
      </c>
    </row>
    <row r="391" spans="1:3" x14ac:dyDescent="0.25">
      <c r="A391" s="5" t="str">
        <f>"ALF1074"</f>
        <v>ALF1074</v>
      </c>
      <c r="B391" s="5" t="str">
        <f>"KIT APOSITO GENADAY ABDOMINAL  A4-ABD01-K"</f>
        <v>KIT APOSITO GENADAY ABDOMINAL  A4-ABD01-K</v>
      </c>
      <c r="C391" s="6">
        <v>2875500</v>
      </c>
    </row>
    <row r="392" spans="1:3" x14ac:dyDescent="0.25">
      <c r="A392" s="5" t="str">
        <f>"ALF1075"</f>
        <v>ALF1075</v>
      </c>
      <c r="B392" s="5" t="str">
        <f>"CANiSTER DE 1100CC GENADYNE A4-S00D11"</f>
        <v>CANiSTER DE 1100CC GENADYNE A4-S00D11</v>
      </c>
      <c r="C392" s="6">
        <v>1524733</v>
      </c>
    </row>
    <row r="393" spans="1:3" x14ac:dyDescent="0.25">
      <c r="A393" s="5" t="str">
        <f>"ALF1087"</f>
        <v>ALF1087</v>
      </c>
      <c r="B393" s="5" t="str">
        <f>"MALLA ULTRAPRO 10x15"</f>
        <v>MALLA ULTRAPRO 10x15</v>
      </c>
      <c r="C393" s="6">
        <v>1089223</v>
      </c>
    </row>
    <row r="394" spans="1:3" x14ac:dyDescent="0.25">
      <c r="A394" s="5" t="str">
        <f>"ALF1089"</f>
        <v>ALF1089</v>
      </c>
      <c r="B394" s="5" t="str">
        <f>"CANULA  PARA TRAQUEOSTOMIA 8.0MM METALICA"</f>
        <v>CANULA  PARA TRAQUEOSTOMIA 8.0MM METALICA</v>
      </c>
      <c r="C394" s="6">
        <v>313200</v>
      </c>
    </row>
    <row r="395" spans="1:3" x14ac:dyDescent="0.25">
      <c r="A395" s="5" t="str">
        <f>"ALF1103"</f>
        <v>ALF1103</v>
      </c>
      <c r="B395" s="5" t="str">
        <f>"EQUIPO BOMBA LC5000 PRIMARIO FOTOPROTECTOR"</f>
        <v>EQUIPO BOMBA LC5000 PRIMARIO FOTOPROTECTOR</v>
      </c>
      <c r="C395" s="6">
        <v>36750</v>
      </c>
    </row>
    <row r="396" spans="1:3" x14ac:dyDescent="0.25">
      <c r="A396" s="5" t="str">
        <f>"ALF1104"</f>
        <v>ALF1104</v>
      </c>
      <c r="B396" s="5" t="str">
        <f>"EQUIPO BOMBA PLUM ADMINISTRACION SANGRE"</f>
        <v>EQUIPO BOMBA PLUM ADMINISTRACION SANGRE</v>
      </c>
      <c r="C396" s="6">
        <v>37000</v>
      </c>
    </row>
    <row r="397" spans="1:3" x14ac:dyDescent="0.25">
      <c r="A397" s="5" t="str">
        <f>"ALF11100"</f>
        <v>ALF11100</v>
      </c>
      <c r="B397" s="5" t="str">
        <f>"LENTE INTRAOCULAR  RIGIDO CAMARA POSTERIOR 3PJT 118.5-20.0DP"</f>
        <v>LENTE INTRAOCULAR  RIGIDO CAMARA POSTERIOR 3PJT 118.5-20.0DP</v>
      </c>
      <c r="C397" s="6">
        <v>153000</v>
      </c>
    </row>
    <row r="398" spans="1:3" x14ac:dyDescent="0.25">
      <c r="A398" s="5" t="str">
        <f>"ALF11101"</f>
        <v>ALF11101</v>
      </c>
      <c r="B398" s="5" t="str">
        <f>"MULETA SENCILLA EN ALUMINIO"</f>
        <v>MULETA SENCILLA EN ALUMINIO</v>
      </c>
      <c r="C398" s="6">
        <v>84544</v>
      </c>
    </row>
    <row r="399" spans="1:3" x14ac:dyDescent="0.25">
      <c r="A399" s="5" t="str">
        <f>"ALF11102"</f>
        <v>ALF11102</v>
      </c>
      <c r="B399" s="5" t="str">
        <f>"RODILLERA  ABIERTA UNIVERSAL"</f>
        <v>RODILLERA  ABIERTA UNIVERSAL</v>
      </c>
      <c r="C399" s="6">
        <v>50000</v>
      </c>
    </row>
    <row r="400" spans="1:3" x14ac:dyDescent="0.25">
      <c r="A400" s="5" t="str">
        <f>"ALF1112"</f>
        <v>ALF1112</v>
      </c>
      <c r="B400" s="5" t="str">
        <f>"GORRO NEONATAL CPAC TALLA M REF-1216-10"</f>
        <v>GORRO NEONATAL CPAC TALLA M REF-1216-10</v>
      </c>
      <c r="C400" s="6">
        <v>174000</v>
      </c>
    </row>
    <row r="401" spans="1:3" x14ac:dyDescent="0.25">
      <c r="A401" s="5" t="str">
        <f>"ALF1113"</f>
        <v>ALF1113</v>
      </c>
      <c r="B401" s="5" t="str">
        <f>"GORRO NEONATAL TALLA L-REF 1217-10/MEDIN"</f>
        <v>GORRO NEONATAL TALLA L-REF 1217-10/MEDIN</v>
      </c>
      <c r="C401" s="6">
        <v>179800</v>
      </c>
    </row>
    <row r="402" spans="1:3" x14ac:dyDescent="0.25">
      <c r="A402" s="5" t="str">
        <f>"ALF1114"</f>
        <v>ALF1114</v>
      </c>
      <c r="B402" s="5" t="str">
        <f>"MASCARILLA TALLA M CPAC REF 1200-05/MEDIN"</f>
        <v>MASCARILLA TALLA M CPAC REF 1200-05/MEDIN</v>
      </c>
      <c r="C402" s="6">
        <v>92800</v>
      </c>
    </row>
    <row r="403" spans="1:3" x14ac:dyDescent="0.25">
      <c r="A403" s="5" t="str">
        <f>"ALF1115"</f>
        <v>ALF1115</v>
      </c>
      <c r="B403" s="5" t="str">
        <f>"SISTEMA MINIFLOW+LINEA DE PRESION PROXIMAL-REFEQ-5"</f>
        <v>SISTEMA MINIFLOW+LINEA DE PRESION PROXIMAL-REFEQ-5</v>
      </c>
      <c r="C403" s="6">
        <v>1392000</v>
      </c>
    </row>
    <row r="404" spans="1:3" x14ac:dyDescent="0.25">
      <c r="A404" s="5" t="str">
        <f>"ALF1129"</f>
        <v>ALF1129</v>
      </c>
      <c r="B404" s="5" t="str">
        <f>"MASCARILLA TALLA L CPAC-1200-06-06/MEDIN"</f>
        <v>MASCARILLA TALLA L CPAC-1200-06-06/MEDIN</v>
      </c>
      <c r="C404" s="6">
        <v>66200</v>
      </c>
    </row>
    <row r="405" spans="1:3" x14ac:dyDescent="0.25">
      <c r="A405" s="5" t="str">
        <f>"ALF1141"</f>
        <v>ALF1141</v>
      </c>
      <c r="B405" s="5" t="str">
        <f>"FILTRO EXHALATORIO DESECHABLE -REF 4-076887-00"</f>
        <v>FILTRO EXHALATORIO DESECHABLE -REF 4-076887-00</v>
      </c>
      <c r="C405" s="6">
        <v>416347</v>
      </c>
    </row>
    <row r="406" spans="1:3" x14ac:dyDescent="0.25">
      <c r="A406" s="5" t="str">
        <f>"ALF1142"</f>
        <v>ALF1142</v>
      </c>
      <c r="B406" s="5" t="str">
        <f>"STENTN SYSTEM EVEROLIMUS MEDICADO 3.25MMX18MM"</f>
        <v>STENTN SYSTEM EVEROLIMUS MEDICADO 3.25MMX18MM</v>
      </c>
      <c r="C406" s="6">
        <v>5160000</v>
      </c>
    </row>
    <row r="407" spans="1:3" x14ac:dyDescent="0.25">
      <c r="A407" s="5" t="str">
        <f>"ALF1148"</f>
        <v>ALF1148</v>
      </c>
      <c r="B407" s="5" t="str">
        <f>"RECEPTAL DE LINER X 1.500CC"</f>
        <v>RECEPTAL DE LINER X 1.500CC</v>
      </c>
      <c r="C407" s="6">
        <v>20250</v>
      </c>
    </row>
    <row r="408" spans="1:3" x14ac:dyDescent="0.25">
      <c r="A408" s="5" t="str">
        <f>"ALF1149"</f>
        <v>ALF1149</v>
      </c>
      <c r="B408" s="5" t="str">
        <f>"AGUJA PARA BIOPSIA BIO-FEATHER 18G*250MM MEDAX"</f>
        <v>AGUJA PARA BIOPSIA BIO-FEATHER 18G*250MM MEDAX</v>
      </c>
      <c r="C408" s="6">
        <v>156600</v>
      </c>
    </row>
    <row r="409" spans="1:3" x14ac:dyDescent="0.25">
      <c r="A409" s="5" t="str">
        <f>"ALF1156"</f>
        <v>ALF1156</v>
      </c>
      <c r="B409" s="5" t="str">
        <f>"APOSITO MEDIUM DE PLATA  GENADYNE"</f>
        <v>APOSITO MEDIUM DE PLATA  GENADYNE</v>
      </c>
      <c r="C409" s="6">
        <v>737100</v>
      </c>
    </row>
    <row r="410" spans="1:3" x14ac:dyDescent="0.25">
      <c r="A410" s="5" t="str">
        <f>"ALF1163"</f>
        <v>ALF1163</v>
      </c>
      <c r="B410" s="5" t="str">
        <f>"REVACLEAR 300"</f>
        <v>REVACLEAR 300</v>
      </c>
      <c r="C410" s="6">
        <v>82000</v>
      </c>
    </row>
    <row r="411" spans="1:3" x14ac:dyDescent="0.25">
      <c r="A411" s="5" t="str">
        <f>"ALF1165"</f>
        <v>ALF1165</v>
      </c>
      <c r="B411" s="5" t="str">
        <f>"MASCARILLA TALLA S CPAC-1200-04 /MEDIN"</f>
        <v>MASCARILLA TALLA S CPAC-1200-04 /MEDIN</v>
      </c>
      <c r="C411" s="6">
        <v>59512</v>
      </c>
    </row>
    <row r="412" spans="1:3" x14ac:dyDescent="0.25">
      <c r="A412" s="5" t="str">
        <f>"ALF1175"</f>
        <v>ALF1175</v>
      </c>
      <c r="B412" s="5" t="str">
        <f>"APOSITO LARGO DE PLATA  GENADYNE"</f>
        <v>APOSITO LARGO DE PLATA  GENADYNE</v>
      </c>
      <c r="C412" s="6">
        <v>1022880</v>
      </c>
    </row>
    <row r="413" spans="1:3" x14ac:dyDescent="0.25">
      <c r="A413" s="5" t="str">
        <f>"ALF1181"</f>
        <v>ALF1181</v>
      </c>
      <c r="B413" s="5" t="str">
        <f>"ADHESIVO ESTERIL CHG 8.5X11.5CM -T"</f>
        <v>ADHESIVO ESTERIL CHG 8.5X11.5CM -T</v>
      </c>
      <c r="C413" s="6">
        <v>43000</v>
      </c>
    </row>
    <row r="414" spans="1:3" x14ac:dyDescent="0.25">
      <c r="A414" s="5" t="str">
        <f>"ALF1184"</f>
        <v>ALF1184</v>
      </c>
      <c r="B414" s="5" t="str">
        <f>"PROTESIS VASCULAR  GELSOFT 18 X9mm- 45CM"</f>
        <v>PROTESIS VASCULAR  GELSOFT 18 X9mm- 45CM</v>
      </c>
      <c r="C414" s="6">
        <v>3187500</v>
      </c>
    </row>
    <row r="415" spans="1:3" x14ac:dyDescent="0.25">
      <c r="A415" s="5" t="str">
        <f>"ALF1187"</f>
        <v>ALF1187</v>
      </c>
      <c r="B415" s="5" t="str">
        <f>"PROTESIS VASCULAR GELSOFT .CALIBRE 10mm x30cm"</f>
        <v>PROTESIS VASCULAR GELSOFT .CALIBRE 10mm x30cm</v>
      </c>
      <c r="C415" s="6">
        <v>2345000</v>
      </c>
    </row>
    <row r="416" spans="1:3" x14ac:dyDescent="0.25">
      <c r="A416" s="5" t="str">
        <f>"ALF1192"</f>
        <v>ALF1192</v>
      </c>
      <c r="B416" s="5" t="str">
        <f>"TUBO ENDOTRAQUEAL REFORZADO C/B 7.0-REF 61214070"</f>
        <v>TUBO ENDOTRAQUEAL REFORZADO C/B 7.0-REF 61214070</v>
      </c>
      <c r="C416" s="6">
        <v>170040</v>
      </c>
    </row>
    <row r="417" spans="1:3" x14ac:dyDescent="0.25">
      <c r="A417" s="5" t="str">
        <f>"ALF1193"</f>
        <v>ALF1193</v>
      </c>
      <c r="B417" s="5" t="str">
        <f>"TUBO  ENDOTRAQUEAL REFORZADO 6.5 C/B REF 61214065"</f>
        <v>TUBO  ENDOTRAQUEAL REFORZADO 6.5 C/B REF 61214065</v>
      </c>
      <c r="C417" s="6">
        <v>170040</v>
      </c>
    </row>
    <row r="418" spans="1:3" x14ac:dyDescent="0.25">
      <c r="A418" s="5" t="str">
        <f>"ALF1195"</f>
        <v>ALF1195</v>
      </c>
      <c r="B418" s="5" t="str">
        <f>"TUBO ENDOTRAQUEAL REFORZADO 7.5-C/B REF 61214075"</f>
        <v>TUBO ENDOTRAQUEAL REFORZADO 7.5-C/B REF 61214075</v>
      </c>
      <c r="C418" s="6">
        <v>170336</v>
      </c>
    </row>
    <row r="419" spans="1:3" x14ac:dyDescent="0.25">
      <c r="A419" s="5" t="str">
        <f>"ALF1196"</f>
        <v>ALF1196</v>
      </c>
      <c r="B419" s="5" t="str">
        <f>"KIT DE TRASQUEOTOMIA PERCUTANEA CON CANULA NO FENES REF:320-08-#8"</f>
        <v>KIT DE TRASQUEOTOMIA PERCUTANEA CON CANULA NO FENES REF:320-08-#8</v>
      </c>
      <c r="C419" s="6">
        <v>3228952.5</v>
      </c>
    </row>
    <row r="420" spans="1:3" x14ac:dyDescent="0.25">
      <c r="A420" s="5" t="str">
        <f>"ALF1197"</f>
        <v>ALF1197</v>
      </c>
      <c r="B420" s="5" t="str">
        <f>"KIT DE TRASQUEOTOMIA PERCUTANEA CON CANULA NO FENES REF:320-07-#7"</f>
        <v>KIT DE TRASQUEOTOMIA PERCUTANEA CON CANULA NO FENES REF:320-07-#7</v>
      </c>
      <c r="C420" s="6">
        <v>3228952.5</v>
      </c>
    </row>
    <row r="421" spans="1:3" x14ac:dyDescent="0.25">
      <c r="A421" s="5" t="str">
        <f>"ALF1199"</f>
        <v>ALF1199</v>
      </c>
      <c r="B421" s="5" t="str">
        <f>"LENTE  INTRAOCULAR  AT-202-13MM-20.00"</f>
        <v>LENTE  INTRAOCULAR  AT-202-13MM-20.00</v>
      </c>
      <c r="C421" s="6">
        <v>95000</v>
      </c>
    </row>
    <row r="422" spans="1:3" x14ac:dyDescent="0.25">
      <c r="A422" s="5" t="str">
        <f>"ALF1203"</f>
        <v>ALF1203</v>
      </c>
      <c r="B422" s="5" t="str">
        <f>"GRAPADORA  VASCULAR ECHELON FLEX 35MM-REF PVE35A"</f>
        <v>GRAPADORA  VASCULAR ECHELON FLEX 35MM-REF PVE35A</v>
      </c>
      <c r="C422" s="6">
        <v>2070250</v>
      </c>
    </row>
    <row r="423" spans="1:3" x14ac:dyDescent="0.25">
      <c r="A423" s="5" t="str">
        <f>"ALF1204"</f>
        <v>ALF1204</v>
      </c>
      <c r="B423" s="5" t="str">
        <f>"RECARGA PARA GRAPADORA VASCULAR 35MM REF VASECR35"</f>
        <v>RECARGA PARA GRAPADORA VASCULAR 35MM REF VASECR35</v>
      </c>
      <c r="C423" s="6">
        <v>1183000</v>
      </c>
    </row>
    <row r="424" spans="1:3" x14ac:dyDescent="0.25">
      <c r="A424" s="5" t="str">
        <f>"ALF1205"</f>
        <v>ALF1205</v>
      </c>
      <c r="B424" s="5" t="str">
        <f>"ENDOGRAPADORA LINEAL ARTICULABLE 60MM-REF EC60A"</f>
        <v>ENDOGRAPADORA LINEAL ARTICULABLE 60MM-REF EC60A</v>
      </c>
      <c r="C424" s="6">
        <v>3119593</v>
      </c>
    </row>
    <row r="425" spans="1:3" x14ac:dyDescent="0.25">
      <c r="A425" s="5" t="str">
        <f>"ALF1206"</f>
        <v>ALF1206</v>
      </c>
      <c r="B425" s="5" t="str">
        <f>"CANASTILLA SEGURA ACERO 3.0FR X 120cm REF:M006380110o"</f>
        <v>CANASTILLA SEGURA ACERO 3.0FR X 120cm REF:M006380110o</v>
      </c>
      <c r="C425" s="6">
        <v>1590702</v>
      </c>
    </row>
    <row r="426" spans="1:3" x14ac:dyDescent="0.25">
      <c r="A426" s="5" t="str">
        <f>"ALF1207"</f>
        <v>ALF1207</v>
      </c>
      <c r="B426" s="5" t="str">
        <f>"KIT MEDIDOR PARA ORINA (UNOMETER SAFETI PLUS)"</f>
        <v>KIT MEDIDOR PARA ORINA (UNOMETER SAFETI PLUS)</v>
      </c>
      <c r="C426" s="6">
        <v>24570</v>
      </c>
    </row>
    <row r="427" spans="1:3" x14ac:dyDescent="0.25">
      <c r="A427" s="5" t="str">
        <f>"ALF1210"</f>
        <v>ALF1210</v>
      </c>
      <c r="B427" s="5" t="str">
        <f>"DUODERM EXTRA THIN 15X15-APOSITO REF 187661-CGF"</f>
        <v>DUODERM EXTRA THIN 15X15-APOSITO REF 187661-CGF</v>
      </c>
      <c r="C427" s="6">
        <v>44550</v>
      </c>
    </row>
    <row r="428" spans="1:3" x14ac:dyDescent="0.25">
      <c r="A428" s="5" t="str">
        <f>"ALF1215"</f>
        <v>ALF1215</v>
      </c>
      <c r="B428" s="5" t="str">
        <f>"RECARGA VERDE 60ML- PARA ECHELON REF-ECR60G"</f>
        <v>RECARGA VERDE 60ML- PARA ECHELON REF-ECR60G</v>
      </c>
      <c r="C428" s="6">
        <v>1204283</v>
      </c>
    </row>
    <row r="429" spans="1:3" x14ac:dyDescent="0.25">
      <c r="A429" s="5" t="str">
        <f>"ALF1219"</f>
        <v>ALF1219</v>
      </c>
      <c r="B429" s="5" t="str">
        <f>"TIJERAS  LARGAS HARMONICA FOCUS LONGSHEARS REF HAR17F"</f>
        <v>TIJERAS  LARGAS HARMONICA FOCUS LONGSHEARS REF HAR17F</v>
      </c>
      <c r="C429" s="6">
        <v>3592818</v>
      </c>
    </row>
    <row r="430" spans="1:3" x14ac:dyDescent="0.25">
      <c r="A430" s="5" t="str">
        <f>"ALF1220"</f>
        <v>ALF1220</v>
      </c>
      <c r="B430" s="5" t="str">
        <f>"TIJERA-PINZA-RF- HAR9F ARMONICO FOCUS 9CM"</f>
        <v>TIJERA-PINZA-RF- HAR9F ARMONICO FOCUS 9CM</v>
      </c>
      <c r="C430" s="6">
        <v>3742794</v>
      </c>
    </row>
    <row r="431" spans="1:3" x14ac:dyDescent="0.25">
      <c r="A431" s="5" t="str">
        <f>"ALF1221"</f>
        <v>ALF1221</v>
      </c>
      <c r="B431" s="5" t="str">
        <f>"TIJERA-PINZA ENSEAL SUPER JAW REF NSEALX22L"</f>
        <v>TIJERA-PINZA ENSEAL SUPER JAW REF NSEALX22L</v>
      </c>
      <c r="C431" s="6">
        <v>2891700</v>
      </c>
    </row>
    <row r="432" spans="1:3" x14ac:dyDescent="0.25">
      <c r="A432" s="5" t="str">
        <f>"ALF1222"</f>
        <v>ALF1222</v>
      </c>
      <c r="B432" s="5" t="str">
        <f>"TIJERA  REF HAR36 ARM ONICO  X36CM"</f>
        <v>TIJERA  REF HAR36 ARM ONICO  X36CM</v>
      </c>
      <c r="C432" s="6">
        <v>3797320</v>
      </c>
    </row>
    <row r="433" spans="1:3" x14ac:dyDescent="0.25">
      <c r="A433" s="5" t="str">
        <f>"ALF1223"</f>
        <v>ALF1223</v>
      </c>
      <c r="B433" s="5" t="str">
        <f>"TIJERA- PINZA CURVA ARTICULADA ENSEAL REF NSLG2C35A"</f>
        <v>TIJERA- PINZA CURVA ARTICULADA ENSEAL REF NSLG2C35A</v>
      </c>
      <c r="C433" s="6">
        <v>3635356</v>
      </c>
    </row>
    <row r="434" spans="1:3" x14ac:dyDescent="0.25">
      <c r="A434" s="5" t="str">
        <f>"ALF1225"</f>
        <v>ALF1225</v>
      </c>
      <c r="B434" s="5" t="str">
        <f>"RECARGA AZUL 60ML  ECHELON REF ECR60B"</f>
        <v>RECARGA AZUL 60ML  ECHELON REF ECR60B</v>
      </c>
      <c r="C434" s="6">
        <v>928800</v>
      </c>
    </row>
    <row r="435" spans="1:3" x14ac:dyDescent="0.25">
      <c r="A435" s="5" t="str">
        <f>"ALF1226"</f>
        <v>ALF1226</v>
      </c>
      <c r="B435" s="5" t="str">
        <f>"RECARGA BLANCA  ECHELON 60MM-REF ECR60W"</f>
        <v>RECARGA BLANCA  ECHELON 60MM-REF ECR60W</v>
      </c>
      <c r="C435" s="6">
        <v>1105532</v>
      </c>
    </row>
    <row r="436" spans="1:3" x14ac:dyDescent="0.25">
      <c r="A436" s="5" t="str">
        <f>"ALF1227"</f>
        <v>ALF1227</v>
      </c>
      <c r="B436" s="5" t="str">
        <f>"CATETER CENTRAL BILUMEN  4FR  S413- 13CM"</f>
        <v>CATETER CENTRAL BILUMEN  4FR  S413- 13CM</v>
      </c>
      <c r="C436" s="6">
        <v>202500</v>
      </c>
    </row>
    <row r="437" spans="1:3" x14ac:dyDescent="0.25">
      <c r="A437" s="5" t="str">
        <f>"ALF1228"</f>
        <v>ALF1228</v>
      </c>
      <c r="B437" s="5" t="str">
        <f>"CATETR CENTRAL BILUMEN 4.5FR X 6CM"</f>
        <v>CATETR CENTRAL BILUMEN 4.5FR X 6CM</v>
      </c>
      <c r="C437" s="6">
        <v>217971</v>
      </c>
    </row>
    <row r="438" spans="1:3" x14ac:dyDescent="0.25">
      <c r="A438" s="5" t="str">
        <f>"ALF1233"</f>
        <v>ALF1233</v>
      </c>
      <c r="B438" s="5" t="str">
        <f>"CATETER CENTAL BILUMEN 7FR X 20CM"</f>
        <v>CATETER CENTAL BILUMEN 7FR X 20CM</v>
      </c>
      <c r="C438" s="6">
        <v>217536</v>
      </c>
    </row>
    <row r="439" spans="1:3" x14ac:dyDescent="0.25">
      <c r="A439" s="5" t="str">
        <f>"ALF1234"</f>
        <v>ALF1234</v>
      </c>
      <c r="B439" s="5" t="str">
        <f>"PDS II 2-0 SH  X 70CM-REF Z317H"</f>
        <v>PDS II 2-0 SH  X 70CM-REF Z317H</v>
      </c>
      <c r="C439" s="6">
        <v>54622</v>
      </c>
    </row>
    <row r="440" spans="1:3" x14ac:dyDescent="0.25">
      <c r="A440" s="5" t="str">
        <f>"ALF1235"</f>
        <v>ALF1235</v>
      </c>
      <c r="B440" s="5" t="str">
        <f>"PDS II  XLH X 244CM-REF Z881G"</f>
        <v>PDS II  XLH X 244CM-REF Z881G</v>
      </c>
      <c r="C440" s="6">
        <v>108267</v>
      </c>
    </row>
    <row r="441" spans="1:3" x14ac:dyDescent="0.25">
      <c r="A441" s="5" t="str">
        <f>"ALF1238"</f>
        <v>ALF1238</v>
      </c>
      <c r="B441" s="5" t="str">
        <f>"CATETER CENTRAL BILUMEN 3.0FR X6CM"</f>
        <v>CATETER CENTRAL BILUMEN 3.0FR X6CM</v>
      </c>
      <c r="C441" s="6">
        <v>519750</v>
      </c>
    </row>
    <row r="442" spans="1:3" x14ac:dyDescent="0.25">
      <c r="A442" s="5" t="str">
        <f>"ALF1239"</f>
        <v>ALF1239</v>
      </c>
      <c r="B442" s="5" t="str">
        <f>"CATETER CENTAL BILUMEN 3.0 X 10 CM"</f>
        <v>CATETER CENTAL BILUMEN 3.0 X 10 CM</v>
      </c>
      <c r="C442" s="6">
        <v>400767</v>
      </c>
    </row>
    <row r="443" spans="1:3" x14ac:dyDescent="0.25">
      <c r="A443" s="5" t="str">
        <f>"ALF1243"</f>
        <v>ALF1243</v>
      </c>
      <c r="B443" s="5" t="str">
        <f>"NANOGEN AKTIV- REF610202 5X5CM"</f>
        <v>NANOGEN AKTIV- REF610202 5X5CM</v>
      </c>
      <c r="C443" s="6">
        <v>3645000</v>
      </c>
    </row>
    <row r="444" spans="1:3" x14ac:dyDescent="0.25">
      <c r="A444" s="5" t="str">
        <f>"ALF1244"</f>
        <v>ALF1244</v>
      </c>
      <c r="B444" s="5" t="str">
        <f>"KIT APOSITO MEDIUM SENSATRAC GRANUFOAM DRESING"</f>
        <v>KIT APOSITO MEDIUM SENSATRAC GRANUFOAM DRESING</v>
      </c>
      <c r="C444" s="6">
        <v>677871</v>
      </c>
    </row>
    <row r="445" spans="1:3" x14ac:dyDescent="0.25">
      <c r="A445" s="5" t="str">
        <f>"ALF1250"</f>
        <v>ALF1250</v>
      </c>
      <c r="B445" s="5" t="str">
        <f>"CUCHILLETE #15 OFTALMOLOGICO"</f>
        <v>CUCHILLETE #15 OFTALMOLOGICO</v>
      </c>
      <c r="C445" s="6">
        <v>56227</v>
      </c>
    </row>
    <row r="446" spans="1:3" x14ac:dyDescent="0.25">
      <c r="A446" s="5" t="str">
        <f>"ALF1258"</f>
        <v>ALF1258</v>
      </c>
      <c r="B446" s="5" t="str">
        <f>"AQUACEL EXTRA  ABSORBENTE 15X15CM -420673"</f>
        <v>AQUACEL EXTRA  ABSORBENTE 15X15CM -420673</v>
      </c>
      <c r="C446" s="6">
        <v>85738</v>
      </c>
    </row>
    <row r="447" spans="1:3" x14ac:dyDescent="0.25">
      <c r="A447" s="5" t="str">
        <f>"ALF1259"</f>
        <v>ALF1259</v>
      </c>
      <c r="B447" s="5" t="str">
        <f>"AGUJA PARA  ASPIRACION DE MEDULA OSEA 15GAX4IN"</f>
        <v>AGUJA PARA  ASPIRACION DE MEDULA OSEA 15GAX4IN</v>
      </c>
      <c r="C447" s="6">
        <v>525000</v>
      </c>
    </row>
    <row r="448" spans="1:3" x14ac:dyDescent="0.25">
      <c r="A448" s="5" t="str">
        <f>"ALF1260"</f>
        <v>ALF1260</v>
      </c>
      <c r="B448" s="5" t="str">
        <f>"AGUJA PARA BIOPSIA DE MEDULA OSEA 11GAX4IN"</f>
        <v>AGUJA PARA BIOPSIA DE MEDULA OSEA 11GAX4IN</v>
      </c>
      <c r="C448" s="6">
        <v>525000</v>
      </c>
    </row>
    <row r="449" spans="1:3" x14ac:dyDescent="0.25">
      <c r="A449" s="5" t="str">
        <f>"ALF1261"</f>
        <v>ALF1261</v>
      </c>
      <c r="B449" s="5" t="str">
        <f>"PROTESIS ENDOCULAR #16"</f>
        <v>PROTESIS ENDOCULAR #16</v>
      </c>
      <c r="C449" s="6">
        <v>350000</v>
      </c>
    </row>
    <row r="450" spans="1:3" x14ac:dyDescent="0.25">
      <c r="A450" s="5" t="str">
        <f>"ALF1262"</f>
        <v>ALF1262</v>
      </c>
      <c r="B450" s="5" t="str">
        <f>"PROTESIS FORMADORA DE FONDO DE SACO #16"</f>
        <v>PROTESIS FORMADORA DE FONDO DE SACO #16</v>
      </c>
      <c r="C450" s="6">
        <v>262500</v>
      </c>
    </row>
    <row r="451" spans="1:3" x14ac:dyDescent="0.25">
      <c r="A451" s="5" t="str">
        <f>"ALF1264"</f>
        <v>ALF1264</v>
      </c>
      <c r="B451" s="5" t="str">
        <f>"MALLA ULTRAPRO 15X15"</f>
        <v>MALLA ULTRAPRO 15X15</v>
      </c>
      <c r="C451" s="6">
        <v>1859375</v>
      </c>
    </row>
    <row r="452" spans="1:3" x14ac:dyDescent="0.25">
      <c r="A452" s="5" t="str">
        <f>"ALF1269"</f>
        <v>ALF1269</v>
      </c>
      <c r="B452" s="5" t="str">
        <f>"SOLIDIFICANTE X 45GR / 300CC-3200CC"</f>
        <v>SOLIDIFICANTE X 45GR / 300CC-3200CC</v>
      </c>
      <c r="C452" s="6">
        <v>1.4</v>
      </c>
    </row>
    <row r="453" spans="1:3" x14ac:dyDescent="0.25">
      <c r="A453" s="5" t="str">
        <f>"ALF1270"</f>
        <v>ALF1270</v>
      </c>
      <c r="B453" s="5" t="str">
        <f>"NANOGEN AKTIV 10X10"</f>
        <v>NANOGEN AKTIV 10X10</v>
      </c>
      <c r="C453" s="6">
        <v>3280500</v>
      </c>
    </row>
    <row r="454" spans="1:3" x14ac:dyDescent="0.25">
      <c r="A454" s="5" t="str">
        <f>"ALF1271"</f>
        <v>ALF1271</v>
      </c>
      <c r="B454" s="5" t="str">
        <f>"PRUEBA PARA EMBARAZO"</f>
        <v>PRUEBA PARA EMBARAZO</v>
      </c>
      <c r="C454" s="6">
        <v>8500</v>
      </c>
    </row>
    <row r="455" spans="1:3" x14ac:dyDescent="0.25">
      <c r="A455" s="5" t="str">
        <f>"ALF8002"</f>
        <v>ALF8002</v>
      </c>
      <c r="B455" s="5" t="str">
        <f>"SEDA 0 SA"</f>
        <v>SEDA 0 SA</v>
      </c>
      <c r="C455" s="6">
        <v>14000</v>
      </c>
    </row>
    <row r="456" spans="1:3" x14ac:dyDescent="0.25">
      <c r="A456" s="5" t="str">
        <f>"ALF8003"</f>
        <v>ALF8003</v>
      </c>
      <c r="B456" s="5" t="str">
        <f>"SEDA 0 SH"</f>
        <v>SEDA 0 SH</v>
      </c>
      <c r="C456" s="6">
        <v>10100</v>
      </c>
    </row>
    <row r="457" spans="1:3" x14ac:dyDescent="0.25">
      <c r="A457" s="5" t="str">
        <f>"ALF8006"</f>
        <v>ALF8006</v>
      </c>
      <c r="B457" s="5" t="str">
        <f>"VICRYL 0   SH"</f>
        <v>VICRYL 0   SH</v>
      </c>
      <c r="C457" s="6">
        <v>14093</v>
      </c>
    </row>
    <row r="458" spans="1:3" x14ac:dyDescent="0.25">
      <c r="A458" s="5" t="str">
        <f>"ALF8017"</f>
        <v>ALF8017</v>
      </c>
      <c r="B458" s="5" t="str">
        <f>"PROLENE  0-CT-1"</f>
        <v>PROLENE  0-CT-1</v>
      </c>
      <c r="C458" s="6">
        <v>13000</v>
      </c>
    </row>
    <row r="459" spans="1:3" x14ac:dyDescent="0.25">
      <c r="A459" s="5" t="str">
        <f>"ALF8018"</f>
        <v>ALF8018</v>
      </c>
      <c r="B459" s="5" t="str">
        <f>"PROLENE  1- CT-1"</f>
        <v>PROLENE  1- CT-1</v>
      </c>
      <c r="C459" s="6">
        <v>13000</v>
      </c>
    </row>
    <row r="460" spans="1:3" x14ac:dyDescent="0.25">
      <c r="A460" s="5" t="str">
        <f>"ALF8019"</f>
        <v>ALF8019</v>
      </c>
      <c r="B460" s="5" t="str">
        <f>"PROLENE 2.0 - CT - 1"</f>
        <v>PROLENE 2.0 - CT - 1</v>
      </c>
      <c r="C460" s="6">
        <v>13000</v>
      </c>
    </row>
    <row r="461" spans="1:3" x14ac:dyDescent="0.25">
      <c r="A461" s="5" t="str">
        <f>"ALF8021"</f>
        <v>ALF8021</v>
      </c>
      <c r="B461" s="5" t="str">
        <f>"CERA OSEA  2.5G W 31"</f>
        <v>CERA OSEA  2.5G W 31</v>
      </c>
      <c r="C461" s="6">
        <v>21000</v>
      </c>
    </row>
    <row r="462" spans="1:3" x14ac:dyDescent="0.25">
      <c r="A462" s="5" t="str">
        <f>"ALF8022"</f>
        <v>ALF8022</v>
      </c>
      <c r="B462" s="5" t="str">
        <f>"ETHIBOND 0-CT-1"</f>
        <v>ETHIBOND 0-CT-1</v>
      </c>
      <c r="C462" s="6">
        <v>11000</v>
      </c>
    </row>
    <row r="463" spans="1:3" x14ac:dyDescent="0.25">
      <c r="A463" s="5" t="str">
        <f>"ALF8023"</f>
        <v>ALF8023</v>
      </c>
      <c r="B463" s="5" t="str">
        <f>"VICRIL  PLUS 3-0 SH1 X70CM"</f>
        <v>VICRIL  PLUS 3-0 SH1 X70CM</v>
      </c>
      <c r="C463" s="6">
        <v>17500</v>
      </c>
    </row>
    <row r="464" spans="1:3" x14ac:dyDescent="0.25">
      <c r="A464" s="5" t="str">
        <f>"ALF8025"</f>
        <v>ALF8025</v>
      </c>
      <c r="B464" s="5" t="str">
        <f>"CIRCUITOS SINGLE-LIMB  NEONATAL-PEDIATRICO 6FT"</f>
        <v>CIRCUITOS SINGLE-LIMB  NEONATAL-PEDIATRICO 6FT</v>
      </c>
      <c r="C464" s="6">
        <v>110000</v>
      </c>
    </row>
    <row r="465" spans="1:3" x14ac:dyDescent="0.25">
      <c r="A465" s="5" t="str">
        <f>"ALF8027"</f>
        <v>ALF8027</v>
      </c>
      <c r="B465" s="5" t="str">
        <f>"CANISTER 800CC- GENADYNE"</f>
        <v>CANISTER 800CC- GENADYNE</v>
      </c>
      <c r="C465" s="6">
        <v>1377000</v>
      </c>
    </row>
    <row r="466" spans="1:3" x14ac:dyDescent="0.25">
      <c r="A466" s="5" t="str">
        <f>"ALF8029"</f>
        <v>ALF8029</v>
      </c>
      <c r="B466" s="5" t="str">
        <f>"CROMADO  0  BP1-1 70cm"</f>
        <v>CROMADO  0  BP1-1 70cm</v>
      </c>
      <c r="C466" s="6">
        <v>19557</v>
      </c>
    </row>
    <row r="467" spans="1:3" x14ac:dyDescent="0.25">
      <c r="A467" s="5" t="str">
        <f>"ALF8033"</f>
        <v>ALF8033</v>
      </c>
      <c r="B467" s="5" t="str">
        <f>"TUBO ENDOBRONQUIAL  IZQUIERDO 35FR-198-35L-(LEFT)"</f>
        <v>TUBO ENDOBRONQUIAL  IZQUIERDO 35FR-198-35L-(LEFT)</v>
      </c>
      <c r="C467" s="6">
        <v>532500</v>
      </c>
    </row>
    <row r="468" spans="1:3" x14ac:dyDescent="0.25">
      <c r="A468" s="5" t="str">
        <f>"1022"</f>
        <v>1022</v>
      </c>
      <c r="B468" s="5" t="str">
        <f>"BALON AMPHIRION DEEP 2.0 mm  X 2.5 mm-150 cm REF:AMD225210152"</f>
        <v>BALON AMPHIRION DEEP 2.0 mm  X 2.5 mm-150 cm REF:AMD225210152</v>
      </c>
      <c r="C468" s="6">
        <v>2000000</v>
      </c>
    </row>
    <row r="469" spans="1:3" x14ac:dyDescent="0.25">
      <c r="A469" s="5" t="str">
        <f>"1140"</f>
        <v>1140</v>
      </c>
      <c r="B469" s="5" t="str">
        <f>"H-STENT XIENCE X PEDITION SV 2.25 X 15 REF: 1070225-15"</f>
        <v>H-STENT XIENCE X PEDITION SV 2.25 X 15 REF: 1070225-15</v>
      </c>
      <c r="C469" s="6">
        <v>2835000</v>
      </c>
    </row>
    <row r="470" spans="1:3" x14ac:dyDescent="0.25">
      <c r="A470" s="5" t="str">
        <f>"1141"</f>
        <v>1141</v>
      </c>
      <c r="B470" s="5" t="str">
        <f>"H-GUIA PERIFERICA KITEWIREDEEP-KTD300INT14S"</f>
        <v>H-GUIA PERIFERICA KITEWIREDEEP-KTD300INT14S</v>
      </c>
      <c r="C470" s="6">
        <v>1927800</v>
      </c>
    </row>
    <row r="471" spans="1:3" x14ac:dyDescent="0.25">
      <c r="A471" s="5" t="str">
        <f>"1142"</f>
        <v>1142</v>
      </c>
      <c r="B471" s="5" t="str">
        <f>"INTRODUCTOR RADIAL AVANTIT 6FR-LB504616Z"</f>
        <v>INTRODUCTOR RADIAL AVANTIT 6FR-LB504616Z</v>
      </c>
      <c r="C471" s="6">
        <v>125780</v>
      </c>
    </row>
    <row r="472" spans="1:3" x14ac:dyDescent="0.25">
      <c r="A472" s="5" t="str">
        <f>"1143"</f>
        <v>1143</v>
      </c>
      <c r="B472" s="5" t="str">
        <f>"H-CATETER DIAGNOSTICO 5FR JR 4.0-7523-21"</f>
        <v>H-CATETER DIAGNOSTICO 5FR JR 4.0-7523-21</v>
      </c>
      <c r="C472" s="6">
        <v>480000</v>
      </c>
    </row>
    <row r="473" spans="1:3" x14ac:dyDescent="0.25">
      <c r="A473" s="5" t="str">
        <f>"1144"</f>
        <v>1144</v>
      </c>
      <c r="B473" s="5" t="str">
        <f>"CATETER GUIA JL3 -6FR-REF 670-000-00"</f>
        <v>CATETER GUIA JL3 -6FR-REF 670-000-00</v>
      </c>
      <c r="C473" s="6">
        <v>326250</v>
      </c>
    </row>
    <row r="474" spans="1:3" x14ac:dyDescent="0.25">
      <c r="A474" s="5" t="str">
        <f>"1145"</f>
        <v>1145</v>
      </c>
      <c r="B474" s="5" t="str">
        <f>"H-STENT RESOLUTE Onyx  2,5 X 30MM-REF RONYX 25030X"</f>
        <v>H-STENT RESOLUTE Onyx  2,5 X 30MM-REF RONYX 25030X</v>
      </c>
      <c r="C474" s="6">
        <v>3300000</v>
      </c>
    </row>
    <row r="475" spans="1:3" x14ac:dyDescent="0.25">
      <c r="A475" s="5" t="str">
        <f>"8001"</f>
        <v>8001</v>
      </c>
      <c r="B475" s="5" t="str">
        <f>"EXTENSION DE INYECTOR MEDRAB 75CM"</f>
        <v>EXTENSION DE INYECTOR MEDRAB 75CM</v>
      </c>
      <c r="C475" s="6">
        <v>100000</v>
      </c>
    </row>
    <row r="476" spans="1:3" x14ac:dyDescent="0.25">
      <c r="A476" s="5" t="str">
        <f>"8002"</f>
        <v>8002</v>
      </c>
      <c r="B476" s="5" t="str">
        <f>"CATETER GUIA  LAUNCHER 6F JR  4.0"</f>
        <v>CATETER GUIA  LAUNCHER 6F JR  4.0</v>
      </c>
      <c r="C476" s="6">
        <v>337500</v>
      </c>
    </row>
    <row r="477" spans="1:3" x14ac:dyDescent="0.25">
      <c r="A477" s="5" t="str">
        <f>"8003"</f>
        <v>8003</v>
      </c>
      <c r="B477" s="5" t="str">
        <f>"CATETER GUIA  LAUNCHER 6F AR 1.0"</f>
        <v>CATETER GUIA  LAUNCHER 6F AR 1.0</v>
      </c>
      <c r="C477" s="6">
        <v>337500</v>
      </c>
    </row>
    <row r="478" spans="1:3" x14ac:dyDescent="0.25">
      <c r="A478" s="5" t="str">
        <f>"8004"</f>
        <v>8004</v>
      </c>
      <c r="B478" s="5" t="str">
        <f>"H-CATETER GUIA  LAUNCHER 6F RBU 3.5"</f>
        <v>H-CATETER GUIA  LAUNCHER 6F RBU 3.5</v>
      </c>
      <c r="C478" s="6">
        <v>337500</v>
      </c>
    </row>
    <row r="479" spans="1:3" x14ac:dyDescent="0.25">
      <c r="A479" s="5" t="str">
        <f>"8005"</f>
        <v>8005</v>
      </c>
      <c r="B479" s="5" t="str">
        <f>"CATETER GUIA  LAUNCHER 6F EBU 3.5 REF: LA6EBU3.5"</f>
        <v>CATETER GUIA  LAUNCHER 6F EBU 3.5 REF: LA6EBU3.5</v>
      </c>
      <c r="C479" s="6">
        <v>337500</v>
      </c>
    </row>
    <row r="480" spans="1:3" x14ac:dyDescent="0.25">
      <c r="A480" s="5" t="str">
        <f>"8006"</f>
        <v>8006</v>
      </c>
      <c r="B480" s="5" t="str">
        <f>"CATETER GUIA  LAUNCHER 6F AR 2.0"</f>
        <v>CATETER GUIA  LAUNCHER 6F AR 2.0</v>
      </c>
      <c r="C480" s="6">
        <v>337500</v>
      </c>
    </row>
    <row r="481" spans="1:3" x14ac:dyDescent="0.25">
      <c r="A481" s="5" t="str">
        <f>"8007"</f>
        <v>8007</v>
      </c>
      <c r="B481" s="5" t="str">
        <f>"H-CATETER GUIA  LAUNCHER 6F AL 1.0 REF: LA6AL1.0"</f>
        <v>H-CATETER GUIA  LAUNCHER 6F AL 1.0 REF: LA6AL1.0</v>
      </c>
      <c r="C481" s="6">
        <v>337500</v>
      </c>
    </row>
    <row r="482" spans="1:3" x14ac:dyDescent="0.25">
      <c r="A482" s="5" t="str">
        <f>"8008"</f>
        <v>8008</v>
      </c>
      <c r="B482" s="5" t="str">
        <f>"CATETER GUIA  LAUNCHER 6F JR 3.5"</f>
        <v>CATETER GUIA  LAUNCHER 6F JR 3.5</v>
      </c>
      <c r="C482" s="6">
        <v>337500</v>
      </c>
    </row>
    <row r="483" spans="1:3" x14ac:dyDescent="0.25">
      <c r="A483" s="5" t="str">
        <f>"8009"</f>
        <v>8009</v>
      </c>
      <c r="B483" s="5" t="str">
        <f>"CATETER GUIA  LAUNCHER 6F AL 2.0"</f>
        <v>CATETER GUIA  LAUNCHER 6F AL 2.0</v>
      </c>
      <c r="C483" s="6">
        <v>337500</v>
      </c>
    </row>
    <row r="484" spans="1:3" x14ac:dyDescent="0.25">
      <c r="A484" s="5" t="str">
        <f>"8010"</f>
        <v>8010</v>
      </c>
      <c r="B484" s="5" t="str">
        <f>"H-CATETER GUIA  6F JL 3.5 SH REF:670-003-00"</f>
        <v>H-CATETER GUIA  6F JL 3.5 SH REF:670-003-00</v>
      </c>
      <c r="C484" s="6">
        <v>337500</v>
      </c>
    </row>
    <row r="485" spans="1:3" x14ac:dyDescent="0.25">
      <c r="A485" s="5" t="str">
        <f>"8011"</f>
        <v>8011</v>
      </c>
      <c r="B485" s="5" t="str">
        <f>"CATETER GUIA  LAUNCHER 6F IMA REF: LA6IMA"</f>
        <v>CATETER GUIA  LAUNCHER 6F IMA REF: LA6IMA</v>
      </c>
      <c r="C485" s="6">
        <v>337500</v>
      </c>
    </row>
    <row r="486" spans="1:3" x14ac:dyDescent="0.25">
      <c r="A486" s="5" t="str">
        <f>"8012"</f>
        <v>8012</v>
      </c>
      <c r="B486" s="5" t="str">
        <f>"CATETER GUIA  LAUNCHER LA6EBU40"</f>
        <v>CATETER GUIA  LAUNCHER LA6EBU40</v>
      </c>
      <c r="C486" s="6">
        <v>337500</v>
      </c>
    </row>
    <row r="487" spans="1:3" x14ac:dyDescent="0.25">
      <c r="A487" s="5" t="str">
        <f>"8014"</f>
        <v>8014</v>
      </c>
      <c r="B487" s="5" t="str">
        <f>"H-STENT INTEGRITY 3.5 X 12 REF: INT35012X"</f>
        <v>H-STENT INTEGRITY 3.5 X 12 REF: INT35012X</v>
      </c>
      <c r="C487" s="6">
        <v>945000</v>
      </c>
    </row>
    <row r="488" spans="1:3" x14ac:dyDescent="0.25">
      <c r="A488" s="5" t="str">
        <f>"8016"</f>
        <v>8016</v>
      </c>
      <c r="B488" s="5" t="str">
        <f>"H-STENT INTEGRITY 3.5 X 18 REF: INT35018X"</f>
        <v>H-STENT INTEGRITY 3.5 X 18 REF: INT35018X</v>
      </c>
      <c r="C488" s="6">
        <v>945000</v>
      </c>
    </row>
    <row r="489" spans="1:3" x14ac:dyDescent="0.25">
      <c r="A489" s="5" t="str">
        <f>"8017"</f>
        <v>8017</v>
      </c>
      <c r="B489" s="5" t="str">
        <f>"H-STENT INTEGRITY 3.5 X 22 REF:RSINT35022X"</f>
        <v>H-STENT INTEGRITY 3.5 X 22 REF:RSINT35022X</v>
      </c>
      <c r="C489" s="6">
        <v>945000</v>
      </c>
    </row>
    <row r="490" spans="1:3" x14ac:dyDescent="0.25">
      <c r="A490" s="5" t="str">
        <f>"8018"</f>
        <v>8018</v>
      </c>
      <c r="B490" s="5" t="str">
        <f>"H-STENT INTEGRITY 3.5 X 26    H-STENT INTEGRITY 3.5 X 26 REF: INT35026X"</f>
        <v>H-STENT INTEGRITY 3.5 X 26    H-STENT INTEGRITY 3.5 X 26 REF: INT35026X</v>
      </c>
      <c r="C490" s="6">
        <v>945000</v>
      </c>
    </row>
    <row r="491" spans="1:3" x14ac:dyDescent="0.25">
      <c r="A491" s="5" t="str">
        <f>"8019"</f>
        <v>8019</v>
      </c>
      <c r="B491" s="5" t="str">
        <f>"H-STENT INTEGRITY 3.5 X 30 REF: INT35030X"</f>
        <v>H-STENT INTEGRITY 3.5 X 30 REF: INT35030X</v>
      </c>
      <c r="C491" s="6">
        <v>945000</v>
      </c>
    </row>
    <row r="492" spans="1:3" x14ac:dyDescent="0.25">
      <c r="A492" s="5" t="str">
        <f>"8020"</f>
        <v>8020</v>
      </c>
      <c r="B492" s="5" t="str">
        <f>"H-STENT INTEGRITY 4.0 X 9 REF: INT40009X"</f>
        <v>H-STENT INTEGRITY 4.0 X 9 REF: INT40009X</v>
      </c>
      <c r="C492" s="6">
        <v>945000</v>
      </c>
    </row>
    <row r="493" spans="1:3" x14ac:dyDescent="0.25">
      <c r="A493" s="5" t="str">
        <f>"8021"</f>
        <v>8021</v>
      </c>
      <c r="B493" s="5" t="str">
        <f>"H-STENT INTEGRITY 4.0 X 12 REF: INT40012X"</f>
        <v>H-STENT INTEGRITY 4.0 X 12 REF: INT40012X</v>
      </c>
      <c r="C493" s="6">
        <v>945000</v>
      </c>
    </row>
    <row r="494" spans="1:3" x14ac:dyDescent="0.25">
      <c r="A494" s="5" t="str">
        <f>"8022"</f>
        <v>8022</v>
      </c>
      <c r="B494" s="5" t="str">
        <f>"H-STENT INTEGRITY 4.0 X 18 REF: INT40018X"</f>
        <v>H-STENT INTEGRITY 4.0 X 18 REF: INT40018X</v>
      </c>
      <c r="C494" s="6">
        <v>945000</v>
      </c>
    </row>
    <row r="495" spans="1:3" x14ac:dyDescent="0.25">
      <c r="A495" s="5" t="str">
        <f>"8023"</f>
        <v>8023</v>
      </c>
      <c r="B495" s="5" t="str">
        <f>"H-STENT INTEGRITY 4.0 X 22 REF: INT40022X"</f>
        <v>H-STENT INTEGRITY 4.0 X 22 REF: INT40022X</v>
      </c>
      <c r="C495" s="6">
        <v>945000</v>
      </c>
    </row>
    <row r="496" spans="1:3" x14ac:dyDescent="0.25">
      <c r="A496" s="5" t="str">
        <f>"8024"</f>
        <v>8024</v>
      </c>
      <c r="B496" s="5" t="str">
        <f>"H-STENT INTEGRITY 4.0 X 26 REF: INT40026X"</f>
        <v>H-STENT INTEGRITY 4.0 X 26 REF: INT40026X</v>
      </c>
      <c r="C496" s="6">
        <v>945000</v>
      </c>
    </row>
    <row r="497" spans="1:3" x14ac:dyDescent="0.25">
      <c r="A497" s="5" t="str">
        <f>"8025"</f>
        <v>8025</v>
      </c>
      <c r="B497" s="5" t="str">
        <f>"H-STENT INTEGRITY 4.0 X 30 REF: INT40030X"</f>
        <v>H-STENT INTEGRITY 4.0 X 30 REF: INT40030X</v>
      </c>
      <c r="C497" s="6">
        <v>945000</v>
      </c>
    </row>
    <row r="498" spans="1:3" x14ac:dyDescent="0.25">
      <c r="A498" s="5" t="str">
        <f>"8026"</f>
        <v>8026</v>
      </c>
      <c r="B498" s="5" t="str">
        <f>"GUIA ZINGER SUPPORT ( GUIA PARA ANGIOPLASTIA 0.014 ) REF: ZNGRS180HJ"</f>
        <v>GUIA ZINGER SUPPORT ( GUIA PARA ANGIOPLASTIA 0.014 ) REF: ZNGRS180HJ</v>
      </c>
      <c r="C498" s="6">
        <v>484500</v>
      </c>
    </row>
    <row r="499" spans="1:3" x14ac:dyDescent="0.25">
      <c r="A499" s="5" t="str">
        <f>"8027"</f>
        <v>8027</v>
      </c>
      <c r="B499" s="5" t="str">
        <f>"H-STENT INTEGRITY 2,5 X 8 REF: INT25008X"</f>
        <v>H-STENT INTEGRITY 2,5 X 8 REF: INT25008X</v>
      </c>
      <c r="C499" s="6">
        <v>945000</v>
      </c>
    </row>
    <row r="500" spans="1:3" x14ac:dyDescent="0.25">
      <c r="A500" s="5" t="str">
        <f>"8028"</f>
        <v>8028</v>
      </c>
      <c r="B500" s="5" t="str">
        <f>"H-STENT INTEGRITY 2,5 X 12 REF: INT25012X"</f>
        <v>H-STENT INTEGRITY 2,5 X 12 REF: INT25012X</v>
      </c>
      <c r="C500" s="6">
        <v>945000</v>
      </c>
    </row>
    <row r="501" spans="1:3" x14ac:dyDescent="0.25">
      <c r="A501" s="5" t="str">
        <f>"8029"</f>
        <v>8029</v>
      </c>
      <c r="B501" s="5" t="str">
        <f>"H-STENT INTEGRITY 2,5 X 14 REF: INT25014X"</f>
        <v>H-STENT INTEGRITY 2,5 X 14 REF: INT25014X</v>
      </c>
      <c r="C501" s="6">
        <v>945000</v>
      </c>
    </row>
    <row r="502" spans="1:3" x14ac:dyDescent="0.25">
      <c r="A502" s="5" t="str">
        <f>"8031"</f>
        <v>8031</v>
      </c>
      <c r="B502" s="5" t="str">
        <f>"H-STENT INTEGRITY 2,5 X 22 REF: INT25022X"</f>
        <v>H-STENT INTEGRITY 2,5 X 22 REF: INT25022X</v>
      </c>
      <c r="C502" s="6">
        <v>945000</v>
      </c>
    </row>
    <row r="503" spans="1:3" x14ac:dyDescent="0.25">
      <c r="A503" s="5" t="str">
        <f>"8032"</f>
        <v>8032</v>
      </c>
      <c r="B503" s="5" t="str">
        <f>"H-STENT INTEGRITY 2,5 X 26 REF: INT25026X"</f>
        <v>H-STENT INTEGRITY 2,5 X 26 REF: INT25026X</v>
      </c>
      <c r="C503" s="6">
        <v>945000</v>
      </c>
    </row>
    <row r="504" spans="1:3" x14ac:dyDescent="0.25">
      <c r="A504" s="5" t="str">
        <f>"8033"</f>
        <v>8033</v>
      </c>
      <c r="B504" s="5" t="str">
        <f>"H-STENT INTEGRITY 2,5 X 30 REF: INT25030X"</f>
        <v>H-STENT INTEGRITY 2,5 X 30 REF: INT25030X</v>
      </c>
      <c r="C504" s="6">
        <v>945000</v>
      </c>
    </row>
    <row r="505" spans="1:3" x14ac:dyDescent="0.25">
      <c r="A505" s="5" t="str">
        <f>"8034"</f>
        <v>8034</v>
      </c>
      <c r="B505" s="5" t="str">
        <f>"H-STENT INTEGRITY 2,25 X 8 REF: INT22508X"</f>
        <v>H-STENT INTEGRITY 2,25 X 8 REF: INT22508X</v>
      </c>
      <c r="C505" s="6">
        <v>945000</v>
      </c>
    </row>
    <row r="506" spans="1:3" x14ac:dyDescent="0.25">
      <c r="A506" s="5" t="str">
        <f>"8035"</f>
        <v>8035</v>
      </c>
      <c r="B506" s="5" t="str">
        <f>"STENT INTEGRITY 2,25 X 12 REF: INT22512X"</f>
        <v>STENT INTEGRITY 2,25 X 12 REF: INT22512X</v>
      </c>
      <c r="C506" s="6">
        <v>945000</v>
      </c>
    </row>
    <row r="507" spans="1:3" x14ac:dyDescent="0.25">
      <c r="A507" s="5" t="str">
        <f>"8036"</f>
        <v>8036</v>
      </c>
      <c r="B507" s="5" t="str">
        <f>"STENT INTEGRITY 2,25 X 14 REF: INT22514X"</f>
        <v>STENT INTEGRITY 2,25 X 14 REF: INT22514X</v>
      </c>
      <c r="C507" s="6">
        <v>945000</v>
      </c>
    </row>
    <row r="508" spans="1:3" x14ac:dyDescent="0.25">
      <c r="A508" s="5" t="str">
        <f>"8037"</f>
        <v>8037</v>
      </c>
      <c r="B508" s="5" t="str">
        <f>"STENT INTEGRITY 2,25 X 18 REF: INT22518X"</f>
        <v>STENT INTEGRITY 2,25 X 18 REF: INT22518X</v>
      </c>
      <c r="C508" s="6">
        <v>945000</v>
      </c>
    </row>
    <row r="509" spans="1:3" x14ac:dyDescent="0.25">
      <c r="A509" s="5" t="str">
        <f>"8038"</f>
        <v>8038</v>
      </c>
      <c r="B509" s="5" t="str">
        <f>"STENT INTEGRITY 2,25 X 22 REF: INT22522X"</f>
        <v>STENT INTEGRITY 2,25 X 22 REF: INT22522X</v>
      </c>
      <c r="C509" s="6">
        <v>945000</v>
      </c>
    </row>
    <row r="510" spans="1:3" x14ac:dyDescent="0.25">
      <c r="A510" s="5" t="str">
        <f>"8039"</f>
        <v>8039</v>
      </c>
      <c r="B510" s="5" t="str">
        <f>"STENT INTEGRITY 2,25 X 26 REF: INT22526X"</f>
        <v>STENT INTEGRITY 2,25 X 26 REF: INT22526X</v>
      </c>
      <c r="C510" s="6">
        <v>945000</v>
      </c>
    </row>
    <row r="511" spans="1:3" x14ac:dyDescent="0.25">
      <c r="A511" s="5" t="str">
        <f>"8040"</f>
        <v>8040</v>
      </c>
      <c r="B511" s="5" t="str">
        <f>"STENT INTEGRITY 2,25 X 30 REF: INT22530X"</f>
        <v>STENT INTEGRITY 2,25 X 30 REF: INT22530X</v>
      </c>
      <c r="C511" s="6">
        <v>945000</v>
      </c>
    </row>
    <row r="512" spans="1:3" x14ac:dyDescent="0.25">
      <c r="A512" s="5" t="str">
        <f>"8041"</f>
        <v>8041</v>
      </c>
      <c r="B512" s="5" t="str">
        <f>"STENT INTEGRITY 2,75 X 8 REF: INT27508X"</f>
        <v>STENT INTEGRITY 2,75 X 8 REF: INT27508X</v>
      </c>
      <c r="C512" s="6">
        <v>945000</v>
      </c>
    </row>
    <row r="513" spans="1:3" x14ac:dyDescent="0.25">
      <c r="A513" s="5" t="str">
        <f>"8042"</f>
        <v>8042</v>
      </c>
      <c r="B513" s="5" t="str">
        <f>"STENT INTEGRITY 2,75 X 12 REF: INT27512X"</f>
        <v>STENT INTEGRITY 2,75 X 12 REF: INT27512X</v>
      </c>
      <c r="C513" s="6">
        <v>945000</v>
      </c>
    </row>
    <row r="514" spans="1:3" x14ac:dyDescent="0.25">
      <c r="A514" s="5" t="str">
        <f>"8043"</f>
        <v>8043</v>
      </c>
      <c r="B514" s="5" t="str">
        <f>"STENT INTEGRITY 2,75 X 14 REF: INT27514X"</f>
        <v>STENT INTEGRITY 2,75 X 14 REF: INT27514X</v>
      </c>
      <c r="C514" s="6">
        <v>945000</v>
      </c>
    </row>
    <row r="515" spans="1:3" x14ac:dyDescent="0.25">
      <c r="A515" s="5" t="str">
        <f>"8044"</f>
        <v>8044</v>
      </c>
      <c r="B515" s="5" t="str">
        <f>"STENT INTEGRITY 2,75 X 18 REF: IT27518X"</f>
        <v>STENT INTEGRITY 2,75 X 18 REF: IT27518X</v>
      </c>
      <c r="C515" s="6">
        <v>945000</v>
      </c>
    </row>
    <row r="516" spans="1:3" x14ac:dyDescent="0.25">
      <c r="A516" s="5" t="str">
        <f>"8045"</f>
        <v>8045</v>
      </c>
      <c r="B516" s="5" t="str">
        <f>"STENT INTEGRITY 2,75 X 22 REF: INT27522X"</f>
        <v>STENT INTEGRITY 2,75 X 22 REF: INT27522X</v>
      </c>
      <c r="C516" s="6">
        <v>945000</v>
      </c>
    </row>
    <row r="517" spans="1:3" x14ac:dyDescent="0.25">
      <c r="A517" s="5" t="str">
        <f>"8046"</f>
        <v>8046</v>
      </c>
      <c r="B517" s="5" t="str">
        <f>"STENT INTEGRITY 2,75 X 26 REF: INT27526"</f>
        <v>STENT INTEGRITY 2,75 X 26 REF: INT27526</v>
      </c>
      <c r="C517" s="6">
        <v>945000</v>
      </c>
    </row>
    <row r="518" spans="1:3" x14ac:dyDescent="0.25">
      <c r="A518" s="5" t="str">
        <f>"8047"</f>
        <v>8047</v>
      </c>
      <c r="B518" s="5" t="str">
        <f>"STENT INTEGRITY 2,75 X 30 REF: INT27530X"</f>
        <v>STENT INTEGRITY 2,75 X 30 REF: INT27530X</v>
      </c>
      <c r="C518" s="6">
        <v>945000</v>
      </c>
    </row>
    <row r="519" spans="1:3" x14ac:dyDescent="0.25">
      <c r="A519" s="5" t="str">
        <f>"8048"</f>
        <v>8048</v>
      </c>
      <c r="B519" s="5" t="str">
        <f>"STENT INTEGRITY 3,0 X 9 REF: INT30009X"</f>
        <v>STENT INTEGRITY 3,0 X 9 REF: INT30009X</v>
      </c>
      <c r="C519" s="6">
        <v>945000</v>
      </c>
    </row>
    <row r="520" spans="1:3" x14ac:dyDescent="0.25">
      <c r="A520" s="5" t="str">
        <f>"8049"</f>
        <v>8049</v>
      </c>
      <c r="B520" s="5" t="str">
        <f>"STENT INTEGRITY 3,0 X 12 REF: INT30012X"</f>
        <v>STENT INTEGRITY 3,0 X 12 REF: INT30012X</v>
      </c>
      <c r="C520" s="6">
        <v>945000</v>
      </c>
    </row>
    <row r="521" spans="1:3" x14ac:dyDescent="0.25">
      <c r="A521" s="5" t="str">
        <f>"8050"</f>
        <v>8050</v>
      </c>
      <c r="B521" s="5" t="str">
        <f>"STENT INTEGRITY 3,0 X 15 REF: RSINT30015X"</f>
        <v>STENT INTEGRITY 3,0 X 15 REF: RSINT30015X</v>
      </c>
      <c r="C521" s="6">
        <v>945000</v>
      </c>
    </row>
    <row r="522" spans="1:3" x14ac:dyDescent="0.25">
      <c r="A522" s="5" t="str">
        <f>"8051"</f>
        <v>8051</v>
      </c>
      <c r="B522" s="5" t="str">
        <f>"STENT INTEGRITY 3,0 X 18 REF: INT30018X"</f>
        <v>STENT INTEGRITY 3,0 X 18 REF: INT30018X</v>
      </c>
      <c r="C522" s="6">
        <v>945000</v>
      </c>
    </row>
    <row r="523" spans="1:3" x14ac:dyDescent="0.25">
      <c r="A523" s="5" t="str">
        <f>"8052"</f>
        <v>8052</v>
      </c>
      <c r="B523" s="5" t="str">
        <f>"STENT INTEGRITY 3,0 X 22 REF: INT30022X"</f>
        <v>STENT INTEGRITY 3,0 X 22 REF: INT30022X</v>
      </c>
      <c r="C523" s="6">
        <v>945000</v>
      </c>
    </row>
    <row r="524" spans="1:3" x14ac:dyDescent="0.25">
      <c r="A524" s="5" t="str">
        <f>"8053"</f>
        <v>8053</v>
      </c>
      <c r="B524" s="5" t="str">
        <f>"STENT INTEGRITY 3,0 X 26 REF: INT30026X"</f>
        <v>STENT INTEGRITY 3,0 X 26 REF: INT30026X</v>
      </c>
      <c r="C524" s="6">
        <v>945000</v>
      </c>
    </row>
    <row r="525" spans="1:3" x14ac:dyDescent="0.25">
      <c r="A525" s="5" t="str">
        <f>"8054"</f>
        <v>8054</v>
      </c>
      <c r="B525" s="5" t="str">
        <f>"STENT INTEGRITY 3,0 X 30"</f>
        <v>STENT INTEGRITY 3,0 X 30</v>
      </c>
      <c r="C525" s="6">
        <v>945000</v>
      </c>
    </row>
    <row r="526" spans="1:3" x14ac:dyDescent="0.25">
      <c r="A526" s="5" t="str">
        <f>"8055"</f>
        <v>8055</v>
      </c>
      <c r="B526" s="5" t="str">
        <f>"STENT RESOLUTE ONYX 4,0 X 26 REF: RONYX40026X- MDT"</f>
        <v>STENT RESOLUTE ONYX 4,0 X 26 REF: RONYX40026X- MDT</v>
      </c>
      <c r="C526" s="6">
        <v>2430000</v>
      </c>
    </row>
    <row r="527" spans="1:3" x14ac:dyDescent="0.25">
      <c r="A527" s="5" t="str">
        <f>"8056"</f>
        <v>8056</v>
      </c>
      <c r="B527" s="5" t="str">
        <f>"STENT RESOLUTE ONYX 4,0 X 30MM REF: RONYX40030X- MDT"</f>
        <v>STENT RESOLUTE ONYX 4,0 X 30MM REF: RONYX40030X- MDT</v>
      </c>
      <c r="C527" s="6">
        <v>2430000</v>
      </c>
    </row>
    <row r="528" spans="1:3" x14ac:dyDescent="0.25">
      <c r="A528" s="5" t="str">
        <f>"8057"</f>
        <v>8057</v>
      </c>
      <c r="B528" s="5" t="str">
        <f>"STENT RESOLUTE MEDICADO 4,0 X 34 REF: RSINT40034X"</f>
        <v>STENT RESOLUTE MEDICADO 4,0 X 34 REF: RSINT40034X</v>
      </c>
      <c r="C528" s="6">
        <v>2430000</v>
      </c>
    </row>
    <row r="529" spans="1:3" x14ac:dyDescent="0.25">
      <c r="A529" s="5" t="str">
        <f>"8059"</f>
        <v>8059</v>
      </c>
      <c r="B529" s="5" t="str">
        <f>"STEN RECUBIERTO  GRAFTMASTER 3.50X19-REF-1012818-19"</f>
        <v>STEN RECUBIERTO  GRAFTMASTER 3.50X19-REF-1012818-19</v>
      </c>
      <c r="C529" s="6">
        <v>7627500</v>
      </c>
    </row>
    <row r="530" spans="1:3" x14ac:dyDescent="0.25">
      <c r="A530" s="5" t="str">
        <f>"8060"</f>
        <v>8060</v>
      </c>
      <c r="B530" s="5" t="str">
        <f>"STEN RECUBIERTO  GRAFTMASTER 3.50X16-REF-1012818-16"</f>
        <v>STEN RECUBIERTO  GRAFTMASTER 3.50X16-REF-1012818-16</v>
      </c>
      <c r="C530" s="6">
        <v>7627500</v>
      </c>
    </row>
    <row r="531" spans="1:3" x14ac:dyDescent="0.25">
      <c r="A531" s="5" t="str">
        <f>"8061"</f>
        <v>8061</v>
      </c>
      <c r="B531" s="5" t="str">
        <f>"H-BALON EUPHORA 2,0 MM X 15 MM REF:EUP2015X"</f>
        <v>H-BALON EUPHORA 2,0 MM X 15 MM REF:EUP2015X</v>
      </c>
      <c r="C531" s="6">
        <v>780000</v>
      </c>
    </row>
    <row r="532" spans="1:3" x14ac:dyDescent="0.25">
      <c r="A532" s="5" t="str">
        <f>"8062"</f>
        <v>8062</v>
      </c>
      <c r="B532" s="5" t="str">
        <f>"BALON  SPRINTER LEGEND 2,0 X 20 REF: SPL200020X"</f>
        <v>BALON  SPRINTER LEGEND 2,0 X 20 REF: SPL200020X</v>
      </c>
      <c r="C532" s="6">
        <v>700000</v>
      </c>
    </row>
    <row r="533" spans="1:3" x14ac:dyDescent="0.25">
      <c r="A533" s="5" t="str">
        <f>"8063"</f>
        <v>8063</v>
      </c>
      <c r="B533" s="5" t="str">
        <f>"BALON  EUPORA 2,5 X 15 REF:EUPH2515X"</f>
        <v>BALON  EUPORA 2,5 X 15 REF:EUPH2515X</v>
      </c>
      <c r="C533" s="6">
        <v>780000</v>
      </c>
    </row>
    <row r="534" spans="1:3" x14ac:dyDescent="0.25">
      <c r="A534" s="5" t="str">
        <f>"8064"</f>
        <v>8064</v>
      </c>
      <c r="B534" s="5" t="str">
        <f>"BALON NC EUPHORA 3,0 X 20 REF:NCEUP3020X"</f>
        <v>BALON NC EUPHORA 3,0 X 20 REF:NCEUP3020X</v>
      </c>
      <c r="C534" s="6">
        <v>700000</v>
      </c>
    </row>
    <row r="535" spans="1:3" x14ac:dyDescent="0.25">
      <c r="A535" s="5" t="str">
        <f>"8065"</f>
        <v>8065</v>
      </c>
      <c r="B535" s="5" t="str">
        <f>"BALON EUPHORA 2.75X20MM -REF EUP 27520X"</f>
        <v>BALON EUPHORA 2.75X20MM -REF EUP 27520X</v>
      </c>
      <c r="C535" s="6">
        <v>780000</v>
      </c>
    </row>
    <row r="536" spans="1:3" x14ac:dyDescent="0.25">
      <c r="A536" s="5" t="str">
        <f>"8066"</f>
        <v>8066</v>
      </c>
      <c r="B536" s="5" t="str">
        <f>"BALON NC SPRINTER 2,0 X 15"</f>
        <v>BALON NC SPRINTER 2,0 X 15</v>
      </c>
      <c r="C536" s="6">
        <v>877500</v>
      </c>
    </row>
    <row r="537" spans="1:3" x14ac:dyDescent="0.25">
      <c r="A537" s="5" t="str">
        <f>"8067"</f>
        <v>8067</v>
      </c>
      <c r="B537" s="5" t="str">
        <f>"H-BALON AMPHIRION 2,5 X 150 REF:AMD025150152"</f>
        <v>H-BALON AMPHIRION 2,5 X 150 REF:AMD025150152</v>
      </c>
      <c r="C537" s="6">
        <v>2000000</v>
      </c>
    </row>
    <row r="538" spans="1:3" x14ac:dyDescent="0.25">
      <c r="A538" s="5" t="str">
        <f>"8068"</f>
        <v>8068</v>
      </c>
      <c r="B538" s="5" t="str">
        <f>"BALON NC SPRINTER 2,5 X 21"</f>
        <v>BALON NC SPRINTER 2,5 X 21</v>
      </c>
      <c r="C538" s="6">
        <v>877500</v>
      </c>
    </row>
    <row r="539" spans="1:3" x14ac:dyDescent="0.25">
      <c r="A539" s="5" t="str">
        <f>"8069"</f>
        <v>8069</v>
      </c>
      <c r="B539" s="5" t="str">
        <f>"BALON NC SPRINTER 3,0 X 15"</f>
        <v>BALON NC SPRINTER 3,0 X 15</v>
      </c>
      <c r="C539" s="6">
        <v>877500</v>
      </c>
    </row>
    <row r="540" spans="1:3" x14ac:dyDescent="0.25">
      <c r="A540" s="5" t="str">
        <f>"8070"</f>
        <v>8070</v>
      </c>
      <c r="B540" s="5" t="str">
        <f>"BALON NC SPRINTER 3,0 X 21"</f>
        <v>BALON NC SPRINTER 3,0 X 21</v>
      </c>
      <c r="C540" s="6">
        <v>877500</v>
      </c>
    </row>
    <row r="541" spans="1:3" x14ac:dyDescent="0.25">
      <c r="A541" s="5" t="str">
        <f>"8071"</f>
        <v>8071</v>
      </c>
      <c r="B541" s="5" t="str">
        <f>"GUIA KITEWIRE DEEP 0,014 X 300CM REF: KTD300INT14S"</f>
        <v>GUIA KITEWIRE DEEP 0,014 X 300CM REF: KTD300INT14S</v>
      </c>
      <c r="C541" s="6">
        <v>3981150</v>
      </c>
    </row>
    <row r="542" spans="1:3" x14ac:dyDescent="0.25">
      <c r="A542" s="5" t="str">
        <f>"8072"</f>
        <v>8072</v>
      </c>
      <c r="B542" s="5" t="str">
        <f>"GUIA COUGAR XT 0,014 X 190CM REF: INTU180HS"</f>
        <v>GUIA COUGAR XT 0,014 X 190CM REF: INTU180HS</v>
      </c>
      <c r="C542" s="6">
        <v>340000</v>
      </c>
    </row>
    <row r="543" spans="1:3" x14ac:dyDescent="0.25">
      <c r="A543" s="5" t="str">
        <f>"8073"</f>
        <v>8073</v>
      </c>
      <c r="B543" s="5" t="str">
        <f>"GUIA INTUITION 0,014 X 180CM"</f>
        <v>GUIA INTUITION 0,014 X 180CM</v>
      </c>
      <c r="C543" s="6">
        <v>1850000</v>
      </c>
    </row>
    <row r="544" spans="1:3" x14ac:dyDescent="0.25">
      <c r="A544" s="5" t="str">
        <f>"8074"</f>
        <v>8074</v>
      </c>
      <c r="B544" s="5" t="str">
        <f>"GUIA ZINGER MEDIUM 0,014 X 180CM"</f>
        <v>GUIA ZINGER MEDIUM 0,014 X 180CM</v>
      </c>
      <c r="C544" s="6">
        <v>484500</v>
      </c>
    </row>
    <row r="545" spans="1:3" x14ac:dyDescent="0.25">
      <c r="A545" s="5" t="str">
        <f>"8075"</f>
        <v>8075</v>
      </c>
      <c r="B545" s="5" t="str">
        <f>"STENT RESOLUTE ONYX 2,75 X 18 REF:RONYX27518X"</f>
        <v>STENT RESOLUTE ONYX 2,75 X 18 REF:RONYX27518X</v>
      </c>
      <c r="C545" s="6">
        <v>2430000</v>
      </c>
    </row>
    <row r="546" spans="1:3" x14ac:dyDescent="0.25">
      <c r="A546" s="5" t="str">
        <f>"8076"</f>
        <v>8076</v>
      </c>
      <c r="B546" s="5" t="str">
        <f>"H-STENT RESOLUTE ONYX 2,75 X 22 REF: RONY27522X"</f>
        <v>H-STENT RESOLUTE ONYX 2,75 X 22 REF: RONY27522X</v>
      </c>
      <c r="C546" s="6">
        <v>2430000</v>
      </c>
    </row>
    <row r="547" spans="1:3" x14ac:dyDescent="0.25">
      <c r="A547" s="5" t="str">
        <f>"8077"</f>
        <v>8077</v>
      </c>
      <c r="B547" s="5" t="str">
        <f>"STENT RESOLUTE ONYX 2,75 X 26MM REF: RONYX27526X - MDT"</f>
        <v>STENT RESOLUTE ONYX 2,75 X 26MM REF: RONYX27526X - MDT</v>
      </c>
      <c r="C547" s="6">
        <v>2430000</v>
      </c>
    </row>
    <row r="548" spans="1:3" x14ac:dyDescent="0.25">
      <c r="A548" s="5" t="str">
        <f>"8078"</f>
        <v>8078</v>
      </c>
      <c r="B548" s="5" t="str">
        <f>"STENT RESOLUTE ONYX 2,75 X 30 REF:RONYX27530X"</f>
        <v>STENT RESOLUTE ONYX 2,75 X 30 REF:RONYX27530X</v>
      </c>
      <c r="C548" s="6">
        <v>2430000</v>
      </c>
    </row>
    <row r="549" spans="1:3" x14ac:dyDescent="0.25">
      <c r="A549" s="5" t="str">
        <f>"8080"</f>
        <v>8080</v>
      </c>
      <c r="B549" s="5" t="str">
        <f>"STENT RESOLUTE Onyx 3,5 mm X 12 mm REF:RONYX35012X"</f>
        <v>STENT RESOLUTE Onyx 3,5 mm X 12 mm REF:RONYX35012X</v>
      </c>
      <c r="C549" s="6">
        <v>3685000</v>
      </c>
    </row>
    <row r="550" spans="1:3" x14ac:dyDescent="0.25">
      <c r="A550" s="5" t="str">
        <f>"8082"</f>
        <v>8082</v>
      </c>
      <c r="B550" s="5" t="str">
        <f>"STENT RESOLUTE ONYX 3,5 X 22 REF:RONYX35022X"</f>
        <v>STENT RESOLUTE ONYX 3,5 X 22 REF:RONYX35022X</v>
      </c>
      <c r="C550" s="6">
        <v>3000000</v>
      </c>
    </row>
    <row r="551" spans="1:3" x14ac:dyDescent="0.25">
      <c r="A551" s="5" t="str">
        <f>"8083"</f>
        <v>8083</v>
      </c>
      <c r="B551" s="5" t="str">
        <f>"STENT RESOLUTE MEDICADO 3,5 X 26 REF: RSINT35026X"</f>
        <v>STENT RESOLUTE MEDICADO 3,5 X 26 REF: RSINT35026X</v>
      </c>
      <c r="C551" s="6">
        <v>2430000</v>
      </c>
    </row>
    <row r="552" spans="1:3" x14ac:dyDescent="0.25">
      <c r="A552" s="5" t="str">
        <f>"8084"</f>
        <v>8084</v>
      </c>
      <c r="B552" s="5" t="str">
        <f>"STENT RESOLUTE MEDICADO 3,5 X 34 REF: RSINT35034X"</f>
        <v>STENT RESOLUTE MEDICADO 3,5 X 34 REF: RSINT35034X</v>
      </c>
      <c r="C552" s="6">
        <v>2430000</v>
      </c>
    </row>
    <row r="553" spans="1:3" x14ac:dyDescent="0.25">
      <c r="A553" s="5" t="str">
        <f>"8085"</f>
        <v>8085</v>
      </c>
      <c r="B553" s="5" t="str">
        <f>"STENT RESOLUTE MEDICADO 3,5 X 38MM REF: RONYX35038X- MDT"</f>
        <v>STENT RESOLUTE MEDICADO 3,5 X 38MM REF: RONYX35038X- MDT</v>
      </c>
      <c r="C553" s="6">
        <v>2430000</v>
      </c>
    </row>
    <row r="554" spans="1:3" x14ac:dyDescent="0.25">
      <c r="A554" s="5" t="str">
        <f>"8088"</f>
        <v>8088</v>
      </c>
      <c r="B554" s="5" t="str">
        <f>"STENT RESOLUTE ONYX 3,0 X 15 REF: RONYX30015X"</f>
        <v>STENT RESOLUTE ONYX 3,0 X 15 REF: RONYX30015X</v>
      </c>
      <c r="C554" s="6">
        <v>3000000</v>
      </c>
    </row>
    <row r="555" spans="1:3" x14ac:dyDescent="0.25">
      <c r="A555" s="5" t="str">
        <f>"8089"</f>
        <v>8089</v>
      </c>
      <c r="B555" s="5" t="str">
        <f>"STENT RESOLUTE MEDICADO 3,5  X 30 REF: RSINT35030X"</f>
        <v>STENT RESOLUTE MEDICADO 3,5  X 30 REF: RSINT35030X</v>
      </c>
      <c r="C555" s="6">
        <v>2430000</v>
      </c>
    </row>
    <row r="556" spans="1:3" x14ac:dyDescent="0.25">
      <c r="A556" s="5" t="str">
        <f>"8090"</f>
        <v>8090</v>
      </c>
      <c r="B556" s="5" t="str">
        <f>"STENT RESOLUTE MEDICADO 3,0 X 18 REF: RSINT30018X"</f>
        <v>STENT RESOLUTE MEDICADO 3,0 X 18 REF: RSINT30018X</v>
      </c>
      <c r="C556" s="6">
        <v>2430000</v>
      </c>
    </row>
    <row r="557" spans="1:3" x14ac:dyDescent="0.25">
      <c r="A557" s="5" t="str">
        <f>"8091"</f>
        <v>8091</v>
      </c>
      <c r="B557" s="5" t="str">
        <f>"H-STENT RESOLUTE ONYX 3,0 mm X 22 mm REF:RONYX30022X"</f>
        <v>H-STENT RESOLUTE ONYX 3,0 mm X 22 mm REF:RONYX30022X</v>
      </c>
      <c r="C557" s="6">
        <v>3285000</v>
      </c>
    </row>
    <row r="558" spans="1:3" x14ac:dyDescent="0.25">
      <c r="A558" s="5" t="str">
        <f>"8092"</f>
        <v>8092</v>
      </c>
      <c r="B558" s="5" t="str">
        <f>"H-STENT RESOLUTE ONYX 3,0 X 26 REF:RONYX30026X"</f>
        <v>H-STENT RESOLUTE ONYX 3,0 X 26 REF:RONYX30026X</v>
      </c>
      <c r="C558" s="6">
        <v>3000000</v>
      </c>
    </row>
    <row r="559" spans="1:3" x14ac:dyDescent="0.25">
      <c r="A559" s="5" t="str">
        <f>"8093"</f>
        <v>8093</v>
      </c>
      <c r="B559" s="5" t="str">
        <f>"STENT RESOLUTE ONYX 3,0 X 30 REF:RONYX30030X"</f>
        <v>STENT RESOLUTE ONYX 3,0 X 30 REF:RONYX30030X</v>
      </c>
      <c r="C559" s="6">
        <v>2430000</v>
      </c>
    </row>
    <row r="560" spans="1:3" x14ac:dyDescent="0.25">
      <c r="A560" s="5" t="str">
        <f>"8094"</f>
        <v>8094</v>
      </c>
      <c r="B560" s="5" t="str">
        <f>"STENT RESOLUTE MEDICADO 3,0 X 34 REF: RSINT30034X"</f>
        <v>STENT RESOLUTE MEDICADO 3,0 X 34 REF: RSINT30034X</v>
      </c>
      <c r="C560" s="6">
        <v>2430000</v>
      </c>
    </row>
    <row r="561" spans="1:3" x14ac:dyDescent="0.25">
      <c r="A561" s="5" t="str">
        <f>"8095"</f>
        <v>8095</v>
      </c>
      <c r="B561" s="5" t="str">
        <f>"STENT RESOLUTE MEDICADO 3,0 X 38 REF: RSINT30038X"</f>
        <v>STENT RESOLUTE MEDICADO 3,0 X 38 REF: RSINT30038X</v>
      </c>
      <c r="C561" s="6">
        <v>2430000</v>
      </c>
    </row>
    <row r="562" spans="1:3" x14ac:dyDescent="0.25">
      <c r="A562" s="5" t="str">
        <f>"8097"</f>
        <v>8097</v>
      </c>
      <c r="B562" s="5" t="str">
        <f>"STENT RESOLUTE MEDICADO 4,0 X 15 REF: RSINT40015X"</f>
        <v>STENT RESOLUTE MEDICADO 4,0 X 15 REF: RSINT40015X</v>
      </c>
      <c r="C562" s="6">
        <v>2430000</v>
      </c>
    </row>
    <row r="563" spans="1:3" x14ac:dyDescent="0.25">
      <c r="A563" s="5" t="str">
        <f>"8099"</f>
        <v>8099</v>
      </c>
      <c r="B563" s="5" t="str">
        <f>"STENT RESOLUTE MEDICADO 4,0 X 18 REF: RSINT40018X"</f>
        <v>STENT RESOLUTE MEDICADO 4,0 X 18 REF: RSINT40018X</v>
      </c>
      <c r="C563" s="6">
        <v>2430000</v>
      </c>
    </row>
    <row r="564" spans="1:3" x14ac:dyDescent="0.25">
      <c r="A564" s="5" t="str">
        <f>"8100"</f>
        <v>8100</v>
      </c>
      <c r="B564" s="5" t="str">
        <f>"H-STENT RESOLUTE ONIX 3.5X18-REF RONYX 35018X"</f>
        <v>H-STENT RESOLUTE ONIX 3.5X18-REF RONYX 35018X</v>
      </c>
      <c r="C564" s="6">
        <v>2430000</v>
      </c>
    </row>
    <row r="565" spans="1:3" x14ac:dyDescent="0.25">
      <c r="A565" s="5" t="str">
        <f>"8101"</f>
        <v>8101</v>
      </c>
      <c r="B565" s="5" t="str">
        <f>"H-JERINGA INSUFLADORA EVERE JT # 30 REF: AC2305P- MDT"</f>
        <v>H-JERINGA INSUFLADORA EVERE JT # 30 REF: AC2305P- MDT</v>
      </c>
      <c r="C565" s="6">
        <v>360180</v>
      </c>
    </row>
    <row r="566" spans="1:3" x14ac:dyDescent="0.25">
      <c r="A566" s="5" t="str">
        <f>"8102"</f>
        <v>8102</v>
      </c>
      <c r="B566" s="5" t="str">
        <f>"BALON IN. PACT FALCON 2,00 X 14"</f>
        <v>BALON IN. PACT FALCON 2,00 X 14</v>
      </c>
      <c r="C566" s="6">
        <v>2700000</v>
      </c>
    </row>
    <row r="567" spans="1:3" x14ac:dyDescent="0.25">
      <c r="A567" s="5" t="str">
        <f>"8103"</f>
        <v>8103</v>
      </c>
      <c r="B567" s="5" t="str">
        <f>"BALON INPACT FALCON 2,00 X 20 REF: FLCP20020B12"</f>
        <v>BALON INPACT FALCON 2,00 X 20 REF: FLCP20020B12</v>
      </c>
      <c r="C567" s="6">
        <v>3890000</v>
      </c>
    </row>
    <row r="568" spans="1:3" x14ac:dyDescent="0.25">
      <c r="A568" s="5" t="str">
        <f>"8104"</f>
        <v>8104</v>
      </c>
      <c r="B568" s="5" t="str">
        <f>"BALON IN. PACT FALCON 2,00 X 30 REF: FLCP20030B12"</f>
        <v>BALON IN. PACT FALCON 2,00 X 30 REF: FLCP20030B12</v>
      </c>
      <c r="C568" s="6">
        <v>2700000</v>
      </c>
    </row>
    <row r="569" spans="1:3" x14ac:dyDescent="0.25">
      <c r="A569" s="5" t="str">
        <f>"8105"</f>
        <v>8105</v>
      </c>
      <c r="B569" s="5" t="str">
        <f>"BALON INPACT FALCON 2,50 X 14"</f>
        <v>BALON INPACT FALCON 2,50 X 14</v>
      </c>
      <c r="C569" s="6">
        <v>3890000</v>
      </c>
    </row>
    <row r="570" spans="1:3" x14ac:dyDescent="0.25">
      <c r="A570" s="5" t="str">
        <f>"8106"</f>
        <v>8106</v>
      </c>
      <c r="B570" s="5" t="str">
        <f>"BALON INPACT FALCON 3,00 X 14 REF: FLCP30014B12"</f>
        <v>BALON INPACT FALCON 3,00 X 14 REF: FLCP30014B12</v>
      </c>
      <c r="C570" s="6">
        <v>3890000</v>
      </c>
    </row>
    <row r="571" spans="1:3" x14ac:dyDescent="0.25">
      <c r="A571" s="5" t="str">
        <f>"8107"</f>
        <v>8107</v>
      </c>
      <c r="B571" s="5" t="str">
        <f>"BALON INPACT FALCON 3,00 X 30"</f>
        <v>BALON INPACT FALCON 3,00 X 30</v>
      </c>
      <c r="C571" s="6">
        <v>3890000</v>
      </c>
    </row>
    <row r="572" spans="1:3" x14ac:dyDescent="0.25">
      <c r="A572" s="5" t="str">
        <f>"8108"</f>
        <v>8108</v>
      </c>
      <c r="B572" s="5" t="str">
        <f>"BALON INPACT FALCON 2,50 X 30"</f>
        <v>BALON INPACT FALCON 2,50 X 30</v>
      </c>
      <c r="C572" s="6">
        <v>3890000</v>
      </c>
    </row>
    <row r="573" spans="1:3" x14ac:dyDescent="0.25">
      <c r="A573" s="5" t="str">
        <f>"8109"</f>
        <v>8109</v>
      </c>
      <c r="B573" s="5" t="str">
        <f>"BALON IN. PACT FALCON 3,00 X 20 REF: FLCP30020B12"</f>
        <v>BALON IN. PACT FALCON 3,00 X 20 REF: FLCP30020B12</v>
      </c>
      <c r="C573" s="6">
        <v>2700000</v>
      </c>
    </row>
    <row r="574" spans="1:3" x14ac:dyDescent="0.25">
      <c r="A574" s="5" t="str">
        <f>"8110"</f>
        <v>8110</v>
      </c>
      <c r="B574" s="5" t="str">
        <f>"STENT RESOLUTE MEDICADO 2,25 X 8 RAF: RSINT22508X"</f>
        <v>STENT RESOLUTE MEDICADO 2,25 X 8 RAF: RSINT22508X</v>
      </c>
      <c r="C574" s="6">
        <v>2430000</v>
      </c>
    </row>
    <row r="575" spans="1:3" x14ac:dyDescent="0.25">
      <c r="A575" s="5" t="str">
        <f>"8111"</f>
        <v>8111</v>
      </c>
      <c r="B575" s="5" t="str">
        <f>"H-STENT RESOLUTE ONYX 2,25 X 12 REF: RONYX22512X"</f>
        <v>H-STENT RESOLUTE ONYX 2,25 X 12 REF: RONYX22512X</v>
      </c>
      <c r="C575" s="6">
        <v>2430000</v>
      </c>
    </row>
    <row r="576" spans="1:3" x14ac:dyDescent="0.25">
      <c r="A576" s="5" t="str">
        <f>"8112"</f>
        <v>8112</v>
      </c>
      <c r="B576" s="5" t="str">
        <f>"STENT RESOLUTE MEDICADO 2,25 X 14 REF: RSINT22514X"</f>
        <v>STENT RESOLUTE MEDICADO 2,25 X 14 REF: RSINT22514X</v>
      </c>
      <c r="C576" s="6">
        <v>2430000</v>
      </c>
    </row>
    <row r="577" spans="1:3" x14ac:dyDescent="0.25">
      <c r="A577" s="5" t="str">
        <f>"8113"</f>
        <v>8113</v>
      </c>
      <c r="B577" s="5" t="str">
        <f>"STENT RESOLUTE MEDICADO 2,25 X 18 RSINT22518X"</f>
        <v>STENT RESOLUTE MEDICADO 2,25 X 18 RSINT22518X</v>
      </c>
      <c r="C577" s="6">
        <v>2430000</v>
      </c>
    </row>
    <row r="578" spans="1:3" x14ac:dyDescent="0.25">
      <c r="A578" s="5" t="str">
        <f>"8114"</f>
        <v>8114</v>
      </c>
      <c r="B578" s="5" t="str">
        <f>"H-STENT RESOLUTE ONYX 2,25 X 22 REF:RONYX22522X"</f>
        <v>H-STENT RESOLUTE ONYX 2,25 X 22 REF:RONYX22522X</v>
      </c>
      <c r="C578" s="6">
        <v>2430000</v>
      </c>
    </row>
    <row r="579" spans="1:3" x14ac:dyDescent="0.25">
      <c r="A579" s="5" t="str">
        <f>"8115"</f>
        <v>8115</v>
      </c>
      <c r="B579" s="5" t="str">
        <f>"STENT RESOLUTE MEDICADO 2,25 X 26 REF: RSINT22526X"</f>
        <v>STENT RESOLUTE MEDICADO 2,25 X 26 REF: RSINT22526X</v>
      </c>
      <c r="C579" s="6">
        <v>2430000</v>
      </c>
    </row>
    <row r="580" spans="1:3" x14ac:dyDescent="0.25">
      <c r="A580" s="5" t="str">
        <f>"8116"</f>
        <v>8116</v>
      </c>
      <c r="B580" s="5" t="str">
        <f>"H-STENT RESOLUTE ONYX 2,25 X 38 REF: RONYX22538X"</f>
        <v>H-STENT RESOLUTE ONYX 2,25 X 38 REF: RONYX22538X</v>
      </c>
      <c r="C580" s="6">
        <v>2430000</v>
      </c>
    </row>
    <row r="581" spans="1:3" x14ac:dyDescent="0.25">
      <c r="A581" s="5" t="str">
        <f>"8117"</f>
        <v>8117</v>
      </c>
      <c r="B581" s="5" t="str">
        <f>"H-STENT RESOLUTE ONYX 2,5 X 18 REF:RONYX25018X"</f>
        <v>H-STENT RESOLUTE ONYX 2,5 X 18 REF:RONYX25018X</v>
      </c>
      <c r="C581" s="6">
        <v>2430000</v>
      </c>
    </row>
    <row r="582" spans="1:3" x14ac:dyDescent="0.25">
      <c r="A582" s="5" t="str">
        <f>"8118"</f>
        <v>8118</v>
      </c>
      <c r="B582" s="5" t="str">
        <f>"STENT RESOLUTE MEDICADO 2,5 X 14 REF: RSINT25014X"</f>
        <v>STENT RESOLUTE MEDICADO 2,5 X 14 REF: RSINT25014X</v>
      </c>
      <c r="C582" s="6">
        <v>2430000</v>
      </c>
    </row>
    <row r="583" spans="1:3" x14ac:dyDescent="0.25">
      <c r="A583" s="5" t="str">
        <f>"8119"</f>
        <v>8119</v>
      </c>
      <c r="B583" s="5" t="str">
        <f>"STEN INTEGRITY 2,5 X 18 REF:INT25018X"</f>
        <v>STEN INTEGRITY 2,5 X 18 REF:INT25018X</v>
      </c>
      <c r="C583" s="6">
        <v>2430000</v>
      </c>
    </row>
    <row r="584" spans="1:3" x14ac:dyDescent="0.25">
      <c r="A584" s="5" t="str">
        <f>"8120"</f>
        <v>8120</v>
      </c>
      <c r="B584" s="5" t="str">
        <f>"STENT RESOLUTE MEDICADO 2,5 X 22"</f>
        <v>STENT RESOLUTE MEDICADO 2,5 X 22</v>
      </c>
      <c r="C584" s="6">
        <v>2430000</v>
      </c>
    </row>
    <row r="585" spans="1:3" x14ac:dyDescent="0.25">
      <c r="A585" s="5" t="str">
        <f>"8121"</f>
        <v>8121</v>
      </c>
      <c r="B585" s="5" t="str">
        <f>"STENT RESOLUTE ONYX 2,75 X 8 REF: RONYX27508X"</f>
        <v>STENT RESOLUTE ONYX 2,75 X 8 REF: RONYX27508X</v>
      </c>
      <c r="C585" s="6">
        <v>2430000</v>
      </c>
    </row>
    <row r="586" spans="1:3" x14ac:dyDescent="0.25">
      <c r="A586" s="5" t="str">
        <f>"8122"</f>
        <v>8122</v>
      </c>
      <c r="B586" s="5" t="str">
        <f>"STENT RESOLUTE MEDICADO 2,75 X 12 EF: RSINT27512X"</f>
        <v>STENT RESOLUTE MEDICADO 2,75 X 12 EF: RSINT27512X</v>
      </c>
      <c r="C586" s="6">
        <v>2430000</v>
      </c>
    </row>
    <row r="587" spans="1:3" x14ac:dyDescent="0.25">
      <c r="A587" s="5" t="str">
        <f>"8123"</f>
        <v>8123</v>
      </c>
      <c r="B587" s="5" t="str">
        <f>"STENT RESOLUTE MEDICADO 2,75 X 14"</f>
        <v>STENT RESOLUTE MEDICADO 2,75 X 14</v>
      </c>
      <c r="C587" s="6">
        <v>2430000</v>
      </c>
    </row>
    <row r="588" spans="1:3" x14ac:dyDescent="0.25">
      <c r="A588" s="5" t="str">
        <f>"8124"</f>
        <v>8124</v>
      </c>
      <c r="B588" s="5" t="str">
        <f>"H-CATETER  DE ASPIRACION EXPORT - AP 6F"</f>
        <v>H-CATETER  DE ASPIRACION EXPORT - AP 6F</v>
      </c>
      <c r="C588" s="6">
        <v>2800000</v>
      </c>
    </row>
    <row r="589" spans="1:3" x14ac:dyDescent="0.25">
      <c r="A589" s="5" t="str">
        <f>"8125"</f>
        <v>8125</v>
      </c>
      <c r="B589" s="5" t="str">
        <f>"GUIA WHISPER  EXTRA SUPPORT 0,014 X 190CM-REF 10143899"</f>
        <v>GUIA WHISPER  EXTRA SUPPORT 0,014 X 190CM-REF 10143899</v>
      </c>
      <c r="C589" s="6">
        <v>313200</v>
      </c>
    </row>
    <row r="590" spans="1:3" x14ac:dyDescent="0.25">
      <c r="A590" s="5" t="str">
        <f>"8126"</f>
        <v>8126</v>
      </c>
      <c r="B590" s="5" t="str">
        <f>"GUIA BALANCE MIDDLEWE IGHT UNIVERSAL 0,014 X 190CM REF: 10145165"</f>
        <v>GUIA BALANCE MIDDLEWE IGHT UNIVERSAL 0,014 X 190CM REF: 10145165</v>
      </c>
      <c r="C590" s="6">
        <v>454000</v>
      </c>
    </row>
    <row r="591" spans="1:3" x14ac:dyDescent="0.25">
      <c r="A591" s="5" t="str">
        <f>"8127"</f>
        <v>8127</v>
      </c>
      <c r="B591" s="5" t="str">
        <f>"GUIA  EXTRA  SPORT  GUIDE WIRE 0,014 X 300CM"</f>
        <v>GUIA  EXTRA  SPORT  GUIDE WIRE 0,014 X 300CM</v>
      </c>
      <c r="C591" s="6">
        <v>314000</v>
      </c>
    </row>
    <row r="592" spans="1:3" x14ac:dyDescent="0.25">
      <c r="A592" s="5" t="str">
        <f>"8128"</f>
        <v>8128</v>
      </c>
      <c r="B592" s="5" t="str">
        <f>"H-JERINGA PRIORITY PACK REF: 10145160"</f>
        <v>H-JERINGA PRIORITY PACK REF: 10145160</v>
      </c>
      <c r="C592" s="6">
        <v>357048</v>
      </c>
    </row>
    <row r="593" spans="1:3" x14ac:dyDescent="0.25">
      <c r="A593" s="5" t="str">
        <f>"8129"</f>
        <v>8129</v>
      </c>
      <c r="B593" s="5" t="str">
        <f>"STENT SMART FLEX 5MM X 200 MM REF:SF05200MV"</f>
        <v>STENT SMART FLEX 5MM X 200 MM REF:SF05200MV</v>
      </c>
      <c r="C593" s="6">
        <v>4126000</v>
      </c>
    </row>
    <row r="594" spans="1:3" x14ac:dyDescent="0.25">
      <c r="A594" s="5" t="str">
        <f>"8130"</f>
        <v>8130</v>
      </c>
      <c r="B594" s="5" t="str">
        <f>"STENT SELF-EXPANDING"</f>
        <v>STENT SELF-EXPANDING</v>
      </c>
      <c r="C594" s="6">
        <v>7627500</v>
      </c>
    </row>
    <row r="595" spans="1:3" x14ac:dyDescent="0.25">
      <c r="A595" s="5" t="str">
        <f>"8131"</f>
        <v>8131</v>
      </c>
      <c r="B595" s="5" t="str">
        <f>"H-STENT GRAFT MASTER 2,80 X 16"</f>
        <v>H-STENT GRAFT MASTER 2,80 X 16</v>
      </c>
      <c r="C595" s="6">
        <v>7627500</v>
      </c>
    </row>
    <row r="596" spans="1:3" x14ac:dyDescent="0.25">
      <c r="A596" s="5" t="str">
        <f>"8132"</f>
        <v>8132</v>
      </c>
      <c r="B596" s="5" t="str">
        <f>"H-STENT GRAFT MASTER 2,80 X 26"</f>
        <v>H-STENT GRAFT MASTER 2,80 X 26</v>
      </c>
      <c r="C596" s="6">
        <v>7627500</v>
      </c>
    </row>
    <row r="597" spans="1:3" x14ac:dyDescent="0.25">
      <c r="A597" s="5" t="str">
        <f>"8133"</f>
        <v>8133</v>
      </c>
      <c r="B597" s="5" t="str">
        <f>"BALON MINITREK 1,20 X 15"</f>
        <v>BALON MINITREK 1,20 X 15</v>
      </c>
      <c r="C597" s="6">
        <v>742000</v>
      </c>
    </row>
    <row r="598" spans="1:3" x14ac:dyDescent="0.25">
      <c r="A598" s="5" t="str">
        <f>"8134"</f>
        <v>8134</v>
      </c>
      <c r="B598" s="5" t="str">
        <f>"BALON MINITREK 1,20 X 20"</f>
        <v>BALON MINITREK 1,20 X 20</v>
      </c>
      <c r="C598" s="6">
        <v>742000</v>
      </c>
    </row>
    <row r="599" spans="1:3" x14ac:dyDescent="0.25">
      <c r="A599" s="5" t="str">
        <f>"8135"</f>
        <v>8135</v>
      </c>
      <c r="B599" s="5" t="str">
        <f>"BALON MINITREK 1,50 X 20 REF : 10143962"</f>
        <v>BALON MINITREK 1,50 X 20 REF : 10143962</v>
      </c>
      <c r="C599" s="6">
        <v>742000</v>
      </c>
    </row>
    <row r="600" spans="1:3" x14ac:dyDescent="0.25">
      <c r="A600" s="5" t="str">
        <f>"8136"</f>
        <v>8136</v>
      </c>
      <c r="B600" s="5" t="str">
        <f>"BALON MINITREK  2,00 X 15 REF: 1012270-15"</f>
        <v>BALON MINITREK  2,00 X 15 REF: 1012270-15</v>
      </c>
      <c r="C600" s="6">
        <v>742000</v>
      </c>
    </row>
    <row r="601" spans="1:3" x14ac:dyDescent="0.25">
      <c r="A601" s="5" t="str">
        <f>"8137"</f>
        <v>8137</v>
      </c>
      <c r="B601" s="5" t="str">
        <f>"BALON MINITREK 2,00 X 3,0"</f>
        <v>BALON MINITREK 2,00 X 3,0</v>
      </c>
      <c r="C601" s="6">
        <v>742000</v>
      </c>
    </row>
    <row r="602" spans="1:3" x14ac:dyDescent="0.25">
      <c r="A602" s="5" t="str">
        <f>"8138"</f>
        <v>8138</v>
      </c>
      <c r="B602" s="5" t="str">
        <f>"BALON NC TREK 2,50 X 15 REF: 10143999"</f>
        <v>BALON NC TREK 2,50 X 15 REF: 10143999</v>
      </c>
      <c r="C602" s="6">
        <v>742000</v>
      </c>
    </row>
    <row r="603" spans="1:3" x14ac:dyDescent="0.25">
      <c r="A603" s="5" t="str">
        <f>"8140"</f>
        <v>8140</v>
      </c>
      <c r="B603" s="5" t="str">
        <f>"STENT XIENCE XPEDITION  3.5 X 15 REF:10168484"</f>
        <v>STENT XIENCE XPEDITION  3.5 X 15 REF:10168484</v>
      </c>
      <c r="C603" s="6">
        <v>5650000</v>
      </c>
    </row>
    <row r="604" spans="1:3" x14ac:dyDescent="0.25">
      <c r="A604" s="5" t="str">
        <f>"8141"</f>
        <v>8141</v>
      </c>
      <c r="B604" s="5" t="str">
        <f>"STENT XIENCE V  3,5 X 18 REF: 1009530-18"</f>
        <v>STENT XIENCE V  3,5 X 18 REF: 1009530-18</v>
      </c>
      <c r="C604" s="6">
        <v>5650000</v>
      </c>
    </row>
    <row r="605" spans="1:3" x14ac:dyDescent="0.25">
      <c r="A605" s="5" t="str">
        <f>"8142"</f>
        <v>8142</v>
      </c>
      <c r="B605" s="5" t="str">
        <f>"BALON EUPHORA 4,0mm X15mm REF: EUP40015X"</f>
        <v>BALON EUPHORA 4,0mm X15mm REF: EUP40015X</v>
      </c>
      <c r="C605" s="6">
        <v>700000</v>
      </c>
    </row>
    <row r="606" spans="1:3" x14ac:dyDescent="0.25">
      <c r="A606" s="5" t="str">
        <f>"8143"</f>
        <v>8143</v>
      </c>
      <c r="B606" s="5" t="str">
        <f>"STENT XIENCE  EXPEDITION3,5 X 18"</f>
        <v>STENT XIENCE  EXPEDITION3,5 X 18</v>
      </c>
      <c r="C606" s="6">
        <v>5650000</v>
      </c>
    </row>
    <row r="607" spans="1:3" x14ac:dyDescent="0.25">
      <c r="A607" s="5" t="str">
        <f>"8144"</f>
        <v>8144</v>
      </c>
      <c r="B607" s="5" t="str">
        <f>"STENT XIENCE X PEDITION LL 3,0 X 38"</f>
        <v>STENT XIENCE X PEDITION LL 3,0 X 38</v>
      </c>
      <c r="C607" s="6">
        <v>4194450</v>
      </c>
    </row>
    <row r="608" spans="1:3" x14ac:dyDescent="0.25">
      <c r="A608" s="5" t="str">
        <f>"8145"</f>
        <v>8145</v>
      </c>
      <c r="B608" s="5" t="str">
        <f>"STENT XIENCE X PEDITION LL 3,0 X 33 REF: 1070300-33"</f>
        <v>STENT XIENCE X PEDITION LL 3,0 X 33 REF: 1070300-33</v>
      </c>
      <c r="C608" s="6">
        <v>4194450</v>
      </c>
    </row>
    <row r="609" spans="1:3" x14ac:dyDescent="0.25">
      <c r="A609" s="5" t="str">
        <f>"8148"</f>
        <v>8148</v>
      </c>
      <c r="B609" s="5" t="str">
        <f>"STENT XIENCE XPEDITION SV 2.25 X 28 REF: 1070225-28"</f>
        <v>STENT XIENCE XPEDITION SV 2.25 X 28 REF: 1070225-28</v>
      </c>
      <c r="C609" s="6">
        <v>4194450</v>
      </c>
    </row>
    <row r="610" spans="1:3" x14ac:dyDescent="0.25">
      <c r="A610" s="5" t="str">
        <f>"8149"</f>
        <v>8149</v>
      </c>
      <c r="B610" s="5" t="str">
        <f>"STENT RESOLUTE Onyx 2,5 X 22 REF: RONYX25022X"</f>
        <v>STENT RESOLUTE Onyx 2,5 X 22 REF: RONYX25022X</v>
      </c>
      <c r="C610" s="6">
        <v>2430000</v>
      </c>
    </row>
    <row r="611" spans="1:3" x14ac:dyDescent="0.25">
      <c r="A611" s="5" t="str">
        <f>"8150"</f>
        <v>8150</v>
      </c>
      <c r="B611" s="5" t="str">
        <f>"STEN RECUBIERTO  GRAFTMASTER 3.50X19-REF-1012818-19"</f>
        <v>STEN RECUBIERTO  GRAFTMASTER 3.50X19-REF-1012818-19</v>
      </c>
      <c r="C611" s="6">
        <v>7627500</v>
      </c>
    </row>
    <row r="612" spans="1:3" x14ac:dyDescent="0.25">
      <c r="A612" s="5" t="str">
        <f>"8151"</f>
        <v>8151</v>
      </c>
      <c r="B612" s="5" t="str">
        <f>"STENT XIENCE  XPEDITION 2.5 X 28"</f>
        <v>STENT XIENCE  XPEDITION 2.5 X 28</v>
      </c>
      <c r="C612" s="6">
        <v>5650000</v>
      </c>
    </row>
    <row r="613" spans="1:3" x14ac:dyDescent="0.25">
      <c r="A613" s="5" t="str">
        <f>"8153"</f>
        <v>8153</v>
      </c>
      <c r="B613" s="5" t="str">
        <f>"H-STENT XIENCE V  2,5 X 18"</f>
        <v>H-STENT XIENCE V  2,5 X 18</v>
      </c>
      <c r="C613" s="6">
        <v>5650000</v>
      </c>
    </row>
    <row r="614" spans="1:3" x14ac:dyDescent="0.25">
      <c r="A614" s="5" t="str">
        <f>"8154"</f>
        <v>8154</v>
      </c>
      <c r="B614" s="5" t="str">
        <f>"STENT XIENCE V  2,5 X 23"</f>
        <v>STENT XIENCE V  2,5 X 23</v>
      </c>
      <c r="C614" s="6">
        <v>5650000</v>
      </c>
    </row>
    <row r="615" spans="1:3" x14ac:dyDescent="0.25">
      <c r="A615" s="5" t="str">
        <f>"8155"</f>
        <v>8155</v>
      </c>
      <c r="B615" s="5" t="str">
        <f>"STENT XIENCE V  2,25 X 12 REF: 10193587"</f>
        <v>STENT XIENCE V  2,25 X 12 REF: 10193587</v>
      </c>
      <c r="C615" s="6">
        <v>5650000</v>
      </c>
    </row>
    <row r="616" spans="1:3" x14ac:dyDescent="0.25">
      <c r="A616" s="5" t="str">
        <f>"8156"</f>
        <v>8156</v>
      </c>
      <c r="B616" s="5" t="str">
        <f>"STENT XIENCE V 2,25 X 15"</f>
        <v>STENT XIENCE V 2,25 X 15</v>
      </c>
      <c r="C616" s="6">
        <v>5650000</v>
      </c>
    </row>
    <row r="617" spans="1:3" x14ac:dyDescent="0.25">
      <c r="A617" s="5" t="str">
        <f>"8157"</f>
        <v>8157</v>
      </c>
      <c r="B617" s="5" t="str">
        <f>"STENT XIENCE V 2,25 X 18"</f>
        <v>STENT XIENCE V 2,25 X 18</v>
      </c>
      <c r="C617" s="6">
        <v>5650000</v>
      </c>
    </row>
    <row r="618" spans="1:3" x14ac:dyDescent="0.25">
      <c r="A618" s="5" t="str">
        <f>"8158"</f>
        <v>8158</v>
      </c>
      <c r="B618" s="5" t="str">
        <f>"STENT XIENCE V 2,25 X 23"</f>
        <v>STENT XIENCE V 2,25 X 23</v>
      </c>
      <c r="C618" s="6">
        <v>5650000</v>
      </c>
    </row>
    <row r="619" spans="1:3" x14ac:dyDescent="0.25">
      <c r="A619" s="5" t="str">
        <f>"8159"</f>
        <v>8159</v>
      </c>
      <c r="B619" s="5" t="str">
        <f>"STENT XIENCE V 3,0 X12 REF:1009529-12"</f>
        <v>STENT XIENCE V 3,0 X12 REF:1009529-12</v>
      </c>
      <c r="C619" s="6">
        <v>5650000</v>
      </c>
    </row>
    <row r="620" spans="1:3" x14ac:dyDescent="0.25">
      <c r="A620" s="5" t="str">
        <f>"8160"</f>
        <v>8160</v>
      </c>
      <c r="B620" s="5" t="str">
        <f>"STENT XIENCE V 3,0 X 15"</f>
        <v>STENT XIENCE V 3,0 X 15</v>
      </c>
      <c r="C620" s="6">
        <v>5650000</v>
      </c>
    </row>
    <row r="621" spans="1:3" x14ac:dyDescent="0.25">
      <c r="A621" s="5" t="str">
        <f>"8161"</f>
        <v>8161</v>
      </c>
      <c r="B621" s="5" t="str">
        <f>"STENT XIENCE V 3,0 X 18"</f>
        <v>STENT XIENCE V 3,0 X 18</v>
      </c>
      <c r="C621" s="6">
        <v>5650000</v>
      </c>
    </row>
    <row r="622" spans="1:3" x14ac:dyDescent="0.25">
      <c r="A622" s="5" t="str">
        <f>"8162"</f>
        <v>8162</v>
      </c>
      <c r="B622" s="5" t="str">
        <f>"STENT XIENCE EXPEDITION 3,0 X 23 REF:10193849"</f>
        <v>STENT XIENCE EXPEDITION 3,0 X 23 REF:10193849</v>
      </c>
      <c r="C622" s="6">
        <v>5650000</v>
      </c>
    </row>
    <row r="623" spans="1:3" x14ac:dyDescent="0.25">
      <c r="A623" s="5" t="str">
        <f>"8164"</f>
        <v>8164</v>
      </c>
      <c r="B623" s="5" t="str">
        <f>"STENT XIENCE V 3,5 X 23"</f>
        <v>STENT XIENCE V 3,5 X 23</v>
      </c>
      <c r="C623" s="6">
        <v>5650000</v>
      </c>
    </row>
    <row r="624" spans="1:3" x14ac:dyDescent="0.25">
      <c r="A624" s="5" t="str">
        <f>"8165"</f>
        <v>8165</v>
      </c>
      <c r="B624" s="5" t="str">
        <f>"STENT XIENCE V 3,5 X 28 REF: 1009530-28"</f>
        <v>STENT XIENCE V 3,5 X 28 REF: 1009530-28</v>
      </c>
      <c r="C624" s="6">
        <v>5650000</v>
      </c>
    </row>
    <row r="625" spans="1:3" x14ac:dyDescent="0.25">
      <c r="A625" s="5" t="str">
        <f>"8166"</f>
        <v>8166</v>
      </c>
      <c r="B625" s="5" t="str">
        <f>"XIENCE PRIMELL 3,5 X 33"</f>
        <v>XIENCE PRIMELL 3,5 X 33</v>
      </c>
      <c r="C625" s="6">
        <v>5650000</v>
      </c>
    </row>
    <row r="626" spans="1:3" x14ac:dyDescent="0.25">
      <c r="A626" s="5" t="str">
        <f>"8167"</f>
        <v>8167</v>
      </c>
      <c r="B626" s="5" t="str">
        <f>"H-STENT RESOLUTE Onyx 2,5 X 12 REF: RONYX25012X"</f>
        <v>H-STENT RESOLUTE Onyx 2,5 X 12 REF: RONYX25012X</v>
      </c>
      <c r="C626" s="6">
        <v>2430000</v>
      </c>
    </row>
    <row r="627" spans="1:3" x14ac:dyDescent="0.25">
      <c r="A627" s="5" t="str">
        <f>"8168"</f>
        <v>8168</v>
      </c>
      <c r="B627" s="5" t="str">
        <f>"XIENCE PRIMELL 2,5 X 38"</f>
        <v>XIENCE PRIMELL 2,5 X 38</v>
      </c>
      <c r="C627" s="6">
        <v>5650000</v>
      </c>
    </row>
    <row r="628" spans="1:3" x14ac:dyDescent="0.25">
      <c r="A628" s="5" t="str">
        <f>"8169"</f>
        <v>8169</v>
      </c>
      <c r="B628" s="5" t="str">
        <f>"XIENCE PRIMELL 2,75 X 18"</f>
        <v>XIENCE PRIMELL 2,75 X 18</v>
      </c>
      <c r="C628" s="6">
        <v>5650000</v>
      </c>
    </row>
    <row r="629" spans="1:3" x14ac:dyDescent="0.25">
      <c r="A629" s="5" t="str">
        <f>"8170"</f>
        <v>8170</v>
      </c>
      <c r="B629" s="5" t="str">
        <f>"XIENCE PRIMELL 2,75 X 33"</f>
        <v>XIENCE PRIMELL 2,75 X 33</v>
      </c>
      <c r="C629" s="6">
        <v>5650000</v>
      </c>
    </row>
    <row r="630" spans="1:3" x14ac:dyDescent="0.25">
      <c r="A630" s="5" t="str">
        <f>"8171"</f>
        <v>8171</v>
      </c>
      <c r="B630" s="5" t="str">
        <f>"STENT RESOLUTE Onyx 3,5 X 15 REF: RONYX35015X"</f>
        <v>STENT RESOLUTE Onyx 3,5 X 15 REF: RONYX35015X</v>
      </c>
      <c r="C630" s="6">
        <v>3500000</v>
      </c>
    </row>
    <row r="631" spans="1:3" x14ac:dyDescent="0.25">
      <c r="A631" s="5" t="str">
        <f>"8174"</f>
        <v>8174</v>
      </c>
      <c r="B631" s="5" t="str">
        <f>"CATETER GUIA 6F AR 2  REF: 670-112-00"</f>
        <v>CATETER GUIA 6F AR 2  REF: 670-112-00</v>
      </c>
      <c r="C631" s="6">
        <v>650000</v>
      </c>
    </row>
    <row r="632" spans="1:3" x14ac:dyDescent="0.25">
      <c r="A632" s="5" t="str">
        <f>"8176"</f>
        <v>8176</v>
      </c>
      <c r="B632" s="5" t="str">
        <f>"H-STENT RENAL HIPPOCAMPUS 6.0 X 15 mm REF:IHP060 150 145"</f>
        <v>H-STENT RENAL HIPPOCAMPUS 6.0 X 15 mm REF:IHP060 150 145</v>
      </c>
      <c r="C632" s="6">
        <v>3400000</v>
      </c>
    </row>
    <row r="633" spans="1:3" x14ac:dyDescent="0.25">
      <c r="A633" s="5" t="str">
        <f>"8179"</f>
        <v>8179</v>
      </c>
      <c r="B633" s="5" t="str">
        <f>"SETEN CONVENCIONAL RX HERCULINK ELITE 6.0 mm X 15 mm  REF:1011534-15"</f>
        <v>SETEN CONVENCIONAL RX HERCULINK ELITE 6.0 mm X 15 mm  REF:1011534-15</v>
      </c>
      <c r="C633" s="6">
        <v>2800000</v>
      </c>
    </row>
    <row r="634" spans="1:3" x14ac:dyDescent="0.25">
      <c r="A634" s="5" t="str">
        <f>"8180"</f>
        <v>8180</v>
      </c>
      <c r="B634" s="5" t="str">
        <f>"STENT XIENCE X PEDITION LL 3,5 X 28 REF: 1070350-28"</f>
        <v>STENT XIENCE X PEDITION LL 3,5 X 28 REF: 1070350-28</v>
      </c>
      <c r="C634" s="6">
        <v>4194450</v>
      </c>
    </row>
    <row r="635" spans="1:3" x14ac:dyDescent="0.25">
      <c r="A635" s="5" t="str">
        <f>"8181"</f>
        <v>8181</v>
      </c>
      <c r="B635" s="5" t="str">
        <f>"STENT XIENCE XPEDITION 2,75 MM x 28 MM REF:1070275-28"</f>
        <v>STENT XIENCE XPEDITION 2,75 MM x 28 MM REF:1070275-28</v>
      </c>
      <c r="C635" s="6">
        <v>4194450</v>
      </c>
    </row>
    <row r="636" spans="1:3" x14ac:dyDescent="0.25">
      <c r="A636" s="5" t="str">
        <f>"8182"</f>
        <v>8182</v>
      </c>
      <c r="B636" s="5" t="str">
        <f>"H-STENT RESOLUTE Onyx 2,0 MM X 30MM REF: RONYX20030X"</f>
        <v>H-STENT RESOLUTE Onyx 2,0 MM X 30MM REF: RONYX20030X</v>
      </c>
      <c r="C636" s="6">
        <v>4495000</v>
      </c>
    </row>
    <row r="637" spans="1:3" x14ac:dyDescent="0.25">
      <c r="A637" s="5" t="str">
        <f>"8183"</f>
        <v>8183</v>
      </c>
      <c r="B637" s="5" t="str">
        <f>"H-CATETER DIAGNOSTICO 5 FR JL 4.0  PERFORMA REF:7521-21"</f>
        <v>H-CATETER DIAGNOSTICO 5 FR JL 4.0  PERFORMA REF:7521-21</v>
      </c>
      <c r="C637" s="6">
        <v>545000</v>
      </c>
    </row>
    <row r="638" spans="1:3" x14ac:dyDescent="0.25">
      <c r="A638" s="5" t="str">
        <f>"8184"</f>
        <v>8184</v>
      </c>
      <c r="B638" s="5" t="str">
        <f>"STENT XIENCE EXPEDITION 2.5 X 28 REF: 1070250-28"</f>
        <v>STENT XIENCE EXPEDITION 2.5 X 28 REF: 1070250-28</v>
      </c>
      <c r="C638" s="6">
        <v>4194450</v>
      </c>
    </row>
    <row r="639" spans="1:3" x14ac:dyDescent="0.25">
      <c r="A639" s="5" t="str">
        <f>"8185"</f>
        <v>8185</v>
      </c>
      <c r="B639" s="5" t="str">
        <f>"BALON  SPRINTER LEGEND 2,75 X 15 REF:SPL27515X-502521"</f>
        <v>BALON  SPRINTER LEGEND 2,75 X 15 REF:SPL27515X-502521</v>
      </c>
      <c r="C639" s="6">
        <v>780000</v>
      </c>
    </row>
    <row r="640" spans="1:3" x14ac:dyDescent="0.25">
      <c r="A640" s="5" t="str">
        <f>"8186"</f>
        <v>8186</v>
      </c>
      <c r="B640" s="5" t="str">
        <f>"H-GUIA EMERALD 0,35 X 150CM REF : 502-521"</f>
        <v>H-GUIA EMERALD 0,35 X 150CM REF : 502-521</v>
      </c>
      <c r="C640" s="6">
        <v>306000</v>
      </c>
    </row>
    <row r="641" spans="1:3" x14ac:dyDescent="0.25">
      <c r="A641" s="5" t="str">
        <f>"8187"</f>
        <v>8187</v>
      </c>
      <c r="B641" s="5" t="str">
        <f>"H-GUIA EMERALD 0,35 X 260 CM REF: 502-455"</f>
        <v>H-GUIA EMERALD 0,35 X 260 CM REF: 502-455</v>
      </c>
      <c r="C641" s="6">
        <v>306000</v>
      </c>
    </row>
    <row r="642" spans="1:3" x14ac:dyDescent="0.25">
      <c r="A642" s="5" t="str">
        <f>"8188"</f>
        <v>8188</v>
      </c>
      <c r="B642" s="5" t="str">
        <f>"GUIA STORQ SOFT 0,35 X 300 CM REF: 503-356X"</f>
        <v>GUIA STORQ SOFT 0,35 X 300 CM REF: 503-356X</v>
      </c>
      <c r="C642" s="6">
        <v>629500</v>
      </c>
    </row>
    <row r="643" spans="1:3" x14ac:dyDescent="0.25">
      <c r="A643" s="5" t="str">
        <f>"8189"</f>
        <v>8189</v>
      </c>
      <c r="B643" s="5" t="str">
        <f>"H-GUIA AQUATRACK 0,35 X 260 CM REF: C3526-RSA"</f>
        <v>H-GUIA AQUATRACK 0,35 X 260 CM REF: C3526-RSA</v>
      </c>
      <c r="C643" s="6">
        <v>212976</v>
      </c>
    </row>
    <row r="644" spans="1:3" x14ac:dyDescent="0.25">
      <c r="A644" s="5" t="str">
        <f>"8190"</f>
        <v>8190</v>
      </c>
      <c r="B644" s="5" t="str">
        <f>"GUIA ATW FLOPPY 0.014 X 195 CM REF: 595-EJ014"</f>
        <v>GUIA ATW FLOPPY 0.014 X 195 CM REF: 595-EJ014</v>
      </c>
      <c r="C644" s="6">
        <v>414990</v>
      </c>
    </row>
    <row r="645" spans="1:3" x14ac:dyDescent="0.25">
      <c r="A645" s="5" t="str">
        <f>"8191"</f>
        <v>8191</v>
      </c>
      <c r="B645" s="5" t="str">
        <f>"STENT RESOLUTE Onyx 3,0 X 26 mm REF: RONYX30026X"</f>
        <v>STENT RESOLUTE Onyx 3,0 X 26 mm REF: RONYX30026X</v>
      </c>
      <c r="C645" s="6">
        <v>3480000</v>
      </c>
    </row>
    <row r="646" spans="1:3" x14ac:dyDescent="0.25">
      <c r="A646" s="5" t="str">
        <f>"8192"</f>
        <v>8192</v>
      </c>
      <c r="B646" s="5" t="str">
        <f>"BALON PÓWER FLEX PRO 4 X 10 CM REF: 4400410X"</f>
        <v>BALON PÓWER FLEX PRO 4 X 10 CM REF: 4400410X</v>
      </c>
      <c r="C646" s="6">
        <v>861300</v>
      </c>
    </row>
    <row r="647" spans="1:3" x14ac:dyDescent="0.25">
      <c r="A647" s="5" t="str">
        <f>"8193"</f>
        <v>8193</v>
      </c>
      <c r="B647" s="5" t="str">
        <f>"BALON PÓWER FLEX - P3 4X 8 CM"</f>
        <v>BALON PÓWER FLEX - P3 4X 8 CM</v>
      </c>
      <c r="C647" s="6">
        <v>861300</v>
      </c>
    </row>
    <row r="648" spans="1:3" x14ac:dyDescent="0.25">
      <c r="A648" s="5" t="str">
        <f>"8194"</f>
        <v>8194</v>
      </c>
      <c r="B648" s="5" t="str">
        <f>"BALON PÓWER FLEX - P3 5 X 8 CM REF: 420-5080L"</f>
        <v>BALON PÓWER FLEX - P3 5 X 8 CM REF: 420-5080L</v>
      </c>
      <c r="C648" s="6">
        <v>861300</v>
      </c>
    </row>
    <row r="649" spans="1:3" x14ac:dyDescent="0.25">
      <c r="A649" s="5" t="str">
        <f>"8195"</f>
        <v>8195</v>
      </c>
      <c r="B649" s="5" t="str">
        <f>"BALON PÓWER FLEX - P3 6 X 8 CM REF: 420-6080L"</f>
        <v>BALON PÓWER FLEX - P3 6 X 8 CM REF: 420-6080L</v>
      </c>
      <c r="C649" s="6">
        <v>861300</v>
      </c>
    </row>
    <row r="650" spans="1:3" x14ac:dyDescent="0.25">
      <c r="A650" s="5" t="str">
        <f>"8196"</f>
        <v>8196</v>
      </c>
      <c r="B650" s="5" t="str">
        <f>"BALON PÓWER FLEX - P3 7 X 8 CM"</f>
        <v>BALON PÓWER FLEX - P3 7 X 8 CM</v>
      </c>
      <c r="C650" s="6">
        <v>861300</v>
      </c>
    </row>
    <row r="651" spans="1:3" x14ac:dyDescent="0.25">
      <c r="A651" s="5" t="str">
        <f>"8197"</f>
        <v>8197</v>
      </c>
      <c r="B651" s="5" t="str">
        <f>"BALON PÓWER FLEX - P3 8 X 4 CM"</f>
        <v>BALON PÓWER FLEX - P3 8 X 4 CM</v>
      </c>
      <c r="C651" s="6">
        <v>861300</v>
      </c>
    </row>
    <row r="652" spans="1:3" x14ac:dyDescent="0.25">
      <c r="A652" s="5" t="str">
        <f>"8198"</f>
        <v>8198</v>
      </c>
      <c r="B652" s="5" t="str">
        <f>"BALON PÓWER FLEX - P3 8 X 6 CM"</f>
        <v>BALON PÓWER FLEX - P3 8 X 6 CM</v>
      </c>
      <c r="C652" s="6">
        <v>861300</v>
      </c>
    </row>
    <row r="653" spans="1:3" x14ac:dyDescent="0.25">
      <c r="A653" s="5" t="str">
        <f>"8199"</f>
        <v>8199</v>
      </c>
      <c r="B653" s="5" t="str">
        <f>"BALON PÓWER FLEX - P3 (10 X 2 CM) REF: 420-0020L"</f>
        <v>BALON PÓWER FLEX - P3 (10 X 2 CM) REF: 420-0020L</v>
      </c>
      <c r="C653" s="6">
        <v>861300</v>
      </c>
    </row>
    <row r="654" spans="1:3" x14ac:dyDescent="0.25">
      <c r="A654" s="5" t="str">
        <f>"8200"</f>
        <v>8200</v>
      </c>
      <c r="B654" s="5" t="str">
        <f>"BALON PÓWER FLEX - P3 12 X 4 CM"</f>
        <v>BALON PÓWER FLEX - P3 12 X 4 CM</v>
      </c>
      <c r="C654" s="6">
        <v>861300</v>
      </c>
    </row>
    <row r="655" spans="1:3" x14ac:dyDescent="0.25">
      <c r="A655" s="5" t="str">
        <f>"8201"</f>
        <v>8201</v>
      </c>
      <c r="B655" s="5" t="str">
        <f>"STENT SMART CONTROL 6 X 80 MM"</f>
        <v>STENT SMART CONTROL 6 X 80 MM</v>
      </c>
      <c r="C655" s="6">
        <v>5000000</v>
      </c>
    </row>
    <row r="656" spans="1:3" x14ac:dyDescent="0.25">
      <c r="A656" s="5" t="str">
        <f>"8202"</f>
        <v>8202</v>
      </c>
      <c r="B656" s="5" t="str">
        <f>"STENT SMART CONTROL  6 X 40 MM"</f>
        <v>STENT SMART CONTROL  6 X 40 MM</v>
      </c>
      <c r="C656" s="6">
        <v>5000000</v>
      </c>
    </row>
    <row r="657" spans="1:3" x14ac:dyDescent="0.25">
      <c r="A657" s="5" t="str">
        <f>"8203"</f>
        <v>8203</v>
      </c>
      <c r="B657" s="5" t="str">
        <f>"STENT SMART CONTROL  7 X 120 MM"</f>
        <v>STENT SMART CONTROL  7 X 120 MM</v>
      </c>
      <c r="C657" s="6">
        <v>5000000</v>
      </c>
    </row>
    <row r="658" spans="1:3" x14ac:dyDescent="0.25">
      <c r="A658" s="5" t="str">
        <f>"8204"</f>
        <v>8204</v>
      </c>
      <c r="B658" s="5" t="str">
        <f>"STENT SMART CONTROL  8 X 100 MM"</f>
        <v>STENT SMART CONTROL  8 X 100 MM</v>
      </c>
      <c r="C658" s="6">
        <v>5000000</v>
      </c>
    </row>
    <row r="659" spans="1:3" x14ac:dyDescent="0.25">
      <c r="A659" s="5" t="str">
        <f>"8205"</f>
        <v>8205</v>
      </c>
      <c r="B659" s="5" t="str">
        <f>"STEN CONVENCIONAL RX HERCULINK ELITE 7.0MM X 15 MM REF:1011540-15"</f>
        <v>STEN CONVENCIONAL RX HERCULINK ELITE 7.0MM X 15 MM REF:1011540-15</v>
      </c>
      <c r="C659" s="6">
        <v>2480000</v>
      </c>
    </row>
    <row r="660" spans="1:3" x14ac:dyDescent="0.25">
      <c r="A660" s="5" t="str">
        <f>"8206"</f>
        <v>8206</v>
      </c>
      <c r="B660" s="5" t="str">
        <f>"BALON EUPHORA 2,5 X 20 REF: EUP2520X"</f>
        <v>BALON EUPHORA 2,5 X 20 REF: EUP2520X</v>
      </c>
      <c r="C660" s="6">
        <v>780000</v>
      </c>
    </row>
    <row r="661" spans="1:3" x14ac:dyDescent="0.25">
      <c r="A661" s="5" t="str">
        <f>"8207"</f>
        <v>8207</v>
      </c>
      <c r="B661" s="5" t="str">
        <f>"H-STENT RESOLUTE Onyx 3,0 X 18 REF: RONYX30018X"</f>
        <v>H-STENT RESOLUTE Onyx 3,0 X 18 REF: RONYX30018X</v>
      </c>
      <c r="C661" s="6">
        <v>3300000</v>
      </c>
    </row>
    <row r="662" spans="1:3" x14ac:dyDescent="0.25">
      <c r="A662" s="5" t="str">
        <f>"8208"</f>
        <v>8208</v>
      </c>
      <c r="B662" s="5" t="str">
        <f>"INTRODUCTOR 6F FEMORAL AVANTI+ ( 504 - 606X )"</f>
        <v>INTRODUCTOR 6F FEMORAL AVANTI+ ( 504 - 606X )</v>
      </c>
      <c r="C662" s="6">
        <v>125780</v>
      </c>
    </row>
    <row r="663" spans="1:3" x14ac:dyDescent="0.25">
      <c r="A663" s="5" t="str">
        <f>"8209"</f>
        <v>8209</v>
      </c>
      <c r="B663" s="5" t="str">
        <f>"H-INTRODUCTOR 5F AVANTI+ x 11 CM REF: 504-605X"</f>
        <v>H-INTRODUCTOR 5F AVANTI+ x 11 CM REF: 504-605X</v>
      </c>
      <c r="C663" s="6">
        <v>107000</v>
      </c>
    </row>
    <row r="664" spans="1:3" x14ac:dyDescent="0.25">
      <c r="A664" s="5" t="str">
        <f>"8210"</f>
        <v>8210</v>
      </c>
      <c r="B664" s="5" t="str">
        <f>"INTRODUCTOR FEMORAL 7F AVANTI+ x 11 CM REF: 504-607X"</f>
        <v>INTRODUCTOR FEMORAL 7F AVANTI+ x 11 CM REF: 504-607X</v>
      </c>
      <c r="C664" s="6">
        <v>107000</v>
      </c>
    </row>
    <row r="665" spans="1:3" x14ac:dyDescent="0.25">
      <c r="A665" s="5" t="str">
        <f>"8211"</f>
        <v>8211</v>
      </c>
      <c r="B665" s="5" t="str">
        <f>"H-STENT RESOLUTE Onyx  2,25 X 30 MM-REF RONYX 22530X"</f>
        <v>H-STENT RESOLUTE Onyx  2,25 X 30 MM-REF RONYX 22530X</v>
      </c>
      <c r="C665" s="6">
        <v>3300000</v>
      </c>
    </row>
    <row r="666" spans="1:3" x14ac:dyDescent="0.25">
      <c r="A666" s="5" t="str">
        <f>"8212"</f>
        <v>8212</v>
      </c>
      <c r="B666" s="5" t="str">
        <f>"INTRODUCTOR FEMORAL 8F AVANTI+"</f>
        <v>INTRODUCTOR FEMORAL 8F AVANTI+</v>
      </c>
      <c r="C666" s="6">
        <v>94500</v>
      </c>
    </row>
    <row r="667" spans="1:3" x14ac:dyDescent="0.25">
      <c r="A667" s="5" t="str">
        <f>"8213"</f>
        <v>8213</v>
      </c>
      <c r="B667" s="5" t="str">
        <f>"AGUJA  ANGIOGRAFICA  RADIAL REF:12004924"</f>
        <v>AGUJA  ANGIOGRAFICA  RADIAL REF:12004924</v>
      </c>
      <c r="C667" s="6">
        <v>36780</v>
      </c>
    </row>
    <row r="668" spans="1:3" x14ac:dyDescent="0.25">
      <c r="A668" s="5" t="str">
        <f>"8214"</f>
        <v>8214</v>
      </c>
      <c r="B668" s="5" t="str">
        <f>"AGUJA  ANGIOGRAFICA  FEMORAL  REF: 12-004943"</f>
        <v>AGUJA  ANGIOGRAFICA  FEMORAL  REF: 12-004943</v>
      </c>
      <c r="C668" s="6">
        <v>75000</v>
      </c>
    </row>
    <row r="669" spans="1:3" x14ac:dyDescent="0.25">
      <c r="A669" s="5" t="str">
        <f>"8215"</f>
        <v>8215</v>
      </c>
      <c r="B669" s="5" t="str">
        <f>"H-GUIA AQUATRACK 0.35 X 150 CM Ref:C3515RSA"</f>
        <v>H-GUIA AQUATRACK 0.35 X 150 CM Ref:C3515RSA</v>
      </c>
      <c r="C669" s="6">
        <v>385000</v>
      </c>
    </row>
    <row r="670" spans="1:3" x14ac:dyDescent="0.25">
      <c r="A670" s="5" t="str">
        <f>"8216"</f>
        <v>8216</v>
      </c>
      <c r="B670" s="5" t="str">
        <f>"GUIA AQUATRACK 0.35 X 180 CM ( c3518-rsa )"</f>
        <v>GUIA AQUATRACK 0.35 X 180 CM ( c3518-rsa )</v>
      </c>
      <c r="C670" s="6">
        <v>325000</v>
      </c>
    </row>
    <row r="671" spans="1:3" x14ac:dyDescent="0.25">
      <c r="A671" s="5" t="str">
        <f>"8217"</f>
        <v>8217</v>
      </c>
      <c r="B671" s="5" t="str">
        <f>"CATETER GUIA 6F AR 1  REF: 670-110-00"</f>
        <v>CATETER GUIA 6F AR 1  REF: 670-110-00</v>
      </c>
      <c r="C671" s="6">
        <v>396900</v>
      </c>
    </row>
    <row r="672" spans="1:3" x14ac:dyDescent="0.25">
      <c r="A672" s="5" t="str">
        <f>"8218"</f>
        <v>8218</v>
      </c>
      <c r="B672" s="5" t="str">
        <f>"H-BALON EUPHORA 2,0 X 20 REF: EUP2020X"</f>
        <v>H-BALON EUPHORA 2,0 X 20 REF: EUP2020X</v>
      </c>
      <c r="C672" s="6">
        <v>780000</v>
      </c>
    </row>
    <row r="673" spans="1:3" x14ac:dyDescent="0.25">
      <c r="A673" s="5" t="str">
        <f>"8219"</f>
        <v>8219</v>
      </c>
      <c r="B673" s="5" t="str">
        <f>"CATETER GUIA AL 2  6F"</f>
        <v>CATETER GUIA AL 2  6F</v>
      </c>
      <c r="C673" s="6">
        <v>100000</v>
      </c>
    </row>
    <row r="674" spans="1:3" x14ac:dyDescent="0.25">
      <c r="A674" s="5" t="str">
        <f>"8220"</f>
        <v>8220</v>
      </c>
      <c r="B674" s="5" t="str">
        <f>"BALON POWER FLEX PRO 9 MM X 4 CM REF: 4400904X"</f>
        <v>BALON POWER FLEX PRO 9 MM X 4 CM REF: 4400904X</v>
      </c>
      <c r="C674" s="6">
        <v>861300</v>
      </c>
    </row>
    <row r="675" spans="1:3" x14ac:dyDescent="0.25">
      <c r="A675" s="5" t="str">
        <f>"8221"</f>
        <v>8221</v>
      </c>
      <c r="B675" s="5" t="str">
        <f>"STENT PERIFERICO COMPLETE SE VASCULAR 9 mm x 80 mm REF:SC980LG"</f>
        <v>STENT PERIFERICO COMPLETE SE VASCULAR 9 mm x 80 mm REF:SC980LG</v>
      </c>
      <c r="C675" s="6">
        <v>3400000</v>
      </c>
    </row>
    <row r="676" spans="1:3" x14ac:dyDescent="0.25">
      <c r="A676" s="5" t="str">
        <f>"8222"</f>
        <v>8222</v>
      </c>
      <c r="B676" s="5" t="str">
        <f>"INTRODUCTOR RADIAL  PRELUDE 6F REF:PSI-6F-7-018"</f>
        <v>INTRODUCTOR RADIAL  PRELUDE 6F REF:PSI-6F-7-018</v>
      </c>
      <c r="C676" s="6">
        <v>220000</v>
      </c>
    </row>
    <row r="677" spans="1:3" x14ac:dyDescent="0.25">
      <c r="A677" s="5" t="str">
        <f>"8223"</f>
        <v>8223</v>
      </c>
      <c r="B677" s="5" t="str">
        <f>"H-CATETER DIAGNOSTICO 5 FR JR 4.0 PERFORMA REF:7523-21"</f>
        <v>H-CATETER DIAGNOSTICO 5 FR JR 4.0 PERFORMA REF:7523-21</v>
      </c>
      <c r="C677" s="6">
        <v>82000</v>
      </c>
    </row>
    <row r="678" spans="1:3" x14ac:dyDescent="0.25">
      <c r="A678" s="5" t="str">
        <f>"8224"</f>
        <v>8224</v>
      </c>
      <c r="B678" s="5" t="str">
        <f>"CATETER GUIA 6F XBRCA"</f>
        <v>CATETER GUIA 6F XBRCA</v>
      </c>
      <c r="C678" s="6">
        <v>396900</v>
      </c>
    </row>
    <row r="679" spans="1:3" x14ac:dyDescent="0.25">
      <c r="A679" s="5" t="str">
        <f>"8225"</f>
        <v>8225</v>
      </c>
      <c r="B679" s="5" t="str">
        <f>"H-EXTENSION DE INYECTOR 65CM ( 502- 101D)"</f>
        <v>H-EXTENSION DE INYECTOR 65CM ( 502- 101D)</v>
      </c>
      <c r="C679" s="6">
        <v>378000</v>
      </c>
    </row>
    <row r="680" spans="1:3" x14ac:dyDescent="0.25">
      <c r="A680" s="5" t="str">
        <f>"8226"</f>
        <v>8226</v>
      </c>
      <c r="B680" s="5" t="str">
        <f>"CATETER DIAGNOSTICO 6FR PIGTAIL"</f>
        <v>CATETER DIAGNOSTICO 6FR PIGTAIL</v>
      </c>
      <c r="C680" s="6">
        <v>100000</v>
      </c>
    </row>
    <row r="681" spans="1:3" x14ac:dyDescent="0.25">
      <c r="A681" s="5" t="str">
        <f>"8227"</f>
        <v>8227</v>
      </c>
      <c r="B681" s="5" t="str">
        <f>"H-CATETER DIAGNOSTICO 5 FR JL 3.5 PERFORMA REF:7521-13"</f>
        <v>H-CATETER DIAGNOSTICO 5 FR JL 3.5 PERFORMA REF:7521-13</v>
      </c>
      <c r="C681" s="6">
        <v>120000</v>
      </c>
    </row>
    <row r="682" spans="1:3" x14ac:dyDescent="0.25">
      <c r="A682" s="5" t="str">
        <f>"8228"</f>
        <v>8228</v>
      </c>
      <c r="B682" s="5" t="str">
        <f>"H-CATETER DIAGNOSTICO 5 FR JR 3.5 PERFORMA REF:7523-13"</f>
        <v>H-CATETER DIAGNOSTICO 5 FR JR 3.5 PERFORMA REF:7523-13</v>
      </c>
      <c r="C682" s="6">
        <v>220000</v>
      </c>
    </row>
    <row r="683" spans="1:3" x14ac:dyDescent="0.25">
      <c r="A683" s="5" t="str">
        <f>"8229"</f>
        <v>8229</v>
      </c>
      <c r="B683" s="5" t="str">
        <f>"H-CATETER DIAGNOSTICO 5 FR PIGTAIL PERFORMA REF:7776-21"</f>
        <v>H-CATETER DIAGNOSTICO 5 FR PIGTAIL PERFORMA REF:7776-21</v>
      </c>
      <c r="C683" s="6">
        <v>120000</v>
      </c>
    </row>
    <row r="684" spans="1:3" x14ac:dyDescent="0.25">
      <c r="A684" s="5" t="str">
        <f>"8230"</f>
        <v>8230</v>
      </c>
      <c r="B684" s="5" t="str">
        <f>"H-CATETER DIAGNOSTICO 6F AL II REF: 534-646T"</f>
        <v>H-CATETER DIAGNOSTICO 6F AL II REF: 534-646T</v>
      </c>
      <c r="C684" s="6">
        <v>100000</v>
      </c>
    </row>
    <row r="685" spans="1:3" x14ac:dyDescent="0.25">
      <c r="A685" s="5" t="str">
        <f>"8231"</f>
        <v>8231</v>
      </c>
      <c r="B685" s="5" t="str">
        <f>"H-CATETER DIAGNOSTICO 5F JL 4.5 REF: 534-517T"</f>
        <v>H-CATETER DIAGNOSTICO 5F JL 4.5 REF: 534-517T</v>
      </c>
      <c r="C685" s="6">
        <v>100000</v>
      </c>
    </row>
    <row r="686" spans="1:3" x14ac:dyDescent="0.25">
      <c r="A686" s="5" t="str">
        <f>"8232"</f>
        <v>8232</v>
      </c>
      <c r="B686" s="5" t="str">
        <f>"H-INTRODUCTO RADIAL SOURCE 6F REF:505-616S"</f>
        <v>H-INTRODUCTO RADIAL SOURCE 6F REF:505-616S</v>
      </c>
      <c r="C686" s="6">
        <v>117000</v>
      </c>
    </row>
    <row r="687" spans="1:3" x14ac:dyDescent="0.25">
      <c r="A687" s="5" t="str">
        <f>"8233"</f>
        <v>8233</v>
      </c>
      <c r="B687" s="5" t="str">
        <f>"INTRODUCTO RADIAL SOURCE 5F ( 505-615S )"</f>
        <v>INTRODUCTO RADIAL SOURCE 5F ( 505-615S )</v>
      </c>
      <c r="C687" s="6">
        <v>328000</v>
      </c>
    </row>
    <row r="688" spans="1:3" x14ac:dyDescent="0.25">
      <c r="A688" s="5" t="str">
        <f>"8236"</f>
        <v>8236</v>
      </c>
      <c r="B688" s="5" t="str">
        <f>"CATETER GUIA 6F JL 3.5 REF: 670-002-00-534618T"</f>
        <v>CATETER GUIA 6F JL 3.5 REF: 670-002-00-534618T</v>
      </c>
      <c r="C688" s="6">
        <v>680000</v>
      </c>
    </row>
    <row r="689" spans="1:3" x14ac:dyDescent="0.25">
      <c r="A689" s="5" t="str">
        <f>"8237"</f>
        <v>8237</v>
      </c>
      <c r="B689" s="5" t="str">
        <f>"H-CATETER GUIA  6F JL 4 ( 670-004-00 )"</f>
        <v>H-CATETER GUIA  6F JL 4 ( 670-004-00 )</v>
      </c>
      <c r="C689" s="6">
        <v>396900</v>
      </c>
    </row>
    <row r="690" spans="1:3" x14ac:dyDescent="0.25">
      <c r="A690" s="5" t="str">
        <f>"8238"</f>
        <v>8238</v>
      </c>
      <c r="B690" s="5" t="str">
        <f>"CATETER GUIA 6F  JL 4 SH REF: 670-005-00"</f>
        <v>CATETER GUIA 6F  JL 4 SH REF: 670-005-00</v>
      </c>
      <c r="C690" s="6">
        <v>396900</v>
      </c>
    </row>
    <row r="691" spans="1:3" x14ac:dyDescent="0.25">
      <c r="A691" s="5" t="str">
        <f>"8239"</f>
        <v>8239</v>
      </c>
      <c r="B691" s="5" t="str">
        <f>"H-STENT RESOLUTE ONYX 2,0 MM X 26 MM REF:RONYX20026X"</f>
        <v>H-STENT RESOLUTE ONYX 2,0 MM X 26 MM REF:RONYX20026X</v>
      </c>
      <c r="C691" s="6">
        <v>2430000</v>
      </c>
    </row>
    <row r="692" spans="1:3" x14ac:dyDescent="0.25">
      <c r="A692" s="5" t="str">
        <f>"8240"</f>
        <v>8240</v>
      </c>
      <c r="B692" s="5" t="str">
        <f>"H-CATETER GUIA 5F JL 3.5 LBT  REF:076-5560020L"</f>
        <v>H-CATETER GUIA 5F JL 3.5 LBT  REF:076-5560020L</v>
      </c>
      <c r="C692" s="6">
        <v>628000</v>
      </c>
    </row>
    <row r="693" spans="1:3" x14ac:dyDescent="0.25">
      <c r="A693" s="5" t="str">
        <f>"8241"</f>
        <v>8241</v>
      </c>
      <c r="B693" s="5" t="str">
        <f>"CATETER GUIA 5F JR 4 LBT"</f>
        <v>CATETER GUIA 5F JR 4 LBT</v>
      </c>
      <c r="C693" s="6">
        <v>396900</v>
      </c>
    </row>
    <row r="694" spans="1:3" x14ac:dyDescent="0.25">
      <c r="A694" s="5" t="str">
        <f>"8242"</f>
        <v>8242</v>
      </c>
      <c r="B694" s="5" t="str">
        <f>"CATETER GUIA 6F JR 4 REF: 670-082-00"</f>
        <v>CATETER GUIA 6F JR 4 REF: 670-082-00</v>
      </c>
      <c r="C694" s="6">
        <v>485850</v>
      </c>
    </row>
    <row r="695" spans="1:3" x14ac:dyDescent="0.25">
      <c r="A695" s="5" t="str">
        <f>"8243"</f>
        <v>8243</v>
      </c>
      <c r="B695" s="5" t="str">
        <f>"CATETER GUIA 6F JR 3.5 REF: 670-080-00"</f>
        <v>CATETER GUIA 6F JR 3.5 REF: 670-080-00</v>
      </c>
      <c r="C695" s="6">
        <v>680000</v>
      </c>
    </row>
    <row r="696" spans="1:3" x14ac:dyDescent="0.25">
      <c r="A696" s="5" t="str">
        <f>"8244"</f>
        <v>8244</v>
      </c>
      <c r="B696" s="5" t="str">
        <f>"STENT RENAL HIPPOCAMPUS 5.0 X 15 mm REF:IHP050150145"</f>
        <v>STENT RENAL HIPPOCAMPUS 5.0 X 15 mm REF:IHP050150145</v>
      </c>
      <c r="C696" s="6">
        <v>3400000</v>
      </c>
    </row>
    <row r="697" spans="1:3" x14ac:dyDescent="0.25">
      <c r="A697" s="5" t="str">
        <f>"8245"</f>
        <v>8245</v>
      </c>
      <c r="B697" s="5" t="str">
        <f>"BALON AMPHIRION 2.5 X 210 CM REF: AMD225 210 152"</f>
        <v>BALON AMPHIRION 2.5 X 210 CM REF: AMD225 210 152</v>
      </c>
      <c r="C697" s="6">
        <v>2000000</v>
      </c>
    </row>
    <row r="698" spans="1:3" x14ac:dyDescent="0.25">
      <c r="A698" s="5" t="str">
        <f>"8246"</f>
        <v>8246</v>
      </c>
      <c r="B698" s="5" t="str">
        <f>"H-CATETER GUIA 6F IM SH REF: 076-534660T"</f>
        <v>H-CATETER GUIA 6F IM SH REF: 076-534660T</v>
      </c>
      <c r="C698" s="6">
        <v>375250</v>
      </c>
    </row>
    <row r="699" spans="1:3" x14ac:dyDescent="0.25">
      <c r="A699" s="5" t="str">
        <f>"8247"</f>
        <v>8247</v>
      </c>
      <c r="B699" s="5" t="str">
        <f>"GUIA NITREX 035 X 260 CM REF:N352603"</f>
        <v>GUIA NITREX 035 X 260 CM REF:N352603</v>
      </c>
      <c r="C699" s="6">
        <v>375000</v>
      </c>
    </row>
    <row r="700" spans="1:3" x14ac:dyDescent="0.25">
      <c r="A700" s="5" t="str">
        <f>"8248"</f>
        <v>8248</v>
      </c>
      <c r="B700" s="5" t="str">
        <f>"CATETER GUIA 6F XB 4 REF: 076-67005600"</f>
        <v>CATETER GUIA 6F XB 4 REF: 076-67005600</v>
      </c>
      <c r="C700" s="6">
        <v>375250</v>
      </c>
    </row>
    <row r="701" spans="1:3" x14ac:dyDescent="0.25">
      <c r="A701" s="5" t="str">
        <f>"8249"</f>
        <v>8249</v>
      </c>
      <c r="B701" s="5" t="str">
        <f>"BALON AMPHIRION 2.0 X 120 CM REF:AMD020120152"</f>
        <v>BALON AMPHIRION 2.0 X 120 CM REF:AMD020120152</v>
      </c>
      <c r="C701" s="6">
        <v>2000000</v>
      </c>
    </row>
    <row r="702" spans="1:3" x14ac:dyDescent="0.25">
      <c r="A702" s="5" t="str">
        <f>"8250"</f>
        <v>8250</v>
      </c>
      <c r="B702" s="5" t="str">
        <f>"CATETER GUIA 6F X BLAD 3.5  REF: 670-660-00"</f>
        <v>CATETER GUIA 6F X BLAD 3.5  REF: 670-660-00</v>
      </c>
      <c r="C702" s="6">
        <v>375250</v>
      </c>
    </row>
    <row r="703" spans="1:3" x14ac:dyDescent="0.25">
      <c r="A703" s="5" t="str">
        <f>"8251"</f>
        <v>8251</v>
      </c>
      <c r="B703" s="5" t="str">
        <f>"CATETER GUIA 6F AL 1 REF: 670-036-00"</f>
        <v>CATETER GUIA 6F AL 1 REF: 670-036-00</v>
      </c>
      <c r="C703" s="6">
        <v>375280</v>
      </c>
    </row>
    <row r="704" spans="1:3" x14ac:dyDescent="0.25">
      <c r="A704" s="5" t="str">
        <f>"8252"</f>
        <v>8252</v>
      </c>
      <c r="B704" s="5" t="str">
        <f>"CATETER GUIA 6F X B 3 REF: 670-052-00"</f>
        <v>CATETER GUIA 6F X B 3 REF: 670-052-00</v>
      </c>
      <c r="C704" s="6">
        <v>680000</v>
      </c>
    </row>
    <row r="705" spans="1:3" x14ac:dyDescent="0.25">
      <c r="A705" s="5" t="str">
        <f>"8253"</f>
        <v>8253</v>
      </c>
      <c r="B705" s="5" t="str">
        <f>"CATETER GUIA 6F XB 3.5 REF:67005400"</f>
        <v>CATETER GUIA 6F XB 3.5 REF:67005400</v>
      </c>
      <c r="C705" s="6">
        <v>371250</v>
      </c>
    </row>
    <row r="706" spans="1:3" x14ac:dyDescent="0.25">
      <c r="A706" s="5" t="str">
        <f>"8254"</f>
        <v>8254</v>
      </c>
      <c r="B706" s="5" t="str">
        <f>"CATETER GUIA 6F X B 3.5 SH REF: 670-055-00"</f>
        <v>CATETER GUIA 6F X B 3.5 SH REF: 670-055-00</v>
      </c>
      <c r="C706" s="6">
        <v>371250</v>
      </c>
    </row>
    <row r="707" spans="1:3" x14ac:dyDescent="0.25">
      <c r="A707" s="5" t="str">
        <f>"8255"</f>
        <v>8255</v>
      </c>
      <c r="B707" s="5" t="str">
        <f>"CATETER GUIA 5F X B 3.5 LBT REF: 556-054-OL"</f>
        <v>CATETER GUIA 5F X B 3.5 LBT REF: 556-054-OL</v>
      </c>
      <c r="C707" s="6">
        <v>371250</v>
      </c>
    </row>
    <row r="708" spans="1:3" x14ac:dyDescent="0.25">
      <c r="A708" s="5" t="str">
        <f>"8256"</f>
        <v>8256</v>
      </c>
      <c r="B708" s="5" t="str">
        <f>"CATETER GUIA 5F X B 4 LBT REF: 556-056-OL"</f>
        <v>CATETER GUIA 5F X B 4 LBT REF: 556-056-OL</v>
      </c>
      <c r="C708" s="6">
        <v>628000</v>
      </c>
    </row>
    <row r="709" spans="1:3" x14ac:dyDescent="0.25">
      <c r="A709" s="5" t="str">
        <f>"8257"</f>
        <v>8257</v>
      </c>
      <c r="B709" s="5" t="str">
        <f>"CATETER DIAGNOSTICO TRIO 5F"</f>
        <v>CATETER DIAGNOSTICO TRIO 5F</v>
      </c>
      <c r="C709" s="6">
        <v>262500</v>
      </c>
    </row>
    <row r="710" spans="1:3" x14ac:dyDescent="0.25">
      <c r="A710" s="5" t="str">
        <f>"8258"</f>
        <v>8258</v>
      </c>
      <c r="B710" s="5" t="str">
        <f>"CATETER DIAGNOSTICO TRIO 6F"</f>
        <v>CATETER DIAGNOSTICO TRIO 6F</v>
      </c>
      <c r="C710" s="6">
        <v>262500</v>
      </c>
    </row>
    <row r="711" spans="1:3" x14ac:dyDescent="0.25">
      <c r="A711" s="5" t="str">
        <f>"8259"</f>
        <v>8259</v>
      </c>
      <c r="B711" s="5" t="str">
        <f>"CATETER DIAGNOSTICO  5F JR 3.5  REF: 534-519T"</f>
        <v>CATETER DIAGNOSTICO  5F JR 3.5  REF: 534-519T</v>
      </c>
      <c r="C711" s="6">
        <v>441000</v>
      </c>
    </row>
    <row r="712" spans="1:3" x14ac:dyDescent="0.25">
      <c r="A712" s="5" t="str">
        <f>"8260"</f>
        <v>8260</v>
      </c>
      <c r="B712" s="5" t="str">
        <f>"H-CATETER GUIA 5 FR  JL 3.5"</f>
        <v>H-CATETER GUIA 5 FR  JL 3.5</v>
      </c>
      <c r="C712" s="6">
        <v>396900</v>
      </c>
    </row>
    <row r="713" spans="1:3" x14ac:dyDescent="0.25">
      <c r="A713" s="5" t="str">
        <f>"8261"</f>
        <v>8261</v>
      </c>
      <c r="B713" s="5" t="str">
        <f>"H-CATETER DIAGNOSTICO  MPA 2  6F REF: 534-642T"</f>
        <v>H-CATETER DIAGNOSTICO  MPA 2  6F REF: 534-642T</v>
      </c>
      <c r="C713" s="6">
        <v>100000</v>
      </c>
    </row>
    <row r="714" spans="1:3" x14ac:dyDescent="0.25">
      <c r="A714" s="5" t="str">
        <f>"8262"</f>
        <v>8262</v>
      </c>
      <c r="B714" s="5" t="str">
        <f>"H-CATETER DIAGNOSTICO 6F JR 4"</f>
        <v>H-CATETER DIAGNOSTICO 6F JR 4</v>
      </c>
      <c r="C714" s="6">
        <v>100000</v>
      </c>
    </row>
    <row r="715" spans="1:3" x14ac:dyDescent="0.25">
      <c r="A715" s="5" t="str">
        <f>"8263"</f>
        <v>8263</v>
      </c>
      <c r="B715" s="5" t="str">
        <f>"STENT RENAL HIPPOCAMPUS 6.0 X 20 mm REF:IHP060200145"</f>
        <v>STENT RENAL HIPPOCAMPUS 6.0 X 20 mm REF:IHP060200145</v>
      </c>
      <c r="C715" s="6">
        <v>3400000</v>
      </c>
    </row>
    <row r="716" spans="1:3" x14ac:dyDescent="0.25">
      <c r="A716" s="5" t="str">
        <f>"8264"</f>
        <v>8264</v>
      </c>
      <c r="B716" s="5" t="str">
        <f>"CATETER GUIA 6F  JR 3.5"</f>
        <v>CATETER GUIA 6F  JR 3.5</v>
      </c>
      <c r="C716" s="6">
        <v>396900</v>
      </c>
    </row>
    <row r="717" spans="1:3" x14ac:dyDescent="0.25">
      <c r="A717" s="5" t="str">
        <f>"8266"</f>
        <v>8266</v>
      </c>
      <c r="B717" s="5" t="str">
        <f>"STENT ABSORB RX  2.5 X 18 MM REF: 1012462-18"</f>
        <v>STENT ABSORB RX  2.5 X 18 MM REF: 1012462-18</v>
      </c>
      <c r="C717" s="6">
        <v>6149000</v>
      </c>
    </row>
    <row r="718" spans="1:3" x14ac:dyDescent="0.25">
      <c r="A718" s="5" t="str">
        <f>"8267"</f>
        <v>8267</v>
      </c>
      <c r="B718" s="5" t="str">
        <f>"STENT ABSORB 3.5 X 18 REF: 1012464-18"</f>
        <v>STENT ABSORB 3.5 X 18 REF: 1012464-18</v>
      </c>
      <c r="C718" s="6">
        <v>8100000</v>
      </c>
    </row>
    <row r="719" spans="1:3" x14ac:dyDescent="0.25">
      <c r="A719" s="5" t="str">
        <f>"8269"</f>
        <v>8269</v>
      </c>
      <c r="B719" s="5" t="str">
        <f>"STENT ABSORB RX 3.5 X 18 MM"</f>
        <v>STENT ABSORB RX 3.5 X 18 MM</v>
      </c>
      <c r="C719" s="6">
        <v>8100000</v>
      </c>
    </row>
    <row r="720" spans="1:3" x14ac:dyDescent="0.25">
      <c r="A720" s="5" t="str">
        <f>"8271"</f>
        <v>8271</v>
      </c>
      <c r="B720" s="5" t="str">
        <f>"STENT ABSORB RX 3.0 X 18 MM"</f>
        <v>STENT ABSORB RX 3.0 X 18 MM</v>
      </c>
      <c r="C720" s="6">
        <v>8100000</v>
      </c>
    </row>
    <row r="721" spans="1:3" x14ac:dyDescent="0.25">
      <c r="A721" s="5" t="str">
        <f>"8272"</f>
        <v>8272</v>
      </c>
      <c r="B721" s="5" t="str">
        <f>"H-STENT RESOLUTE ONYX 2,0 MM X 22 MM REF:RONYX20022X"</f>
        <v>H-STENT RESOLUTE ONYX 2,0 MM X 22 MM REF:RONYX20022X</v>
      </c>
      <c r="C721" s="6">
        <v>2430000</v>
      </c>
    </row>
    <row r="722" spans="1:3" x14ac:dyDescent="0.25">
      <c r="A722" s="5" t="str">
        <f>"8273"</f>
        <v>8273</v>
      </c>
      <c r="B722" s="5" t="str">
        <f>"CATETER DIAGNOSTICO 5F  AL 2 REF: 534-546T"</f>
        <v>CATETER DIAGNOSTICO 5F  AL 2 REF: 534-546T</v>
      </c>
      <c r="C722" s="6">
        <v>100000</v>
      </c>
    </row>
    <row r="723" spans="1:3" x14ac:dyDescent="0.25">
      <c r="A723" s="5" t="str">
        <f>"8279"</f>
        <v>8279</v>
      </c>
      <c r="B723" s="5" t="str">
        <f>"CATETER DIAGNOSTICO 5F JL  4 LBT-5560040L"</f>
        <v>CATETER DIAGNOSTICO 5F JL  4 LBT-5560040L</v>
      </c>
      <c r="C723" s="6">
        <v>396900</v>
      </c>
    </row>
    <row r="724" spans="1:3" x14ac:dyDescent="0.25">
      <c r="A724" s="5" t="str">
        <f>"8284"</f>
        <v>8284</v>
      </c>
      <c r="B724" s="5" t="str">
        <f>"CATETER DIAGNOSTICO 6F JR 3.5"</f>
        <v>CATETER DIAGNOSTICO 6F JR 3.5</v>
      </c>
      <c r="C724" s="6">
        <v>100000</v>
      </c>
    </row>
    <row r="725" spans="1:3" x14ac:dyDescent="0.25">
      <c r="A725" s="5" t="str">
        <f>"8297"</f>
        <v>8297</v>
      </c>
      <c r="B725" s="5" t="str">
        <f>"BALON SPRINTER LEGEND  2.5 X 20"</f>
        <v>BALON SPRINTER LEGEND  2.5 X 20</v>
      </c>
      <c r="C725" s="6">
        <v>877500</v>
      </c>
    </row>
    <row r="726" spans="1:3" x14ac:dyDescent="0.25">
      <c r="A726" s="5" t="str">
        <f>"8298"</f>
        <v>8298</v>
      </c>
      <c r="B726" s="5" t="str">
        <f>"STENT RESOLUTE 2.5 X 12 mm"</f>
        <v>STENT RESOLUTE 2.5 X 12 mm</v>
      </c>
      <c r="C726" s="6">
        <v>2430000</v>
      </c>
    </row>
    <row r="727" spans="1:3" x14ac:dyDescent="0.25">
      <c r="A727" s="5" t="str">
        <f>"8299"</f>
        <v>8299</v>
      </c>
      <c r="B727" s="5" t="str">
        <f>"STENT RESOLUTE 4.0 X 12"</f>
        <v>STENT RESOLUTE 4.0 X 12</v>
      </c>
      <c r="C727" s="6">
        <v>2430000</v>
      </c>
    </row>
    <row r="728" spans="1:3" x14ac:dyDescent="0.25">
      <c r="A728" s="5" t="str">
        <f>"8300"</f>
        <v>8300</v>
      </c>
      <c r="B728" s="5" t="str">
        <f>"H-STENT RESOLUTE  ONYX 2.5 mm X 26 mm REF:RONYX25026X"</f>
        <v>H-STENT RESOLUTE  ONYX 2.5 mm X 26 mm REF:RONYX25026X</v>
      </c>
      <c r="C728" s="6">
        <v>2430000</v>
      </c>
    </row>
    <row r="729" spans="1:3" x14ac:dyDescent="0.25">
      <c r="A729" s="5" t="str">
        <f>"8301"</f>
        <v>8301</v>
      </c>
      <c r="B729" s="5" t="str">
        <f>"STENT RESOLUTE 2.5 X 30 mm"</f>
        <v>STENT RESOLUTE 2.5 X 30 mm</v>
      </c>
      <c r="C729" s="6">
        <v>2430000</v>
      </c>
    </row>
    <row r="730" spans="1:3" x14ac:dyDescent="0.25">
      <c r="A730" s="5" t="str">
        <f>"8303"</f>
        <v>8303</v>
      </c>
      <c r="B730" s="5" t="str">
        <f>"H-INTRODUCTOR RADIAL  PRELUDE 5F REF:PSI-5F-7-018"</f>
        <v>H-INTRODUCTOR RADIAL  PRELUDE 5F REF:PSI-5F-7-018</v>
      </c>
      <c r="C730" s="6">
        <v>220000</v>
      </c>
    </row>
    <row r="731" spans="1:3" x14ac:dyDescent="0.25">
      <c r="A731" s="5" t="str">
        <f>"8304"</f>
        <v>8304</v>
      </c>
      <c r="B731" s="5" t="str">
        <f>"GUIA EMERALD 0,35 X 180CM"</f>
        <v>GUIA EMERALD 0,35 X 180CM</v>
      </c>
      <c r="C731" s="6">
        <v>76296</v>
      </c>
    </row>
    <row r="732" spans="1:3" x14ac:dyDescent="0.25">
      <c r="A732" s="5" t="str">
        <f>"8305"</f>
        <v>8305</v>
      </c>
      <c r="B732" s="5" t="str">
        <f>"STENT PALMAZ BLUE .014 6 MM X15MM REF:PB1560PPX"</f>
        <v>STENT PALMAZ BLUE .014 6 MM X15MM REF:PB1560PPX</v>
      </c>
      <c r="C732" s="6">
        <v>5250000</v>
      </c>
    </row>
    <row r="733" spans="1:3" x14ac:dyDescent="0.25">
      <c r="A733" s="5" t="str">
        <f>"8306"</f>
        <v>8306</v>
      </c>
      <c r="B733" s="5" t="str">
        <f>"STENT BLUE  6 X18 REF: PB1860PPX"</f>
        <v>STENT BLUE  6 X18 REF: PB1860PPX</v>
      </c>
      <c r="C733" s="6">
        <v>3118500</v>
      </c>
    </row>
    <row r="734" spans="1:3" x14ac:dyDescent="0.25">
      <c r="A734" s="5" t="str">
        <f>"8308"</f>
        <v>8308</v>
      </c>
      <c r="B734" s="5" t="str">
        <f>"BALON INPACT FALCON 2.50 X 20 REF:FLCP25020B12"</f>
        <v>BALON INPACT FALCON 2.50 X 20 REF:FLCP25020B12</v>
      </c>
      <c r="C734" s="6">
        <v>3890000</v>
      </c>
    </row>
    <row r="735" spans="1:3" x14ac:dyDescent="0.25">
      <c r="A735" s="5" t="str">
        <f>"8309"</f>
        <v>8309</v>
      </c>
      <c r="B735" s="5" t="str">
        <f>"STENT PALMAZ BLUE 014 -5MM X 24MM REF: PB2450PPX"</f>
        <v>STENT PALMAZ BLUE 014 -5MM X 24MM REF: PB2450PPX</v>
      </c>
      <c r="C735" s="6">
        <v>3118500</v>
      </c>
    </row>
    <row r="736" spans="1:3" x14ac:dyDescent="0.25">
      <c r="A736" s="5" t="str">
        <f>"8310"</f>
        <v>8310</v>
      </c>
      <c r="B736" s="5" t="str">
        <f>"H-EMPIRA PTCA RX 2.0 X 15"</f>
        <v>H-EMPIRA PTCA RX 2.0 X 15</v>
      </c>
      <c r="C736" s="6">
        <v>675000</v>
      </c>
    </row>
    <row r="737" spans="1:3" x14ac:dyDescent="0.25">
      <c r="A737" s="5" t="str">
        <f>"8311"</f>
        <v>8311</v>
      </c>
      <c r="B737" s="5" t="str">
        <f>"H-EXTENSION DE ALTA PRESION HP 120-HEMODINAMIA"</f>
        <v>H-EXTENSION DE ALTA PRESION HP 120-HEMODINAMIA</v>
      </c>
      <c r="C737" s="6">
        <v>160585</v>
      </c>
    </row>
    <row r="738" spans="1:3" x14ac:dyDescent="0.25">
      <c r="A738" s="5" t="str">
        <f>"8312"</f>
        <v>8312</v>
      </c>
      <c r="B738" s="5" t="str">
        <f>"STENT RESOLUTE ONYX 2.0 X 15 REF:RONYX20015X"</f>
        <v>STENT RESOLUTE ONYX 2.0 X 15 REF:RONYX20015X</v>
      </c>
      <c r="C738" s="6">
        <v>2430000</v>
      </c>
    </row>
    <row r="739" spans="1:3" x14ac:dyDescent="0.25">
      <c r="A739" s="5" t="str">
        <f>"8313"</f>
        <v>8313</v>
      </c>
      <c r="B739" s="5" t="str">
        <f>"BALON  EUPHORA 1.5 X 20 REF:EUP1520X"</f>
        <v>BALON  EUPHORA 1.5 X 20 REF:EUP1520X</v>
      </c>
      <c r="C739" s="6">
        <v>877500</v>
      </c>
    </row>
    <row r="740" spans="1:3" x14ac:dyDescent="0.25">
      <c r="A740" s="5" t="str">
        <f>"8314"</f>
        <v>8314</v>
      </c>
      <c r="B740" s="5" t="str">
        <f>"BALON NC SPRINTER 2,0 X 21"</f>
        <v>BALON NC SPRINTER 2,0 X 21</v>
      </c>
      <c r="C740" s="6">
        <v>877500</v>
      </c>
    </row>
    <row r="741" spans="1:3" x14ac:dyDescent="0.25">
      <c r="A741" s="5" t="str">
        <f>"8315"</f>
        <v>8315</v>
      </c>
      <c r="B741" s="5" t="str">
        <f>"BALON NC SPRINTER 2,5  X 15"</f>
        <v>BALON NC SPRINTER 2,5  X 15</v>
      </c>
      <c r="C741" s="6">
        <v>877500</v>
      </c>
    </row>
    <row r="742" spans="1:3" x14ac:dyDescent="0.25">
      <c r="A742" s="5" t="str">
        <f>"8316"</f>
        <v>8316</v>
      </c>
      <c r="B742" s="5" t="str">
        <f>"STENT RESOLUTE ONYX 3,5 X 18 REF:RONYX35018X"</f>
        <v>STENT RESOLUTE ONYX 3,5 X 18 REF:RONYX35018X</v>
      </c>
      <c r="C742" s="6">
        <v>2430000</v>
      </c>
    </row>
    <row r="743" spans="1:3" x14ac:dyDescent="0.25">
      <c r="A743" s="5" t="str">
        <f>"8318"</f>
        <v>8318</v>
      </c>
      <c r="B743" s="5" t="str">
        <f>"BALON  SPRINTER LEGEND 2.75MM X 20MM REF:SPL27520X"</f>
        <v>BALON  SPRINTER LEGEND 2.75MM X 20MM REF:SPL27520X</v>
      </c>
      <c r="C743" s="6">
        <v>877500</v>
      </c>
    </row>
    <row r="744" spans="1:3" x14ac:dyDescent="0.25">
      <c r="A744" s="5" t="str">
        <f>"8319"</f>
        <v>8319</v>
      </c>
      <c r="B744" s="5" t="str">
        <f>"STENT BLUE  5 X 15 REF: PB1550PPX"</f>
        <v>STENT BLUE  5 X 15 REF: PB1550PPX</v>
      </c>
      <c r="C744" s="6">
        <v>3118500</v>
      </c>
    </row>
    <row r="745" spans="1:3" x14ac:dyDescent="0.25">
      <c r="A745" s="5" t="str">
        <f>"8320"</f>
        <v>8320</v>
      </c>
      <c r="B745" s="5" t="str">
        <f>"STENT XIENCE V 2,25 X 28"</f>
        <v>STENT XIENCE V 2,25 X 28</v>
      </c>
      <c r="C745" s="6">
        <v>5650000</v>
      </c>
    </row>
    <row r="746" spans="1:3" x14ac:dyDescent="0.25">
      <c r="A746" s="5" t="str">
        <f>"8321"</f>
        <v>8321</v>
      </c>
      <c r="B746" s="5" t="str">
        <f>"STENT INTEGRITY 4.0 X 15 REF: INT40015X"</f>
        <v>STENT INTEGRITY 4.0 X 15 REF: INT40015X</v>
      </c>
      <c r="C746" s="6">
        <v>945000</v>
      </c>
    </row>
    <row r="747" spans="1:3" x14ac:dyDescent="0.25">
      <c r="A747" s="5" t="str">
        <f>"8322"</f>
        <v>8322</v>
      </c>
      <c r="B747" s="5" t="str">
        <f>"STENT BLUE  7 X 24"</f>
        <v>STENT BLUE  7 X 24</v>
      </c>
      <c r="C747" s="6">
        <v>3118500</v>
      </c>
    </row>
    <row r="748" spans="1:3" x14ac:dyDescent="0.25">
      <c r="A748" s="5" t="str">
        <f>"8324"</f>
        <v>8324</v>
      </c>
      <c r="B748" s="5" t="str">
        <f>"INTRODUCTOR FEMORAL  LARGO 6F x 23 CM REF: 401623M"</f>
        <v>INTRODUCTOR FEMORAL  LARGO 6F x 23 CM REF: 401623M</v>
      </c>
      <c r="C748" s="6">
        <v>107000</v>
      </c>
    </row>
    <row r="749" spans="1:3" x14ac:dyDescent="0.25">
      <c r="A749" s="5" t="str">
        <f>"8325"</f>
        <v>8325</v>
      </c>
      <c r="B749" s="5" t="str">
        <f>"H-GUIA MIRACLE 0.14 x 180"</f>
        <v>H-GUIA MIRACLE 0.14 x 180</v>
      </c>
      <c r="C749" s="6">
        <v>469800</v>
      </c>
    </row>
    <row r="750" spans="1:3" x14ac:dyDescent="0.25">
      <c r="A750" s="5" t="str">
        <f>"8326"</f>
        <v>8326</v>
      </c>
      <c r="B750" s="5" t="str">
        <f>"BALON  SPRINTER LEGEND 3.0 x 21"</f>
        <v>BALON  SPRINTER LEGEND 3.0 x 21</v>
      </c>
      <c r="C750" s="6">
        <v>680000</v>
      </c>
    </row>
    <row r="751" spans="1:3" x14ac:dyDescent="0.25">
      <c r="A751" s="5" t="str">
        <f>"8327"</f>
        <v>8327</v>
      </c>
      <c r="B751" s="5" t="str">
        <f>"H-BALON EMPIRA PTCA RX 2.75 X 25"</f>
        <v>H-BALON EMPIRA PTCA RX 2.75 X 25</v>
      </c>
      <c r="C751" s="6">
        <v>825000</v>
      </c>
    </row>
    <row r="752" spans="1:3" x14ac:dyDescent="0.25">
      <c r="A752" s="5" t="str">
        <f>"8328"</f>
        <v>8328</v>
      </c>
      <c r="B752" s="5" t="str">
        <f>"CATETER GUIA  LAUNCHER 6F EBU 3.0  REF: LA6EBU3.0"</f>
        <v>CATETER GUIA  LAUNCHER 6F EBU 3.0  REF: LA6EBU3.0</v>
      </c>
      <c r="C752" s="6">
        <v>326250</v>
      </c>
    </row>
    <row r="753" spans="1:3" x14ac:dyDescent="0.25">
      <c r="A753" s="5" t="str">
        <f>"8329"</f>
        <v>8329</v>
      </c>
      <c r="B753" s="5" t="str">
        <f>"STENT XIENCE V  2,75 X 18"</f>
        <v>STENT XIENCE V  2,75 X 18</v>
      </c>
      <c r="C753" s="6">
        <v>5650000</v>
      </c>
    </row>
    <row r="754" spans="1:3" x14ac:dyDescent="0.25">
      <c r="A754" s="5" t="str">
        <f>"8330"</f>
        <v>8330</v>
      </c>
      <c r="B754" s="5" t="str">
        <f>"CATETER DIAGNOSTICO 5F  JL5-REF 534-522T"</f>
        <v>CATETER DIAGNOSTICO 5F  JL5-REF 534-522T</v>
      </c>
      <c r="C754" s="6">
        <v>100000</v>
      </c>
    </row>
    <row r="755" spans="1:3" x14ac:dyDescent="0.25">
      <c r="A755" s="5" t="str">
        <f>"8331"</f>
        <v>8331</v>
      </c>
      <c r="B755" s="5" t="str">
        <f>"CATETER DIAGNOSTICO 5F AR I"</f>
        <v>CATETER DIAGNOSTICO 5F AR I</v>
      </c>
      <c r="C755" s="6">
        <v>100000</v>
      </c>
    </row>
    <row r="756" spans="1:3" x14ac:dyDescent="0.25">
      <c r="A756" s="5" t="str">
        <f>"8332"</f>
        <v>8332</v>
      </c>
      <c r="B756" s="5" t="str">
        <f>"GUIA WHISPER MS  0,014 X 190CM REF: 1005357HT"</f>
        <v>GUIA WHISPER MS  0,014 X 190CM REF: 1005357HT</v>
      </c>
      <c r="C756" s="6">
        <v>454140</v>
      </c>
    </row>
    <row r="757" spans="1:3" x14ac:dyDescent="0.25">
      <c r="A757" s="5" t="str">
        <f>"8333"</f>
        <v>8333</v>
      </c>
      <c r="B757" s="5" t="str">
        <f>"CATETER GUIA 5F JL 4  LBT REF: 556-004-OL"</f>
        <v>CATETER GUIA 5F JL 4  LBT REF: 556-004-OL</v>
      </c>
      <c r="C757" s="6">
        <v>396900</v>
      </c>
    </row>
    <row r="758" spans="1:3" x14ac:dyDescent="0.25">
      <c r="A758" s="5" t="str">
        <f>"8334"</f>
        <v>8334</v>
      </c>
      <c r="B758" s="5" t="str">
        <f>"GUIA WHISPER   MS"</f>
        <v>GUIA WHISPER   MS</v>
      </c>
      <c r="C758" s="6">
        <v>360000</v>
      </c>
    </row>
    <row r="759" spans="1:3" x14ac:dyDescent="0.25">
      <c r="A759" s="5" t="str">
        <f>"8335"</f>
        <v>8335</v>
      </c>
      <c r="B759" s="5" t="str">
        <f>"CATETER DIAGNOSTICO  5F  IM REF: 534-560T"</f>
        <v>CATETER DIAGNOSTICO  5F  IM REF: 534-560T</v>
      </c>
      <c r="C759" s="6">
        <v>100000</v>
      </c>
    </row>
    <row r="760" spans="1:3" x14ac:dyDescent="0.25">
      <c r="A760" s="5" t="str">
        <f>"8336"</f>
        <v>8336</v>
      </c>
      <c r="B760" s="5" t="str">
        <f>"INTRODUCTOR FEMORAL 6F  45CM  REF: 401-645M"</f>
        <v>INTRODUCTOR FEMORAL 6F  45CM  REF: 401-645M</v>
      </c>
      <c r="C760" s="6">
        <v>107000</v>
      </c>
    </row>
    <row r="761" spans="1:3" x14ac:dyDescent="0.25">
      <c r="A761" s="5" t="str">
        <f>"8337"</f>
        <v>8337</v>
      </c>
      <c r="B761" s="5" t="str">
        <f>"CATETER DIAGNOSTICO  5F VER135°  REF: 451-514HO"</f>
        <v>CATETER DIAGNOSTICO  5F VER135°  REF: 451-514HO</v>
      </c>
      <c r="C761" s="6">
        <v>100000</v>
      </c>
    </row>
    <row r="762" spans="1:3" x14ac:dyDescent="0.25">
      <c r="A762" s="5" t="str">
        <f>"8338"</f>
        <v>8338</v>
      </c>
      <c r="B762" s="5" t="str">
        <f>"BALON PÓWER FLEX PRO 4 X 4"</f>
        <v>BALON PÓWER FLEX PRO 4 X 4</v>
      </c>
      <c r="C762" s="6">
        <v>861300</v>
      </c>
    </row>
    <row r="763" spans="1:3" x14ac:dyDescent="0.25">
      <c r="A763" s="5" t="str">
        <f>"8339"</f>
        <v>8339</v>
      </c>
      <c r="B763" s="5" t="str">
        <f>"STENT SMART CONTROL  10 X 60 MM"</f>
        <v>STENT SMART CONTROL  10 X 60 MM</v>
      </c>
      <c r="C763" s="6">
        <v>5000000</v>
      </c>
    </row>
    <row r="764" spans="1:3" x14ac:dyDescent="0.25">
      <c r="A764" s="5" t="str">
        <f>"8340"</f>
        <v>8340</v>
      </c>
      <c r="B764" s="5" t="str">
        <f>"STENT ABSOLUTE PRO 90 X 80"</f>
        <v>STENT ABSOLUTE PRO 90 X 80</v>
      </c>
      <c r="C764" s="6">
        <v>5000000</v>
      </c>
    </row>
    <row r="765" spans="1:3" x14ac:dyDescent="0.25">
      <c r="A765" s="5" t="str">
        <f>"8341"</f>
        <v>8341</v>
      </c>
      <c r="B765" s="5" t="str">
        <f>"STENT ABSOLUTE PRO 10 X  20"</f>
        <v>STENT ABSOLUTE PRO 10 X  20</v>
      </c>
      <c r="C765" s="6">
        <v>5000000</v>
      </c>
    </row>
    <row r="766" spans="1:3" x14ac:dyDescent="0.25">
      <c r="A766" s="5" t="str">
        <f>"8342"</f>
        <v>8342</v>
      </c>
      <c r="B766" s="5" t="str">
        <f>"CATETER VERTEBRAL 5F HIDROFILICO"</f>
        <v>CATETER VERTEBRAL 5F HIDROFILICO</v>
      </c>
      <c r="C766" s="6">
        <v>360000</v>
      </c>
    </row>
    <row r="767" spans="1:3" x14ac:dyDescent="0.25">
      <c r="A767" s="5" t="str">
        <f>"8343"</f>
        <v>8343</v>
      </c>
      <c r="B767" s="5" t="str">
        <f>"STENT SMART CONTROL  6 X 150 MM REF: C06150MV"</f>
        <v>STENT SMART CONTROL  6 X 150 MM REF: C06150MV</v>
      </c>
      <c r="C767" s="6">
        <v>5000000</v>
      </c>
    </row>
    <row r="768" spans="1:3" x14ac:dyDescent="0.25">
      <c r="A768" s="5" t="str">
        <f>"8344"</f>
        <v>8344</v>
      </c>
      <c r="B768" s="5" t="str">
        <f>"STENT POWERFLEX 10 X 2"</f>
        <v>STENT POWERFLEX 10 X 2</v>
      </c>
      <c r="C768" s="6">
        <v>5000000</v>
      </c>
    </row>
    <row r="769" spans="1:3" x14ac:dyDescent="0.25">
      <c r="A769" s="5" t="str">
        <f>"8345"</f>
        <v>8345</v>
      </c>
      <c r="B769" s="5" t="str">
        <f>"STENT RESOLUTE ONYX 2,75 X 15 REF:RONYX27515X"</f>
        <v>STENT RESOLUTE ONYX 2,75 X 15 REF:RONYX27515X</v>
      </c>
      <c r="C769" s="6">
        <v>2430000</v>
      </c>
    </row>
    <row r="770" spans="1:3" x14ac:dyDescent="0.25">
      <c r="A770" s="5" t="str">
        <f>"8346"</f>
        <v>8346</v>
      </c>
      <c r="B770" s="5" t="str">
        <f>"STENT RESOLUTE Onyx 2,25 X 26 REF: RONYX22526X"</f>
        <v>STENT RESOLUTE Onyx 2,25 X 26 REF: RONYX22526X</v>
      </c>
      <c r="C770" s="6">
        <v>2430000</v>
      </c>
    </row>
    <row r="771" spans="1:3" x14ac:dyDescent="0.25">
      <c r="A771" s="5" t="str">
        <f>"8347"</f>
        <v>8347</v>
      </c>
      <c r="B771" s="5" t="str">
        <f>"GUIA SUPRA CORE 0.35X 300 REF: 1002703-02"</f>
        <v>GUIA SUPRA CORE 0.35X 300 REF: 1002703-02</v>
      </c>
      <c r="C771" s="6">
        <v>454140</v>
      </c>
    </row>
    <row r="772" spans="1:3" x14ac:dyDescent="0.25">
      <c r="A772" s="5" t="str">
        <f>"8348"</f>
        <v>8348</v>
      </c>
      <c r="B772" s="5" t="str">
        <f>"STENT BLUE  6 X 24  REF: PB2460PPX"</f>
        <v>STENT BLUE  6 X 24  REF: PB2460PPX</v>
      </c>
      <c r="C772" s="6">
        <v>3118500</v>
      </c>
    </row>
    <row r="773" spans="1:3" x14ac:dyDescent="0.25">
      <c r="A773" s="5" t="str">
        <f>"8349"</f>
        <v>8349</v>
      </c>
      <c r="B773" s="5" t="str">
        <f>"STENT RESOLUTE MEDICADO 2.75 X 14"</f>
        <v>STENT RESOLUTE MEDICADO 2.75 X 14</v>
      </c>
      <c r="C773" s="6">
        <v>2430000</v>
      </c>
    </row>
    <row r="774" spans="1:3" x14ac:dyDescent="0.25">
      <c r="A774" s="5" t="str">
        <f>"8350"</f>
        <v>8350</v>
      </c>
      <c r="B774" s="5" t="str">
        <f>"BALON TYSHAK 16MM X 5CM"</f>
        <v>BALON TYSHAK 16MM X 5CM</v>
      </c>
      <c r="C774" s="6">
        <v>6720000</v>
      </c>
    </row>
    <row r="775" spans="1:3" x14ac:dyDescent="0.25">
      <c r="A775" s="5" t="str">
        <f>"8351"</f>
        <v>8351</v>
      </c>
      <c r="B775" s="5" t="str">
        <f>"H-GUIA INTRADE SUPER STIFF 0.35 X 260CM"</f>
        <v>H-GUIA INTRADE SUPER STIFF 0.35 X 260CM</v>
      </c>
      <c r="C775" s="6">
        <v>324000</v>
      </c>
    </row>
    <row r="776" spans="1:3" x14ac:dyDescent="0.25">
      <c r="A776" s="5" t="str">
        <f>"8352"</f>
        <v>8352</v>
      </c>
      <c r="B776" s="5" t="str">
        <f>"H-BALON EMPIRA NC  2.75  X 20"</f>
        <v>H-BALON EMPIRA NC  2.75  X 20</v>
      </c>
      <c r="C776" s="6">
        <v>877500</v>
      </c>
    </row>
    <row r="777" spans="1:3" x14ac:dyDescent="0.25">
      <c r="A777" s="5" t="str">
        <f>"8353"</f>
        <v>8353</v>
      </c>
      <c r="B777" s="5" t="str">
        <f>"STENT RESOLUTE ONYX 2,5 mm X 15 mm REF:RONYX25015X"</f>
        <v>STENT RESOLUTE ONYX 2,5 mm X 15 mm REF:RONYX25015X</v>
      </c>
      <c r="C777" s="6">
        <v>2610000</v>
      </c>
    </row>
    <row r="778" spans="1:3" x14ac:dyDescent="0.25">
      <c r="A778" s="5" t="str">
        <f>"8355"</f>
        <v>8355</v>
      </c>
      <c r="B778" s="5" t="str">
        <f>"STENT XIENCE V  2,75 X 28"</f>
        <v>STENT XIENCE V  2,75 X 28</v>
      </c>
      <c r="C778" s="6">
        <v>5650000</v>
      </c>
    </row>
    <row r="779" spans="1:3" x14ac:dyDescent="0.25">
      <c r="A779" s="5" t="str">
        <f>"8356"</f>
        <v>8356</v>
      </c>
      <c r="B779" s="5" t="str">
        <f>"STENT RESOLUTE MEDICADO 2,25 X 28"</f>
        <v>STENT RESOLUTE MEDICADO 2,25 X 28</v>
      </c>
      <c r="C779" s="6">
        <v>2430000</v>
      </c>
    </row>
    <row r="780" spans="1:3" x14ac:dyDescent="0.25">
      <c r="A780" s="5" t="str">
        <f>"8357"</f>
        <v>8357</v>
      </c>
      <c r="B780" s="5" t="str">
        <f>"CATETER GUIA  LAUNCHER 6F EBU  4.0 REF: LA6EBU4.0"</f>
        <v>CATETER GUIA  LAUNCHER 6F EBU  4.0 REF: LA6EBU4.0</v>
      </c>
      <c r="C780" s="6">
        <v>326250</v>
      </c>
    </row>
    <row r="781" spans="1:3" x14ac:dyDescent="0.25">
      <c r="A781" s="5" t="str">
        <f>"8358"</f>
        <v>8358</v>
      </c>
      <c r="B781" s="5" t="str">
        <f>"H-EMPIRA PTCA RX 15 X 20"</f>
        <v>H-EMPIRA PTCA RX 15 X 20</v>
      </c>
      <c r="C781" s="6">
        <v>725000</v>
      </c>
    </row>
    <row r="782" spans="1:3" x14ac:dyDescent="0.25">
      <c r="A782" s="5" t="str">
        <f>"8359"</f>
        <v>8359</v>
      </c>
      <c r="B782" s="5" t="str">
        <f>"H-EMPIRA PTCA RX 15 X 15"</f>
        <v>H-EMPIRA PTCA RX 15 X 15</v>
      </c>
      <c r="C782" s="6">
        <v>725000</v>
      </c>
    </row>
    <row r="783" spans="1:3" x14ac:dyDescent="0.25">
      <c r="A783" s="5" t="str">
        <f>"8360"</f>
        <v>8360</v>
      </c>
      <c r="B783" s="5" t="str">
        <f>"CATETER GUIA 5F JR 5"</f>
        <v>CATETER GUIA 5F JR 5</v>
      </c>
      <c r="C783" s="6">
        <v>100000</v>
      </c>
    </row>
    <row r="784" spans="1:3" x14ac:dyDescent="0.25">
      <c r="A784" s="5" t="str">
        <f>"8361"</f>
        <v>8361</v>
      </c>
      <c r="B784" s="5" t="str">
        <f>"H-GUIA  COMMAND ES 0.014 X 300 REF: 2078175"</f>
        <v>H-GUIA  COMMAND ES 0.014 X 300 REF: 2078175</v>
      </c>
      <c r="C784" s="6">
        <v>464000</v>
      </c>
    </row>
    <row r="785" spans="1:3" x14ac:dyDescent="0.25">
      <c r="A785" s="5" t="str">
        <f>"8362"</f>
        <v>8362</v>
      </c>
      <c r="B785" s="5" t="str">
        <f>"BALON MINITREK 1,0 X 20"</f>
        <v>BALON MINITREK 1,0 X 20</v>
      </c>
      <c r="C785" s="6">
        <v>742000</v>
      </c>
    </row>
    <row r="786" spans="1:3" x14ac:dyDescent="0.25">
      <c r="A786" s="5" t="str">
        <f>"8363"</f>
        <v>8363</v>
      </c>
      <c r="B786" s="5" t="str">
        <f>"STENT XIENCE X PEDITION LL 3,0 X 18"</f>
        <v>STENT XIENCE X PEDITION LL 3,0 X 18</v>
      </c>
      <c r="C786" s="6">
        <v>4194450</v>
      </c>
    </row>
    <row r="787" spans="1:3" x14ac:dyDescent="0.25">
      <c r="A787" s="5" t="str">
        <f>"8409"</f>
        <v>8409</v>
      </c>
      <c r="B787" s="5" t="str">
        <f>"BALON NC TREK  2,00 X 15- REF 10144060"</f>
        <v>BALON NC TREK  2,00 X 15- REF 10144060</v>
      </c>
      <c r="C787" s="6">
        <v>742000</v>
      </c>
    </row>
    <row r="788" spans="1:3" x14ac:dyDescent="0.25">
      <c r="A788" s="5" t="str">
        <f>"8410"</f>
        <v>8410</v>
      </c>
      <c r="B788" s="5" t="str">
        <f>"BALON MINITREK 4,0 X 15"</f>
        <v>BALON MINITREK 4,0 X 15</v>
      </c>
      <c r="C788" s="6">
        <v>742000</v>
      </c>
    </row>
    <row r="789" spans="1:3" x14ac:dyDescent="0.25">
      <c r="A789" s="5" t="str">
        <f>"8411"</f>
        <v>8411</v>
      </c>
      <c r="B789" s="5" t="str">
        <f>"BALON MINITREK 2.5 X 15"</f>
        <v>BALON MINITREK 2.5 X 15</v>
      </c>
      <c r="C789" s="6">
        <v>742000</v>
      </c>
    </row>
    <row r="790" spans="1:3" x14ac:dyDescent="0.25">
      <c r="A790" s="5" t="str">
        <f>"8412"</f>
        <v>8412</v>
      </c>
      <c r="B790" s="5" t="str">
        <f>"BALON MINITREK 2.25 X 8"</f>
        <v>BALON MINITREK 2.25 X 8</v>
      </c>
      <c r="C790" s="6">
        <v>742000</v>
      </c>
    </row>
    <row r="791" spans="1:3" x14ac:dyDescent="0.25">
      <c r="A791" s="5" t="str">
        <f>"8413"</f>
        <v>8413</v>
      </c>
      <c r="B791" s="5" t="str">
        <f>"STENT XIENCE V 2,25 X 8"</f>
        <v>STENT XIENCE V 2,25 X 8</v>
      </c>
      <c r="C791" s="6">
        <v>5650000</v>
      </c>
    </row>
    <row r="792" spans="1:3" x14ac:dyDescent="0.25">
      <c r="A792" s="5" t="str">
        <f>"8414"</f>
        <v>8414</v>
      </c>
      <c r="B792" s="5" t="str">
        <f>"STENT XIENCE EXPEDITION 2,75 X12 REF:1070275-12"</f>
        <v>STENT XIENCE EXPEDITION 2,75 X12 REF:1070275-12</v>
      </c>
      <c r="C792" s="6">
        <v>5650000</v>
      </c>
    </row>
    <row r="793" spans="1:3" x14ac:dyDescent="0.25">
      <c r="A793" s="5" t="str">
        <f>"8421"</f>
        <v>8421</v>
      </c>
      <c r="B793" s="5" t="str">
        <f>"GUIA PT GRAPHIX 0.14 X 182"</f>
        <v>GUIA PT GRAPHIX 0.14 X 182</v>
      </c>
      <c r="C793" s="6">
        <v>538356</v>
      </c>
    </row>
    <row r="794" spans="1:3" x14ac:dyDescent="0.25">
      <c r="A794" s="5" t="str">
        <f>"8422"</f>
        <v>8422</v>
      </c>
      <c r="B794" s="5" t="str">
        <f>"STENT BLUE  0.014  6 X 2"</f>
        <v>STENT BLUE  0.014  6 X 2</v>
      </c>
      <c r="C794" s="6">
        <v>3118500</v>
      </c>
    </row>
    <row r="795" spans="1:3" x14ac:dyDescent="0.25">
      <c r="A795" s="5" t="str">
        <f>"8423"</f>
        <v>8423</v>
      </c>
      <c r="B795" s="5" t="str">
        <f>"H-BALON EMPIRA PTCA RX 2.0 X 20"</f>
        <v>H-BALON EMPIRA PTCA RX 2.0 X 20</v>
      </c>
      <c r="C795" s="6">
        <v>675000</v>
      </c>
    </row>
    <row r="796" spans="1:3" x14ac:dyDescent="0.25">
      <c r="A796" s="5" t="str">
        <f>"8424"</f>
        <v>8424</v>
      </c>
      <c r="B796" s="5" t="str">
        <f>"CATETER GUIA 6F AL 2 REF: 670-040-00"</f>
        <v>CATETER GUIA 6F AL 2 REF: 670-040-00</v>
      </c>
      <c r="C796" s="6">
        <v>396900</v>
      </c>
    </row>
    <row r="797" spans="1:3" x14ac:dyDescent="0.25">
      <c r="A797" s="5" t="str">
        <f>"8426"</f>
        <v>8426</v>
      </c>
      <c r="B797" s="5" t="str">
        <f>"CATETER GUIA 6F XB 3.5 REF: 670-054-00"</f>
        <v>CATETER GUIA 6F XB 3.5 REF: 670-054-00</v>
      </c>
      <c r="C797" s="6">
        <v>396900</v>
      </c>
    </row>
    <row r="798" spans="1:3" x14ac:dyDescent="0.25">
      <c r="A798" s="5" t="str">
        <f>"8427"</f>
        <v>8427</v>
      </c>
      <c r="B798" s="5" t="str">
        <f>"CATETER GUIA RENAL 6F  RDC REF: 670-212-55"</f>
        <v>CATETER GUIA RENAL 6F  RDC REF: 670-212-55</v>
      </c>
      <c r="C798" s="6">
        <v>680000</v>
      </c>
    </row>
    <row r="799" spans="1:3" x14ac:dyDescent="0.25">
      <c r="A799" s="5" t="str">
        <f>"8429"</f>
        <v>8429</v>
      </c>
      <c r="B799" s="5" t="str">
        <f>"SISTEMA DE LIBERACION-L-201512223 12F-CLMD"</f>
        <v>SISTEMA DE LIBERACION-L-201512223 12F-CLMD</v>
      </c>
      <c r="C799" s="6">
        <v>1620000</v>
      </c>
    </row>
    <row r="800" spans="1:3" x14ac:dyDescent="0.25">
      <c r="A800" s="5" t="str">
        <f>"8430"</f>
        <v>8430</v>
      </c>
      <c r="B800" s="5" t="str">
        <f>"GUIA SUPER STIFF-REF  831404"</f>
        <v>GUIA SUPER STIFF-REF  831404</v>
      </c>
      <c r="C800" s="6">
        <v>396000</v>
      </c>
    </row>
    <row r="801" spans="1:3" x14ac:dyDescent="0.25">
      <c r="A801" s="5" t="str">
        <f>"8431"</f>
        <v>8431</v>
      </c>
      <c r="B801" s="5" t="str">
        <f>"BALON MEDICION 25X4 - L-APX0840"</f>
        <v>BALON MEDICION 25X4 - L-APX0840</v>
      </c>
      <c r="C801" s="6">
        <v>1386000</v>
      </c>
    </row>
    <row r="802" spans="1:3" x14ac:dyDescent="0.25">
      <c r="A802" s="5" t="str">
        <f>"8432"</f>
        <v>8432</v>
      </c>
      <c r="B802" s="5" t="str">
        <f>"SISTEMA DE LIBERACION 14FR-20140827"</f>
        <v>SISTEMA DE LIBERACION 14FR-20140827</v>
      </c>
      <c r="C802" s="6">
        <v>2376000</v>
      </c>
    </row>
    <row r="803" spans="1:3" x14ac:dyDescent="0.25">
      <c r="A803" s="5" t="str">
        <f>"8433"</f>
        <v>8433</v>
      </c>
      <c r="B803" s="5" t="str">
        <f>"HYPERION OCCLUDER ADS 32mm   SN.1406832"</f>
        <v>HYPERION OCCLUDER ADS 32mm   SN.1406832</v>
      </c>
      <c r="C803" s="6">
        <v>15000000</v>
      </c>
    </row>
    <row r="804" spans="1:3" x14ac:dyDescent="0.25">
      <c r="A804" s="5" t="str">
        <f>"8510"</f>
        <v>8510</v>
      </c>
      <c r="B804" s="5" t="str">
        <f>"H-BALON MINITREK 2,00 X 20 REF: 10143989"</f>
        <v>H-BALON MINITREK 2,00 X 20 REF: 10143989</v>
      </c>
      <c r="C804" s="6">
        <v>742000</v>
      </c>
    </row>
    <row r="805" spans="1:3" x14ac:dyDescent="0.25">
      <c r="A805" s="5" t="str">
        <f>"8515"</f>
        <v>8515</v>
      </c>
      <c r="B805" s="5" t="str">
        <f>"H-STENT XIENCE EXPEDITION 2.5 X 18 REF: 1070250-18"</f>
        <v>H-STENT XIENCE EXPEDITION 2.5 X 18 REF: 1070250-18</v>
      </c>
      <c r="C805" s="6">
        <v>4194450</v>
      </c>
    </row>
    <row r="806" spans="1:3" x14ac:dyDescent="0.25">
      <c r="A806" s="5" t="str">
        <f>"8523"</f>
        <v>8523</v>
      </c>
      <c r="B806" s="5" t="str">
        <f>"STENT BLUE  5 X18"</f>
        <v>STENT BLUE  5 X18</v>
      </c>
      <c r="C806" s="6">
        <v>3118500</v>
      </c>
    </row>
    <row r="807" spans="1:3" x14ac:dyDescent="0.25">
      <c r="A807" s="5" t="str">
        <f>"8524"</f>
        <v>8524</v>
      </c>
      <c r="B807" s="5" t="str">
        <f>"STENT SMART CONTROL 6 X 120 CM REF: C06120MV"</f>
        <v>STENT SMART CONTROL 6 X 120 CM REF: C06120MV</v>
      </c>
      <c r="C807" s="6">
        <v>5000000</v>
      </c>
    </row>
    <row r="808" spans="1:3" x14ac:dyDescent="0.25">
      <c r="A808" s="5" t="str">
        <f>"8525"</f>
        <v>8525</v>
      </c>
      <c r="B808" s="5" t="str">
        <f>"STENT SMART CONTROL 10 X 80 MM REF: C10080MV"</f>
        <v>STENT SMART CONTROL 10 X 80 MM REF: C10080MV</v>
      </c>
      <c r="C808" s="6">
        <v>5000000</v>
      </c>
    </row>
    <row r="809" spans="1:3" x14ac:dyDescent="0.25">
      <c r="A809" s="5" t="str">
        <f>"8528"</f>
        <v>8528</v>
      </c>
      <c r="B809" s="5" t="str">
        <f>"STENT SMART CONTROL 7 X 80 CM REF: C07080MV"</f>
        <v>STENT SMART CONTROL 7 X 80 CM REF: C07080MV</v>
      </c>
      <c r="C809" s="6">
        <v>5000000</v>
      </c>
    </row>
    <row r="810" spans="1:3" x14ac:dyDescent="0.25">
      <c r="A810" s="5" t="str">
        <f>"8529"</f>
        <v>8529</v>
      </c>
      <c r="B810" s="5" t="str">
        <f>"STENT SMART CONTROL 7 X 60 CM REF: C07060MV"</f>
        <v>STENT SMART CONTROL 7 X 60 CM REF: C07060MV</v>
      </c>
      <c r="C810" s="6">
        <v>5000000</v>
      </c>
    </row>
    <row r="811" spans="1:3" x14ac:dyDescent="0.25">
      <c r="A811" s="5" t="str">
        <f>"8530"</f>
        <v>8530</v>
      </c>
      <c r="B811" s="5" t="str">
        <f>"STENT SMART CONTROL 8 X 40 CM REF: C08040MV"</f>
        <v>STENT SMART CONTROL 8 X 40 CM REF: C08040MV</v>
      </c>
      <c r="C811" s="6">
        <v>5000000</v>
      </c>
    </row>
    <row r="812" spans="1:3" x14ac:dyDescent="0.25">
      <c r="A812" s="5" t="str">
        <f>"8532"</f>
        <v>8532</v>
      </c>
      <c r="B812" s="5" t="str">
        <f>"CATETER DIAGNOSTICO 5F JL4  REF: 534-520T"</f>
        <v>CATETER DIAGNOSTICO 5F JL4  REF: 534-520T</v>
      </c>
      <c r="C812" s="6">
        <v>480000</v>
      </c>
    </row>
    <row r="813" spans="1:3" x14ac:dyDescent="0.25">
      <c r="A813" s="5" t="str">
        <f>"8539"</f>
        <v>8539</v>
      </c>
      <c r="B813" s="5" t="str">
        <f>"CATETER GUIA 5F JR 3.5 LBT"</f>
        <v>CATETER GUIA 5F JR 3.5 LBT</v>
      </c>
      <c r="C813" s="6">
        <v>412500</v>
      </c>
    </row>
    <row r="814" spans="1:3" x14ac:dyDescent="0.25">
      <c r="A814" s="5" t="str">
        <f>"8544"</f>
        <v>8544</v>
      </c>
      <c r="B814" s="5" t="str">
        <f>"PROPAC 6F REF: 534-697T"</f>
        <v>PROPAC 6F REF: 534-697T</v>
      </c>
      <c r="C814" s="6">
        <v>492000</v>
      </c>
    </row>
    <row r="815" spans="1:3" x14ac:dyDescent="0.25">
      <c r="A815" s="5" t="str">
        <f>"8546"</f>
        <v>8546</v>
      </c>
      <c r="B815" s="5" t="str">
        <f>"INTRODUCTOR FEMORAL (LARGO) 7 FR X 45 CM REF: 401-745M"</f>
        <v>INTRODUCTOR FEMORAL (LARGO) 7 FR X 45 CM REF: 401-745M</v>
      </c>
      <c r="C815" s="6">
        <v>107000</v>
      </c>
    </row>
    <row r="816" spans="1:3" x14ac:dyDescent="0.25">
      <c r="A816" s="5" t="str">
        <f>"8557"</f>
        <v>8557</v>
      </c>
      <c r="B816" s="5" t="str">
        <f>"STENT RESOLUTE MEDICADO 4,0 X 12 REF: RSINT40012X"</f>
        <v>STENT RESOLUTE MEDICADO 4,0 X 12 REF: RSINT40012X</v>
      </c>
      <c r="C816" s="6">
        <v>2430000</v>
      </c>
    </row>
    <row r="817" spans="1:3" x14ac:dyDescent="0.25">
      <c r="A817" s="5" t="str">
        <f>"8559"</f>
        <v>8559</v>
      </c>
      <c r="B817" s="5" t="str">
        <f>"STENT XIENCE X PEDITION  3,0 X 15 REF: 10168450"</f>
        <v>STENT XIENCE X PEDITION  3,0 X 15 REF: 10168450</v>
      </c>
      <c r="C817" s="6">
        <v>4185000</v>
      </c>
    </row>
    <row r="818" spans="1:3" x14ac:dyDescent="0.25">
      <c r="A818" s="5" t="str">
        <f>"8560"</f>
        <v>8560</v>
      </c>
      <c r="B818" s="5" t="str">
        <f>"STENT XIENCE X PEDITION  2,75 X 15"</f>
        <v>STENT XIENCE X PEDITION  2,75 X 15</v>
      </c>
      <c r="C818" s="6">
        <v>4185000</v>
      </c>
    </row>
    <row r="819" spans="1:3" x14ac:dyDescent="0.25">
      <c r="A819" s="5" t="str">
        <f>"8574"</f>
        <v>8574</v>
      </c>
      <c r="B819" s="5" t="str">
        <f>"STEN XIENCE XPEDITION MEDICADO 2.75MM X 28 MM REF:1070275-28"</f>
        <v>STEN XIENCE XPEDITION MEDICADO 2.75MM X 28 MM REF:1070275-28</v>
      </c>
      <c r="C819" s="6">
        <v>3680000</v>
      </c>
    </row>
    <row r="820" spans="1:3" x14ac:dyDescent="0.25">
      <c r="A820" s="5" t="str">
        <f>"8575"</f>
        <v>8575</v>
      </c>
      <c r="B820" s="5" t="str">
        <f>"STENT INTEGRITY 4.0X15CM"</f>
        <v>STENT INTEGRITY 4.0X15CM</v>
      </c>
      <c r="C820" s="6">
        <v>945000</v>
      </c>
    </row>
    <row r="821" spans="1:3" x14ac:dyDescent="0.25">
      <c r="A821" s="5" t="str">
        <f>"8577"</f>
        <v>8577</v>
      </c>
      <c r="B821" s="5" t="str">
        <f>"BALON FALCON MEDICADO 2.75 X 20 REF: FLCP27020B12"</f>
        <v>BALON FALCON MEDICADO 2.75 X 20 REF: FLCP27020B12</v>
      </c>
      <c r="C821" s="6">
        <v>2700000</v>
      </c>
    </row>
    <row r="822" spans="1:3" x14ac:dyDescent="0.25">
      <c r="A822" s="5" t="str">
        <f>"8582"</f>
        <v>8582</v>
      </c>
      <c r="B822" s="5" t="str">
        <f>"BALON EMPIRA NC 3.5 X15CM"</f>
        <v>BALON EMPIRA NC 3.5 X15CM</v>
      </c>
      <c r="C822" s="6">
        <v>825000</v>
      </c>
    </row>
    <row r="823" spans="1:3" x14ac:dyDescent="0.25">
      <c r="A823" s="5" t="str">
        <f>"8584"</f>
        <v>8584</v>
      </c>
      <c r="B823" s="5" t="str">
        <f>"STENT RESOLUTE MEDICADO 2.5 X30CM"</f>
        <v>STENT RESOLUTE MEDICADO 2.5 X30CM</v>
      </c>
      <c r="C823" s="6">
        <v>2430000</v>
      </c>
    </row>
    <row r="824" spans="1:3" x14ac:dyDescent="0.25">
      <c r="A824" s="5" t="str">
        <f>"8585"</f>
        <v>8585</v>
      </c>
      <c r="B824" s="5" t="str">
        <f>"H-BALON EUPHORA 1.5 X15CM REF:EUP1515X"</f>
        <v>H-BALON EUPHORA 1.5 X15CM REF:EUP1515X</v>
      </c>
      <c r="C824" s="6">
        <v>877500</v>
      </c>
    </row>
    <row r="825" spans="1:3" x14ac:dyDescent="0.25">
      <c r="A825" s="5" t="str">
        <f>"8586"</f>
        <v>8586</v>
      </c>
      <c r="B825" s="5" t="str">
        <f>"H-STENT RESOLUTE ONYX 2.25 X  15 MM REF:RONYX22515X"</f>
        <v>H-STENT RESOLUTE ONYX 2.25 X  15 MM REF:RONYX22515X</v>
      </c>
      <c r="C825" s="6">
        <v>3300000</v>
      </c>
    </row>
    <row r="826" spans="1:3" x14ac:dyDescent="0.25">
      <c r="A826" s="5" t="str">
        <f>"8588"</f>
        <v>8588</v>
      </c>
      <c r="B826" s="5" t="str">
        <f>"INTRODUCTOR  BRITE TIP SHEATH 7 F x 23 CM REF : 401-723M"</f>
        <v>INTRODUCTOR  BRITE TIP SHEATH 7 F x 23 CM REF : 401-723M</v>
      </c>
      <c r="C826" s="6">
        <v>107000</v>
      </c>
    </row>
    <row r="827" spans="1:3" x14ac:dyDescent="0.25">
      <c r="A827" s="5" t="str">
        <f>"8590"</f>
        <v>8590</v>
      </c>
      <c r="B827" s="5" t="str">
        <f>"BALON MINI TREK 1.5 x15  REF:1012269-15"</f>
        <v>BALON MINI TREK 1.5 x15  REF:1012269-15</v>
      </c>
      <c r="C827" s="6">
        <v>742000</v>
      </c>
    </row>
    <row r="828" spans="1:3" x14ac:dyDescent="0.25">
      <c r="A828" s="5" t="str">
        <f>"8591"</f>
        <v>8591</v>
      </c>
      <c r="B828" s="5" t="str">
        <f>"BALON MINI TREK 1.5 X 20 REF: 1012444-20"</f>
        <v>BALON MINI TREK 1.5 X 20 REF: 1012444-20</v>
      </c>
      <c r="C828" s="6">
        <v>742000</v>
      </c>
    </row>
    <row r="829" spans="1:3" x14ac:dyDescent="0.25">
      <c r="A829" s="5" t="str">
        <f>"8592"</f>
        <v>8592</v>
      </c>
      <c r="B829" s="5" t="str">
        <f>"STENT MINI VISION 2.5 X 15 REF : 1007829-15"</f>
        <v>STENT MINI VISION 2.5 X 15 REF : 1007829-15</v>
      </c>
      <c r="C829" s="6">
        <v>900000</v>
      </c>
    </row>
    <row r="830" spans="1:3" x14ac:dyDescent="0.25">
      <c r="A830" s="5" t="str">
        <f>"8593"</f>
        <v>8593</v>
      </c>
      <c r="B830" s="5" t="str">
        <f>"STENT MINI VISION 2.5 X 18 REF: 1007829-18"</f>
        <v>STENT MINI VISION 2.5 X 18 REF: 1007829-18</v>
      </c>
      <c r="C830" s="6">
        <v>900000</v>
      </c>
    </row>
    <row r="831" spans="1:3" x14ac:dyDescent="0.25">
      <c r="A831" s="5" t="str">
        <f>"8594"</f>
        <v>8594</v>
      </c>
      <c r="B831" s="5" t="str">
        <f>"STENT MINI VISION 2.5 X 23 REF: 1007829-23"</f>
        <v>STENT MINI VISION 2.5 X 23 REF: 1007829-23</v>
      </c>
      <c r="C831" s="6">
        <v>900000</v>
      </c>
    </row>
    <row r="832" spans="1:3" x14ac:dyDescent="0.25">
      <c r="A832" s="5" t="str">
        <f>"8595"</f>
        <v>8595</v>
      </c>
      <c r="B832" s="5" t="str">
        <f>"STENT MULTI VISION 3.0 X 18 REF: 1007842-18"</f>
        <v>STENT MULTI VISION 3.0 X 18 REF: 1007842-18</v>
      </c>
      <c r="C832" s="6">
        <v>900000</v>
      </c>
    </row>
    <row r="833" spans="1:3" x14ac:dyDescent="0.25">
      <c r="A833" s="5" t="str">
        <f>"8596"</f>
        <v>8596</v>
      </c>
      <c r="B833" s="5" t="str">
        <f>"STENT MULTI VISION 3.0 X 12 REF: 1007842-12"</f>
        <v>STENT MULTI VISION 3.0 X 12 REF: 1007842-12</v>
      </c>
      <c r="C833" s="6">
        <v>900000</v>
      </c>
    </row>
    <row r="834" spans="1:3" x14ac:dyDescent="0.25">
      <c r="A834" s="5" t="str">
        <f>"8597"</f>
        <v>8597</v>
      </c>
      <c r="B834" s="5" t="str">
        <f>"STENT MULTI VISION 3.0 X 23 REF: 1007842-23"</f>
        <v>STENT MULTI VISION 3.0 X 23 REF: 1007842-23</v>
      </c>
      <c r="C834" s="6">
        <v>900000</v>
      </c>
    </row>
    <row r="835" spans="1:3" x14ac:dyDescent="0.25">
      <c r="A835" s="5" t="str">
        <f>"8598"</f>
        <v>8598</v>
      </c>
      <c r="B835" s="5" t="str">
        <f>"STENT MULTI VISION 3.5 X 12 REF: 1007843-12"</f>
        <v>STENT MULTI VISION 3.5 X 12 REF: 1007843-12</v>
      </c>
      <c r="C835" s="6">
        <v>900000</v>
      </c>
    </row>
    <row r="836" spans="1:3" x14ac:dyDescent="0.25">
      <c r="A836" s="5" t="str">
        <f>"8599"</f>
        <v>8599</v>
      </c>
      <c r="B836" s="5" t="str">
        <f>"STENT MULTI VISION 3.5 X 23 REF: 1007843-23"</f>
        <v>STENT MULTI VISION 3.5 X 23 REF: 1007843-23</v>
      </c>
      <c r="C836" s="6">
        <v>900000</v>
      </c>
    </row>
    <row r="837" spans="1:3" x14ac:dyDescent="0.25">
      <c r="A837" s="5" t="str">
        <f>"8600"</f>
        <v>8600</v>
      </c>
      <c r="B837" s="5" t="str">
        <f>"STENT XIENCE X PEDITION LL 3.5 X 33 REF: 1011710-33"</f>
        <v>STENT XIENCE X PEDITION LL 3.5 X 33 REF: 1011710-33</v>
      </c>
      <c r="C837" s="6">
        <v>4194450</v>
      </c>
    </row>
    <row r="838" spans="1:3" x14ac:dyDescent="0.25">
      <c r="A838" s="5" t="str">
        <f>"8601"</f>
        <v>8601</v>
      </c>
      <c r="B838" s="5" t="str">
        <f>"STENT XIENCE X PEDITION LL 4.0 X 33 REF: 1070400-33"</f>
        <v>STENT XIENCE X PEDITION LL 4.0 X 33 REF: 1070400-33</v>
      </c>
      <c r="C838" s="6">
        <v>4194450</v>
      </c>
    </row>
    <row r="839" spans="1:3" x14ac:dyDescent="0.25">
      <c r="A839" s="5" t="str">
        <f>"8602"</f>
        <v>8602</v>
      </c>
      <c r="B839" s="5" t="str">
        <f>"STENT XIENCE XPEDITION  4.0 X 23 REF: 1070400-23"</f>
        <v>STENT XIENCE XPEDITION  4.0 X 23 REF: 1070400-23</v>
      </c>
      <c r="C839" s="6">
        <v>4194450</v>
      </c>
    </row>
    <row r="840" spans="1:3" x14ac:dyDescent="0.25">
      <c r="A840" s="5" t="str">
        <f>"8603"</f>
        <v>8603</v>
      </c>
      <c r="B840" s="5" t="str">
        <f>"STENT XIENCE X PEDITION SV 2.0 X 15 REF: 10177028"</f>
        <v>STENT XIENCE X PEDITION SV 2.0 X 15 REF: 10177028</v>
      </c>
      <c r="C840" s="6">
        <v>4985000</v>
      </c>
    </row>
    <row r="841" spans="1:3" x14ac:dyDescent="0.25">
      <c r="A841" s="5" t="str">
        <f>"8604"</f>
        <v>8604</v>
      </c>
      <c r="B841" s="5" t="str">
        <f>"STENT XIENCE X PEDITION SV 2.0 X 18 REF: 1070200-18"</f>
        <v>STENT XIENCE X PEDITION SV 2.0 X 18 REF: 1070200-18</v>
      </c>
      <c r="C841" s="6">
        <v>3300000</v>
      </c>
    </row>
    <row r="842" spans="1:3" x14ac:dyDescent="0.25">
      <c r="A842" s="5" t="str">
        <f>"8605"</f>
        <v>8605</v>
      </c>
      <c r="B842" s="5" t="str">
        <f>"STENT XIENCE X PEDITION SV 2.0 X 23 REF: 1070200-23"</f>
        <v>STENT XIENCE X PEDITION SV 2.0 X 23 REF: 1070200-23</v>
      </c>
      <c r="C842" s="6">
        <v>4185000</v>
      </c>
    </row>
    <row r="843" spans="1:3" x14ac:dyDescent="0.25">
      <c r="A843" s="5" t="str">
        <f>"8607"</f>
        <v>8607</v>
      </c>
      <c r="B843" s="5" t="str">
        <f>"STENT XIENCE X PEDITION SV 2.0 X 28 REF: 1070200-28"</f>
        <v>STENT XIENCE X PEDITION SV 2.0 X 28 REF: 1070200-28</v>
      </c>
      <c r="C843" s="6">
        <v>4194450</v>
      </c>
    </row>
    <row r="844" spans="1:3" x14ac:dyDescent="0.25">
      <c r="A844" s="5" t="str">
        <f>"8608"</f>
        <v>8608</v>
      </c>
      <c r="B844" s="5" t="str">
        <f>"STENT XIENCE X PEDITION SV 2.25 X 18 REF: 1070225-18"</f>
        <v>STENT XIENCE X PEDITION SV 2.25 X 18 REF: 1070225-18</v>
      </c>
      <c r="C844" s="6">
        <v>3300000</v>
      </c>
    </row>
    <row r="845" spans="1:3" x14ac:dyDescent="0.25">
      <c r="A845" s="5" t="str">
        <f>"8609"</f>
        <v>8609</v>
      </c>
      <c r="B845" s="5" t="str">
        <f>"STENT XIENCE X PEDITION SV 2.25 X 15 REF: 1070225-15/MODIFICADO POR EL CODIGO 1140"</f>
        <v>STENT XIENCE X PEDITION SV 2.25 X 15 REF: 1070225-15/MODIFICADO POR EL CODIGO 1140</v>
      </c>
      <c r="C845" s="6">
        <v>4459000</v>
      </c>
    </row>
    <row r="846" spans="1:3" x14ac:dyDescent="0.25">
      <c r="A846" s="5" t="str">
        <f>"8611"</f>
        <v>8611</v>
      </c>
      <c r="B846" s="5" t="str">
        <f>"STENT XPEDITION 3.0 X 18 REF: 1070300-18"</f>
        <v>STENT XPEDITION 3.0 X 18 REF: 1070300-18</v>
      </c>
      <c r="C846" s="6">
        <v>4194000</v>
      </c>
    </row>
    <row r="847" spans="1:3" x14ac:dyDescent="0.25">
      <c r="A847" s="5" t="str">
        <f>"8613"</f>
        <v>8613</v>
      </c>
      <c r="B847" s="5" t="str">
        <f>"STENT XPEDITION 3.5 X 28 REF: 1070350-28"</f>
        <v>STENT XPEDITION 3.5 X 28 REF: 1070350-28</v>
      </c>
      <c r="C847" s="6">
        <v>4185000</v>
      </c>
    </row>
    <row r="848" spans="1:3" x14ac:dyDescent="0.25">
      <c r="A848" s="5" t="str">
        <f>"8615"</f>
        <v>8615</v>
      </c>
      <c r="B848" s="5" t="str">
        <f>"STENT XPEDITION 3.25 X 15 REF: 1070325-15"</f>
        <v>STENT XPEDITION 3.25 X 15 REF: 1070325-15</v>
      </c>
      <c r="C848" s="6">
        <v>4185000</v>
      </c>
    </row>
    <row r="849" spans="1:3" x14ac:dyDescent="0.25">
      <c r="A849" s="5" t="str">
        <f>"8616"</f>
        <v>8616</v>
      </c>
      <c r="B849" s="5" t="str">
        <f>"STENT XPEDITION 3.25X 18 REF: 1070325-18"</f>
        <v>STENT XPEDITION 3.25X 18 REF: 1070325-18</v>
      </c>
      <c r="C849" s="6">
        <v>4185000</v>
      </c>
    </row>
    <row r="850" spans="1:3" x14ac:dyDescent="0.25">
      <c r="A850" s="5" t="str">
        <f>"8617"</f>
        <v>8617</v>
      </c>
      <c r="B850" s="5" t="str">
        <f>"STENT XPEDITION 3.25X 23 REF: 1070325-23"</f>
        <v>STENT XPEDITION 3.25X 23 REF: 1070325-23</v>
      </c>
      <c r="C850" s="6">
        <v>4185000</v>
      </c>
    </row>
    <row r="851" spans="1:3" x14ac:dyDescent="0.25">
      <c r="A851" s="5" t="str">
        <f>"8618"</f>
        <v>8618</v>
      </c>
      <c r="B851" s="5" t="str">
        <f>"STENT XPEDITION 3.25X 28 REF: 1070325-28"</f>
        <v>STENT XPEDITION 3.25X 28 REF: 1070325-28</v>
      </c>
      <c r="C851" s="6">
        <v>4185000</v>
      </c>
    </row>
    <row r="852" spans="1:3" x14ac:dyDescent="0.25">
      <c r="A852" s="5" t="str">
        <f>"8619"</f>
        <v>8619</v>
      </c>
      <c r="B852" s="5" t="str">
        <f>"STENT XPEDITION 4.8 X 28 REF: 1070400-28"</f>
        <v>STENT XPEDITION 4.8 X 28 REF: 1070400-28</v>
      </c>
      <c r="C852" s="6">
        <v>4185000</v>
      </c>
    </row>
    <row r="853" spans="1:3" x14ac:dyDescent="0.25">
      <c r="A853" s="5" t="str">
        <f>"8620"</f>
        <v>8620</v>
      </c>
      <c r="B853" s="5" t="str">
        <f>"STENT XPEDITION 4.0 X 18 REF: 1070400-18"</f>
        <v>STENT XPEDITION 4.0 X 18 REF: 1070400-18</v>
      </c>
      <c r="C853" s="6">
        <v>4185000</v>
      </c>
    </row>
    <row r="854" spans="1:3" x14ac:dyDescent="0.25">
      <c r="A854" s="5" t="str">
        <f>"8621"</f>
        <v>8621</v>
      </c>
      <c r="B854" s="5" t="str">
        <f>"STENT RESOLUTE MEDICADO 2.5 X 12 REF: RSINT 25012X"</f>
        <v>STENT RESOLUTE MEDICADO 2.5 X 12 REF: RSINT 25012X</v>
      </c>
      <c r="C854" s="6">
        <v>4185000</v>
      </c>
    </row>
    <row r="855" spans="1:3" x14ac:dyDescent="0.25">
      <c r="A855" s="5" t="str">
        <f>"8622"</f>
        <v>8622</v>
      </c>
      <c r="B855" s="5" t="str">
        <f>"BALON AMPHIRION 2.5 X 120 REF: AMD025120152"</f>
        <v>BALON AMPHIRION 2.5 X 120 REF: AMD025120152</v>
      </c>
      <c r="C855" s="6">
        <v>2000000</v>
      </c>
    </row>
    <row r="856" spans="1:3" x14ac:dyDescent="0.25">
      <c r="A856" s="5" t="str">
        <f>"8623"</f>
        <v>8623</v>
      </c>
      <c r="B856" s="5" t="str">
        <f>"BALON AMPHIRION 2.0 X 80 REF: AMD020080152"</f>
        <v>BALON AMPHIRION 2.0 X 80 REF: AMD020080152</v>
      </c>
      <c r="C856" s="6">
        <v>2000000</v>
      </c>
    </row>
    <row r="857" spans="1:3" x14ac:dyDescent="0.25">
      <c r="A857" s="5" t="str">
        <f>"8624"</f>
        <v>8624</v>
      </c>
      <c r="B857" s="5" t="str">
        <f>"INTRODUCTOR  AVANTI 6F X 11 CM REF: 504-606X"</f>
        <v>INTRODUCTOR  AVANTI 6F X 11 CM REF: 504-606X</v>
      </c>
      <c r="C857" s="6">
        <v>105000</v>
      </c>
    </row>
    <row r="858" spans="1:3" x14ac:dyDescent="0.25">
      <c r="A858" s="5" t="str">
        <f>"8625"</f>
        <v>8625</v>
      </c>
      <c r="B858" s="5" t="str">
        <f>"H-INTRODUCTOR FEMORAL LARGO 7 FR X 90 CM REF: 401-790M"</f>
        <v>H-INTRODUCTOR FEMORAL LARGO 7 FR X 90 CM REF: 401-790M</v>
      </c>
      <c r="C858" s="6">
        <v>107000</v>
      </c>
    </row>
    <row r="859" spans="1:3" x14ac:dyDescent="0.25">
      <c r="A859" s="5" t="str">
        <f>"8626"</f>
        <v>8626</v>
      </c>
      <c r="B859" s="5" t="str">
        <f>"INTRODUCTOR FEMORAL LARGO  6 FR X 90 CM REF: 4001-690M"</f>
        <v>INTRODUCTOR FEMORAL LARGO  6 FR X 90 CM REF: 4001-690M</v>
      </c>
      <c r="C859" s="6">
        <v>107000</v>
      </c>
    </row>
    <row r="860" spans="1:3" x14ac:dyDescent="0.25">
      <c r="A860" s="5" t="str">
        <f>"8627"</f>
        <v>8627</v>
      </c>
      <c r="B860" s="5" t="str">
        <f>"INTRODUCTOR FEMORAL LARGO 7 FR X 23 CM REF: 401-723M"</f>
        <v>INTRODUCTOR FEMORAL LARGO 7 FR X 23 CM REF: 401-723M</v>
      </c>
      <c r="C860" s="6">
        <v>107000</v>
      </c>
    </row>
    <row r="861" spans="1:3" x14ac:dyDescent="0.25">
      <c r="A861" s="5" t="str">
        <f>"8629"</f>
        <v>8629</v>
      </c>
      <c r="B861" s="5" t="str">
        <f>"H-CATETER GUIA 6F JL3 REF: 670-000-00"</f>
        <v>H-CATETER GUIA 6F JL3 REF: 670-000-00</v>
      </c>
      <c r="C861" s="6">
        <v>475000</v>
      </c>
    </row>
    <row r="862" spans="1:3" x14ac:dyDescent="0.25">
      <c r="A862" s="5" t="str">
        <f>"8630"</f>
        <v>8630</v>
      </c>
      <c r="B862" s="5" t="str">
        <f>"CATETER GUIA 6F JL6 REF: 670-010-00"</f>
        <v>CATETER GUIA 6F JL6 REF: 670-010-00</v>
      </c>
      <c r="C862" s="6">
        <v>600000</v>
      </c>
    </row>
    <row r="863" spans="1:3" x14ac:dyDescent="0.25">
      <c r="A863" s="5" t="str">
        <f>"8631"</f>
        <v>8631</v>
      </c>
      <c r="B863" s="5" t="str">
        <f>"CATETER GUIA 6 Fr MPA1 REF: 670-270-00"</f>
        <v>CATETER GUIA 6 Fr MPA1 REF: 670-270-00</v>
      </c>
      <c r="C863" s="6">
        <v>441000</v>
      </c>
    </row>
    <row r="864" spans="1:3" x14ac:dyDescent="0.25">
      <c r="A864" s="5" t="str">
        <f>"8632"</f>
        <v>8632</v>
      </c>
      <c r="B864" s="5" t="str">
        <f>"CATETER GUIA 6 Fr IM REF: 670-190-00"</f>
        <v>CATETER GUIA 6 Fr IM REF: 670-190-00</v>
      </c>
      <c r="C864" s="6">
        <v>600000</v>
      </c>
    </row>
    <row r="865" spans="1:3" x14ac:dyDescent="0.25">
      <c r="A865" s="5" t="str">
        <f>"8634"</f>
        <v>8634</v>
      </c>
      <c r="B865" s="5" t="str">
        <f>"H-CATETER GUIA 6 Fr JL4  REF: 670-004-00"</f>
        <v>H-CATETER GUIA 6 Fr JL4  REF: 670-004-00</v>
      </c>
      <c r="C865" s="6">
        <v>600000</v>
      </c>
    </row>
    <row r="866" spans="1:3" x14ac:dyDescent="0.25">
      <c r="A866" s="5" t="str">
        <f>"8635"</f>
        <v>8635</v>
      </c>
      <c r="B866" s="5" t="str">
        <f>"BALON POWER FLEX PRO 10 X 8 CM REF: 4401008X"</f>
        <v>BALON POWER FLEX PRO 10 X 8 CM REF: 4401008X</v>
      </c>
      <c r="C866" s="6">
        <v>861300</v>
      </c>
    </row>
    <row r="867" spans="1:3" x14ac:dyDescent="0.25">
      <c r="A867" s="5" t="str">
        <f>"8636"</f>
        <v>8636</v>
      </c>
      <c r="B867" s="5" t="str">
        <f>"BALON POWER FLEX PRO 8 X 6 CM REF: 4400806X"</f>
        <v>BALON POWER FLEX PRO 8 X 6 CM REF: 4400806X</v>
      </c>
      <c r="C867" s="6">
        <v>861300</v>
      </c>
    </row>
    <row r="868" spans="1:3" x14ac:dyDescent="0.25">
      <c r="A868" s="5" t="str">
        <f>"8637"</f>
        <v>8637</v>
      </c>
      <c r="B868" s="5" t="str">
        <f>"CATETER GUIA 5F IM LBT REF: 556-190-0L"</f>
        <v>CATETER GUIA 5F IM LBT REF: 556-190-0L</v>
      </c>
      <c r="C868" s="6">
        <v>600000</v>
      </c>
    </row>
    <row r="869" spans="1:3" x14ac:dyDescent="0.25">
      <c r="A869" s="5" t="str">
        <f>"8638"</f>
        <v>8638</v>
      </c>
      <c r="B869" s="5" t="str">
        <f>"CATETER DIAGNOSTICO 5F PIG REF: 532-598B"</f>
        <v>CATETER DIAGNOSTICO 5F PIG REF: 532-598B</v>
      </c>
      <c r="C869" s="6">
        <v>100000</v>
      </c>
    </row>
    <row r="870" spans="1:3" x14ac:dyDescent="0.25">
      <c r="A870" s="5" t="str">
        <f>"8639"</f>
        <v>8639</v>
      </c>
      <c r="B870" s="5" t="str">
        <f>"CATETER DIAGNOSTICO 5F MAP 2 REF: 534-542T"</f>
        <v>CATETER DIAGNOSTICO 5F MAP 2 REF: 534-542T</v>
      </c>
      <c r="C870" s="6">
        <v>100000</v>
      </c>
    </row>
    <row r="871" spans="1:3" x14ac:dyDescent="0.25">
      <c r="A871" s="5" t="str">
        <f>"8640"</f>
        <v>8640</v>
      </c>
      <c r="B871" s="5" t="str">
        <f>"CATETER DIAGNOSTICO 6F PIG 145 REF: 534-542T REF: 534652-5"</f>
        <v>CATETER DIAGNOSTICO 6F PIG 145 REF: 534-542T REF: 534652-5</v>
      </c>
      <c r="C871" s="6">
        <v>100000</v>
      </c>
    </row>
    <row r="872" spans="1:3" x14ac:dyDescent="0.25">
      <c r="A872" s="5" t="str">
        <f>"8641"</f>
        <v>8641</v>
      </c>
      <c r="B872" s="5" t="str">
        <f>"CATETER DIAGNOSTICO 6F IM REF: 534-660T"</f>
        <v>CATETER DIAGNOSTICO 6F IM REF: 534-660T</v>
      </c>
      <c r="C872" s="6">
        <v>100000</v>
      </c>
    </row>
    <row r="873" spans="1:3" x14ac:dyDescent="0.25">
      <c r="A873" s="5" t="str">
        <f>"8644"</f>
        <v>8644</v>
      </c>
      <c r="B873" s="5" t="str">
        <f>"CATETER GUIA DIAGNOSTICO6 6F ALII MOD REF : 534-643T"</f>
        <v>CATETER GUIA DIAGNOSTICO6 6F ALII MOD REF : 534-643T</v>
      </c>
      <c r="C873" s="6">
        <v>100000</v>
      </c>
    </row>
    <row r="874" spans="1:3" x14ac:dyDescent="0.25">
      <c r="A874" s="5" t="str">
        <f>"8646"</f>
        <v>8646</v>
      </c>
      <c r="B874" s="5" t="str">
        <f>"STENT RESOLUTE Onyx 2,25 X 18 REF: RONYX22518X"</f>
        <v>STENT RESOLUTE Onyx 2,25 X 18 REF: RONYX22518X</v>
      </c>
      <c r="C874" s="6">
        <v>3000000</v>
      </c>
    </row>
    <row r="875" spans="1:3" x14ac:dyDescent="0.25">
      <c r="A875" s="5" t="str">
        <f>"8647"</f>
        <v>8647</v>
      </c>
      <c r="B875" s="5" t="str">
        <f>"CATETER DIAGNOSTICO6 5F SIM 2 REF: 451-531-H00"</f>
        <v>CATETER DIAGNOSTICO6 5F SIM 2 REF: 451-531-H00</v>
      </c>
      <c r="C875" s="6">
        <v>100000</v>
      </c>
    </row>
    <row r="876" spans="1:3" x14ac:dyDescent="0.25">
      <c r="A876" s="5" t="str">
        <f>"8649"</f>
        <v>8649</v>
      </c>
      <c r="B876" s="5" t="str">
        <f>"STENT SMART CONTROL 9 X X60 REF: C09060MV"</f>
        <v>STENT SMART CONTROL 9 X X60 REF: C09060MV</v>
      </c>
      <c r="C876" s="6">
        <v>3375000</v>
      </c>
    </row>
    <row r="877" spans="1:3" x14ac:dyDescent="0.25">
      <c r="A877" s="5" t="str">
        <f>"8651"</f>
        <v>8651</v>
      </c>
      <c r="B877" s="5" t="str">
        <f>"STENT INTEGRITY 4.0MMX15MM"</f>
        <v>STENT INTEGRITY 4.0MMX15MM</v>
      </c>
      <c r="C877" s="6">
        <v>4185000</v>
      </c>
    </row>
    <row r="878" spans="1:3" x14ac:dyDescent="0.25">
      <c r="A878" s="5" t="str">
        <f>"8652"</f>
        <v>8652</v>
      </c>
      <c r="B878" s="5" t="str">
        <f>"STENT XIENCE XPEDITION LL 3.0MM X 33MM-REF-1070300-33"</f>
        <v>STENT XIENCE XPEDITION LL 3.0MM X 33MM-REF-1070300-33</v>
      </c>
      <c r="C878" s="6">
        <v>5650000</v>
      </c>
    </row>
    <row r="879" spans="1:3" x14ac:dyDescent="0.25">
      <c r="A879" s="5" t="str">
        <f>"8653"</f>
        <v>8653</v>
      </c>
      <c r="B879" s="5" t="str">
        <f>"BALON POWER FLEX PRO 7 mm X 4 cm REF:4400704X"</f>
        <v>BALON POWER FLEX PRO 7 mm X 4 cm REF:4400704X</v>
      </c>
      <c r="C879" s="6">
        <v>5680000</v>
      </c>
    </row>
    <row r="880" spans="1:3" x14ac:dyDescent="0.25">
      <c r="A880" s="5" t="str">
        <f>"8658"</f>
        <v>8658</v>
      </c>
      <c r="B880" s="5" t="str">
        <f>"STENT XIENCE XPEDITION SV2.25X18CM"</f>
        <v>STENT XIENCE XPEDITION SV2.25X18CM</v>
      </c>
      <c r="C880" s="6">
        <v>4195125</v>
      </c>
    </row>
    <row r="881" spans="1:3" x14ac:dyDescent="0.25">
      <c r="A881" s="5" t="str">
        <f>"8662"</f>
        <v>8662</v>
      </c>
      <c r="B881" s="5" t="str">
        <f>"STENT RESOLUTE MEDICADO 2,50 X 30  REF: RSINT25030X"</f>
        <v>STENT RESOLUTE MEDICADO 2,50 X 30  REF: RSINT25030X</v>
      </c>
      <c r="C881" s="6">
        <v>2430000</v>
      </c>
    </row>
    <row r="882" spans="1:3" x14ac:dyDescent="0.25">
      <c r="A882" s="5" t="str">
        <f>"8663"</f>
        <v>8663</v>
      </c>
      <c r="B882" s="5" t="str">
        <f>"STENT XIENCE X PEDITION  2.5mmx 23mm-REF 10193832"</f>
        <v>STENT XIENCE X PEDITION  2.5mmx 23mm-REF 10193832</v>
      </c>
      <c r="C882" s="6">
        <v>4185000</v>
      </c>
    </row>
    <row r="883" spans="1:3" x14ac:dyDescent="0.25">
      <c r="A883" s="5" t="str">
        <f>"8664"</f>
        <v>8664</v>
      </c>
      <c r="B883" s="5" t="str">
        <f>"STENT  RENAL PALMAZ BLUE 5FR- 014-REF PB2460PPX-6MMX24MM"</f>
        <v>STENT  RENAL PALMAZ BLUE 5FR- 014-REF PB2460PPX-6MMX24MM</v>
      </c>
      <c r="C883" s="6">
        <v>4185000</v>
      </c>
    </row>
    <row r="884" spans="1:3" x14ac:dyDescent="0.25">
      <c r="A884" s="5" t="str">
        <f>"8666"</f>
        <v>8666</v>
      </c>
      <c r="B884" s="5" t="str">
        <f>"INTRODUCTOR FEMORAL 6FR X 11 CM REF-076-504606X"</f>
        <v>INTRODUCTOR FEMORAL 6FR X 11 CM REF-076-504606X</v>
      </c>
      <c r="C884" s="6">
        <v>103950</v>
      </c>
    </row>
    <row r="885" spans="1:3" x14ac:dyDescent="0.25">
      <c r="A885" s="5" t="str">
        <f>"8667"</f>
        <v>8667</v>
      </c>
      <c r="B885" s="5" t="str">
        <f>"STEN MEDICADO XIENCE  XPEDITION 3.0MMX 23MM-REF 1070300-23"</f>
        <v>STEN MEDICADO XIENCE  XPEDITION 3.0MMX 23MM-REF 1070300-23</v>
      </c>
      <c r="C885" s="6">
        <v>5650000</v>
      </c>
    </row>
    <row r="886" spans="1:3" x14ac:dyDescent="0.25">
      <c r="A886" s="5" t="str">
        <f>"8671"</f>
        <v>8671</v>
      </c>
      <c r="B886" s="5" t="str">
        <f>"H-STEN MEDICADO XIENCE XPEDITION 225MM X 15MM-REF 10168624"</f>
        <v>H-STEN MEDICADO XIENCE XPEDITION 225MM X 15MM-REF 10168624</v>
      </c>
      <c r="C886" s="6">
        <v>2835000</v>
      </c>
    </row>
    <row r="887" spans="1:3" x14ac:dyDescent="0.25">
      <c r="A887" s="5" t="str">
        <f>"8674"</f>
        <v>8674</v>
      </c>
      <c r="B887" s="5" t="str">
        <f>"H-CATETER DIAGNOSTICO 5FR JL 5-REF 534-5221T"</f>
        <v>H-CATETER DIAGNOSTICO 5FR JL 5-REF 534-5221T</v>
      </c>
      <c r="C887" s="6">
        <v>70000</v>
      </c>
    </row>
    <row r="888" spans="1:3" x14ac:dyDescent="0.25">
      <c r="A888" s="5" t="str">
        <f>"8677"</f>
        <v>8677</v>
      </c>
      <c r="B888" s="5" t="str">
        <f>"STENT XIENCE X PEDITION  2.75MM X 33MM REF:1070275-33"</f>
        <v>STENT XIENCE X PEDITION  2.75MM X 33MM REF:1070275-33</v>
      </c>
      <c r="C888" s="6">
        <v>4194450</v>
      </c>
    </row>
    <row r="889" spans="1:3" x14ac:dyDescent="0.25">
      <c r="A889" s="5" t="str">
        <f>"8678"</f>
        <v>8678</v>
      </c>
      <c r="B889" s="5" t="str">
        <f>"STENT MEDICADO XIENCE  XPEDITION 3.5MM X 18MM-REF 1070350-18"</f>
        <v>STENT MEDICADO XIENCE  XPEDITION 3.5MM X 18MM-REF 1070350-18</v>
      </c>
      <c r="C889" s="6">
        <v>5650000</v>
      </c>
    </row>
    <row r="890" spans="1:3" x14ac:dyDescent="0.25">
      <c r="A890" s="5" t="str">
        <f>"8680"</f>
        <v>8680</v>
      </c>
      <c r="B890" s="5" t="str">
        <f>"STENT XIENCE X PEDITION 2,75MM x 18MM RE:1070275-18"</f>
        <v>STENT XIENCE X PEDITION 2,75MM x 18MM RE:1070275-18</v>
      </c>
      <c r="C890" s="6">
        <v>4194450</v>
      </c>
    </row>
    <row r="891" spans="1:3" x14ac:dyDescent="0.25">
      <c r="A891" s="5" t="str">
        <f>"8683"</f>
        <v>8683</v>
      </c>
      <c r="B891" s="5" t="str">
        <f>"STENT CONVENCIONAL INTEGRITY 2,25MM X 26MM REF: INT22526X"</f>
        <v>STENT CONVENCIONAL INTEGRITY 2,25MM X 26MM REF: INT22526X</v>
      </c>
      <c r="C891" s="6">
        <v>3300000</v>
      </c>
    </row>
    <row r="892" spans="1:3" x14ac:dyDescent="0.25">
      <c r="A892" s="5" t="str">
        <f>"8684"</f>
        <v>8684</v>
      </c>
      <c r="B892" s="5" t="str">
        <f>"STENT XIENCE X PEDITION 3.0MM X 12MM REF:1070300-12"</f>
        <v>STENT XIENCE X PEDITION 3.0MM X 12MM REF:1070300-12</v>
      </c>
      <c r="C892" s="6">
        <v>4194450</v>
      </c>
    </row>
    <row r="893" spans="1:3" x14ac:dyDescent="0.25">
      <c r="A893" s="5" t="str">
        <f>"8687"</f>
        <v>8687</v>
      </c>
      <c r="B893" s="5" t="str">
        <f>"CATETER GUIA 7FR RDC REF:778-212-55"</f>
        <v>CATETER GUIA 7FR RDC REF:778-212-55</v>
      </c>
      <c r="C893" s="6">
        <v>480000</v>
      </c>
    </row>
    <row r="894" spans="1:3" x14ac:dyDescent="0.25">
      <c r="A894" s="5" t="str">
        <f>"8690"</f>
        <v>8690</v>
      </c>
      <c r="B894" s="5" t="str">
        <f>"STENT ABSORB RX 3.0MM X 23MM REF:1012463-23"</f>
        <v>STENT ABSORB RX 3.0MM X 23MM REF:1012463-23</v>
      </c>
      <c r="C894" s="6">
        <v>8100000</v>
      </c>
    </row>
    <row r="895" spans="1:3" x14ac:dyDescent="0.25">
      <c r="A895" s="5" t="str">
        <f>"8691"</f>
        <v>8691</v>
      </c>
      <c r="B895" s="5" t="str">
        <f>"STEN MEDICADO XIENCE XPEDITION 3.0MM X 18MM - REF:1070300-18"</f>
        <v>STEN MEDICADO XIENCE XPEDITION 3.0MM X 18MM - REF:1070300-18</v>
      </c>
      <c r="C895" s="6">
        <v>2835000</v>
      </c>
    </row>
    <row r="896" spans="1:3" x14ac:dyDescent="0.25">
      <c r="A896" s="5" t="str">
        <f>"8692"</f>
        <v>8692</v>
      </c>
      <c r="B896" s="5" t="str">
        <f>"STEN MEDICADO XIENCE XPEDITION 3.5MM X 23MM - REF:1070350-23"</f>
        <v>STEN MEDICADO XIENCE XPEDITION 3.5MM X 23MM - REF:1070350-23</v>
      </c>
      <c r="C896" s="6">
        <v>2850000</v>
      </c>
    </row>
    <row r="897" spans="1:3" x14ac:dyDescent="0.25">
      <c r="A897" s="5" t="str">
        <f>"8694"</f>
        <v>8694</v>
      </c>
      <c r="B897" s="5" t="str">
        <f>"STENT RESOLUTE MEDICADO 2,5 X 26 REF:RSINT25026X"</f>
        <v>STENT RESOLUTE MEDICADO 2,5 X 26 REF:RSINT25026X</v>
      </c>
      <c r="C897" s="6">
        <v>2430000</v>
      </c>
    </row>
    <row r="898" spans="1:3" x14ac:dyDescent="0.25">
      <c r="A898" s="5" t="str">
        <f>"8695"</f>
        <v>8695</v>
      </c>
      <c r="B898" s="5" t="str">
        <f>"CATETER GUIA 6F  JR 3.0"</f>
        <v>CATETER GUIA 6F  JR 3.0</v>
      </c>
      <c r="C898" s="6">
        <v>371500</v>
      </c>
    </row>
    <row r="899" spans="1:3" x14ac:dyDescent="0.25">
      <c r="A899" s="5" t="str">
        <f>"8696"</f>
        <v>8696</v>
      </c>
      <c r="B899" s="5" t="str">
        <f>"STENT XIENCE X PEDITION  2.0mm X18mm- REF:1070200-18"</f>
        <v>STENT XIENCE X PEDITION  2.0mm X18mm- REF:1070200-18</v>
      </c>
      <c r="C899" s="6">
        <v>2970000</v>
      </c>
    </row>
    <row r="900" spans="1:3" x14ac:dyDescent="0.25">
      <c r="A900" s="5" t="str">
        <f>"8697"</f>
        <v>8697</v>
      </c>
      <c r="B900" s="5" t="str">
        <f>"STENT XIENCE X PEDITION  2.75.mm X 23mm- REF:1070275-23"</f>
        <v>STENT XIENCE X PEDITION  2.75.mm X 23mm- REF:1070275-23</v>
      </c>
      <c r="C900" s="6">
        <v>2970000</v>
      </c>
    </row>
    <row r="901" spans="1:3" x14ac:dyDescent="0.25">
      <c r="A901" s="5" t="str">
        <f>"8701"</f>
        <v>8701</v>
      </c>
      <c r="B901" s="5" t="str">
        <f>"H-BALON EUPHORA 2,0 X 30 REF: EUP2030X"</f>
        <v>H-BALON EUPHORA 2,0 X 30 REF: EUP2030X</v>
      </c>
      <c r="C901" s="6">
        <v>700000</v>
      </c>
    </row>
    <row r="902" spans="1:3" x14ac:dyDescent="0.25">
      <c r="A902" s="5" t="str">
        <f>"8702"</f>
        <v>8702</v>
      </c>
      <c r="B902" s="5" t="str">
        <f>"STENT RESOLUTE Onyx 2,25 X 34 REF: RONYX22534X"</f>
        <v>STENT RESOLUTE Onyx 2,25 X 34 REF: RONYX22534X</v>
      </c>
      <c r="C902" s="6">
        <v>2430000</v>
      </c>
    </row>
    <row r="903" spans="1:3" x14ac:dyDescent="0.25">
      <c r="A903" s="5" t="str">
        <f>"8704"</f>
        <v>8704</v>
      </c>
      <c r="B903" s="5" t="str">
        <f>"STEN XIENCE SPEDITION 2.5 X15mm"</f>
        <v>STEN XIENCE SPEDITION 2.5 X15mm</v>
      </c>
      <c r="C903" s="6">
        <v>3675000</v>
      </c>
    </row>
    <row r="904" spans="1:3" x14ac:dyDescent="0.25">
      <c r="A904" s="5" t="str">
        <f>"8705"</f>
        <v>8705</v>
      </c>
      <c r="B904" s="5" t="str">
        <f>"H-INVATEC ADMIRAL XTREME 5.0mmX 120MM/ BALON"</f>
        <v>H-INVATEC ADMIRAL XTREME 5.0mmX 120MM/ BALON</v>
      </c>
      <c r="C904" s="6">
        <v>1575000</v>
      </c>
    </row>
    <row r="905" spans="1:3" x14ac:dyDescent="0.25">
      <c r="A905" s="5" t="str">
        <f>"8706"</f>
        <v>8706</v>
      </c>
      <c r="B905" s="5" t="str">
        <f>"INVATEC ADMIRAL XTREME 2.0 X 120mm/ BALON"</f>
        <v>INVATEC ADMIRAL XTREME 2.0 X 120mm/ BALON</v>
      </c>
      <c r="C905" s="6">
        <v>1575000</v>
      </c>
    </row>
    <row r="906" spans="1:3" x14ac:dyDescent="0.25">
      <c r="A906" s="5" t="str">
        <f>"8707"</f>
        <v>8707</v>
      </c>
      <c r="B906" s="5" t="str">
        <f>"INVATEC ADMIRAL XTREME 5. 20mm /BALON"</f>
        <v>INVATEC ADMIRAL XTREME 5. 20mm /BALON</v>
      </c>
      <c r="C906" s="6">
        <v>1575000</v>
      </c>
    </row>
    <row r="907" spans="1:3" x14ac:dyDescent="0.25">
      <c r="A907" s="5" t="str">
        <f>"8708"</f>
        <v>8708</v>
      </c>
      <c r="B907" s="5" t="str">
        <f>"STEN PERIFERICO COMPLETE  SE VASCULAR 5 X 80mm"</f>
        <v>STEN PERIFERICO COMPLETE  SE VASCULAR 5 X 80mm</v>
      </c>
      <c r="C907" s="6">
        <v>3400000</v>
      </c>
    </row>
    <row r="908" spans="1:3" x14ac:dyDescent="0.25">
      <c r="A908" s="5" t="str">
        <f>"8709"</f>
        <v>8709</v>
      </c>
      <c r="B908" s="5" t="str">
        <f>"STENT PERIFERICO COMPLETE  SE 5 X 120mm"</f>
        <v>STENT PERIFERICO COMPLETE  SE 5 X 120mm</v>
      </c>
      <c r="C908" s="6">
        <v>2565000</v>
      </c>
    </row>
    <row r="909" spans="1:3" x14ac:dyDescent="0.25">
      <c r="A909" s="5" t="str">
        <f>"8710"</f>
        <v>8710</v>
      </c>
      <c r="B909" s="5" t="str">
        <f>"STEN PERIFERICO COMPLES SE 7 X 80mm"</f>
        <v>STEN PERIFERICO COMPLES SE 7 X 80mm</v>
      </c>
      <c r="C909" s="6">
        <v>3400000</v>
      </c>
    </row>
    <row r="910" spans="1:3" x14ac:dyDescent="0.25">
      <c r="A910" s="5" t="str">
        <f>"8711"</f>
        <v>8711</v>
      </c>
      <c r="B910" s="5" t="str">
        <f>"STENT PERIFERICO COMPLETE SE 8 X 60mm"</f>
        <v>STENT PERIFERICO COMPLETE SE 8 X 60mm</v>
      </c>
      <c r="C910" s="6">
        <v>3400000</v>
      </c>
    </row>
    <row r="911" spans="1:3" x14ac:dyDescent="0.25">
      <c r="A911" s="5" t="str">
        <f>"8712"</f>
        <v>8712</v>
      </c>
      <c r="B911" s="5" t="str">
        <f>"STEN INVATEC CRISTALLO IDEALE 7X40mm-REF CRIT71040000"</f>
        <v>STEN INVATEC CRISTALLO IDEALE 7X40mm-REF CRIT71040000</v>
      </c>
      <c r="C911" s="6">
        <v>3375000</v>
      </c>
    </row>
    <row r="912" spans="1:3" x14ac:dyDescent="0.25">
      <c r="A912" s="5" t="str">
        <f>"8713"</f>
        <v>8713</v>
      </c>
      <c r="B912" s="5" t="str">
        <f>"BALON SUBMARINE RAPIDO 5 X40mm-REF SBR050040135"</f>
        <v>BALON SUBMARINE RAPIDO 5 X40mm-REF SBR050040135</v>
      </c>
      <c r="C912" s="6">
        <v>1012500</v>
      </c>
    </row>
    <row r="913" spans="1:3" x14ac:dyDescent="0.25">
      <c r="A913" s="5" t="str">
        <f>"8714"</f>
        <v>8714</v>
      </c>
      <c r="B913" s="5" t="str">
        <f>"STEN ONIX 2.0 X 26 mm-ref RONYX20026X"</f>
        <v>STEN ONIX 2.0 X 26 mm-ref RONYX20026X</v>
      </c>
      <c r="C913" s="6">
        <v>2700000</v>
      </c>
    </row>
    <row r="914" spans="1:3" x14ac:dyDescent="0.25">
      <c r="A914" s="5" t="str">
        <f>"8715"</f>
        <v>8715</v>
      </c>
      <c r="B914" s="5" t="str">
        <f>"STEN XIENCE  4 X 12mm- REF  1070400-12"</f>
        <v>STEN XIENCE  4 X 12mm- REF  1070400-12</v>
      </c>
      <c r="C914" s="6">
        <v>4185000</v>
      </c>
    </row>
    <row r="915" spans="1:3" x14ac:dyDescent="0.25">
      <c r="A915" s="5" t="str">
        <f>"8716"</f>
        <v>8716</v>
      </c>
      <c r="B915" s="5" t="str">
        <f>"CATETER GUIA LAUCHER  6FR JR 3.5"</f>
        <v>CATETER GUIA LAUCHER  6FR JR 3.5</v>
      </c>
      <c r="C915" s="6">
        <v>256500</v>
      </c>
    </row>
    <row r="916" spans="1:3" x14ac:dyDescent="0.25">
      <c r="A916" s="5" t="str">
        <f>"8719"</f>
        <v>8719</v>
      </c>
      <c r="B916" s="5" t="str">
        <f>"STENT ONIX MEDICADO 2.75 X 26MM"</f>
        <v>STENT ONIX MEDICADO 2.75 X 26MM</v>
      </c>
      <c r="C916" s="6">
        <v>1890000</v>
      </c>
    </row>
    <row r="917" spans="1:3" x14ac:dyDescent="0.25">
      <c r="A917" s="5" t="str">
        <f>"8720"</f>
        <v>8720</v>
      </c>
      <c r="B917" s="5" t="str">
        <f>"STENT ONYX 4.0 X 22MM -REF RONYX 40022X"</f>
        <v>STENT ONYX 4.0 X 22MM -REF RONYX 40022X</v>
      </c>
      <c r="C917" s="6">
        <v>3285000</v>
      </c>
    </row>
    <row r="918" spans="1:3" x14ac:dyDescent="0.25">
      <c r="A918" s="5" t="str">
        <f>"8721"</f>
        <v>8721</v>
      </c>
      <c r="B918" s="5" t="str">
        <f>"H-STENT RESOLUTE ONYX 3.0 X 34mm"</f>
        <v>H-STENT RESOLUTE ONYX 3.0 X 34mm</v>
      </c>
      <c r="C918" s="6">
        <v>2700000</v>
      </c>
    </row>
    <row r="919" spans="1:3" x14ac:dyDescent="0.25">
      <c r="A919" s="5" t="str">
        <f>"8722"</f>
        <v>8722</v>
      </c>
      <c r="B919" s="5" t="str">
        <f>"CATETER  DIAGNOSTICO 5F VER 35-CRD"</f>
        <v>CATETER  DIAGNOSTICO 5F VER 35-CRD</v>
      </c>
      <c r="C919" s="6">
        <v>100000</v>
      </c>
    </row>
    <row r="920" spans="1:3" x14ac:dyDescent="0.25">
      <c r="A920" s="5" t="str">
        <f>"8724"</f>
        <v>8724</v>
      </c>
      <c r="B920" s="5" t="str">
        <f>"STENT RESOLUTE ONYX 2.5 X 34mm"</f>
        <v>STENT RESOLUTE ONYX 2.5 X 34mm</v>
      </c>
      <c r="C920" s="6">
        <v>24300000</v>
      </c>
    </row>
    <row r="921" spans="1:3" x14ac:dyDescent="0.25">
      <c r="A921" s="5" t="str">
        <f>"8725"</f>
        <v>8725</v>
      </c>
      <c r="B921" s="5" t="str">
        <f>"H-GUIA STARTER 0.035X 150CM-BST"</f>
        <v>H-GUIA STARTER 0.035X 150CM-BST</v>
      </c>
      <c r="C921" s="6">
        <v>102396</v>
      </c>
    </row>
    <row r="922" spans="1:3" x14ac:dyDescent="0.25">
      <c r="A922" s="5" t="str">
        <f>"8727"</f>
        <v>8727</v>
      </c>
      <c r="B922" s="5" t="str">
        <f>"STENT XIENCE  XPEDITION 3.5 X 28mm-ABBT"</f>
        <v>STENT XIENCE  XPEDITION 3.5 X 28mm-ABBT</v>
      </c>
      <c r="C922" s="6">
        <v>2835000</v>
      </c>
    </row>
    <row r="923" spans="1:3" x14ac:dyDescent="0.25">
      <c r="A923" s="5" t="str">
        <f>"8728"</f>
        <v>8728</v>
      </c>
      <c r="B923" s="5" t="str">
        <f>"STENT XIENCE XPEDITION  2.75 X18mm-ABBT"</f>
        <v>STENT XIENCE XPEDITION  2.75 X18mm-ABBT</v>
      </c>
      <c r="C923" s="6">
        <v>2850000</v>
      </c>
    </row>
    <row r="924" spans="1:3" x14ac:dyDescent="0.25">
      <c r="A924" s="5" t="str">
        <f>"8729"</f>
        <v>8729</v>
      </c>
      <c r="B924" s="5" t="str">
        <f>"STENT RESOLUTE ONYX 2.0 X 12mm-MDTRC"</f>
        <v>STENT RESOLUTE ONYX 2.0 X 12mm-MDTRC</v>
      </c>
      <c r="C924" s="6">
        <v>1890000</v>
      </c>
    </row>
    <row r="925" spans="1:3" x14ac:dyDescent="0.25">
      <c r="A925" s="5" t="str">
        <f>"8730"</f>
        <v>8730</v>
      </c>
      <c r="B925" s="5" t="str">
        <f>"BALON ADMIRAL XTREME 4.0mmx 120mm-MDT"</f>
        <v>BALON ADMIRAL XTREME 4.0mmx 120mm-MDT</v>
      </c>
      <c r="C925" s="6">
        <v>1012500</v>
      </c>
    </row>
    <row r="926" spans="1:3" x14ac:dyDescent="0.25">
      <c r="A926" s="5" t="str">
        <f>"8731"</f>
        <v>8731</v>
      </c>
      <c r="B926" s="5" t="str">
        <f>"CATETER DIAGNOSTICO 6FR JR 5- COR-534623T"</f>
        <v>CATETER DIAGNOSTICO 6FR JR 5- COR-534623T</v>
      </c>
      <c r="C926" s="6">
        <v>98000</v>
      </c>
    </row>
    <row r="927" spans="1:3" x14ac:dyDescent="0.25">
      <c r="A927" s="5" t="str">
        <f>"8732"</f>
        <v>8732</v>
      </c>
      <c r="B927" s="5" t="str">
        <f>"CATETER GUIA 6FR XB LAD 3.5- COR-076-67006000"</f>
        <v>CATETER GUIA 6FR XB LAD 3.5- COR-076-67006000</v>
      </c>
      <c r="C927" s="6">
        <v>514500</v>
      </c>
    </row>
    <row r="928" spans="1:3" x14ac:dyDescent="0.25">
      <c r="A928" s="5" t="str">
        <f>"8733"</f>
        <v>8733</v>
      </c>
      <c r="B928" s="5" t="str">
        <f>"CATETER DIAGNOSTICO 5FR  BER  -COR"</f>
        <v>CATETER DIAGNOSTICO 5FR  BER  -COR</v>
      </c>
      <c r="C928" s="6">
        <v>85050</v>
      </c>
    </row>
    <row r="929" spans="1:3" x14ac:dyDescent="0.25">
      <c r="A929" s="5" t="str">
        <f>"8734"</f>
        <v>8734</v>
      </c>
      <c r="B929" s="5" t="str">
        <f>"STENT RESOLUTE ONYX 2.0 X 22mm-MDT"</f>
        <v>STENT RESOLUTE ONYX 2.0 X 22mm-MDT</v>
      </c>
      <c r="C929" s="6">
        <v>4495000</v>
      </c>
    </row>
    <row r="930" spans="1:3" x14ac:dyDescent="0.25">
      <c r="A930" s="5" t="str">
        <f>"8735"</f>
        <v>8735</v>
      </c>
      <c r="B930" s="5" t="str">
        <f>"STENT SMART  FLEX 5.0 X 100-CRD"</f>
        <v>STENT SMART  FLEX 5.0 X 100-CRD</v>
      </c>
      <c r="C930" s="6">
        <v>3183300</v>
      </c>
    </row>
    <row r="931" spans="1:3" x14ac:dyDescent="0.25">
      <c r="A931" s="5" t="str">
        <f>"8736"</f>
        <v>8736</v>
      </c>
      <c r="B931" s="5" t="str">
        <f>"STENT RESOLUTE ONYX 3.0 X38CM-MDTR"</f>
        <v>STENT RESOLUTE ONYX 3.0 X38CM-MDTR</v>
      </c>
      <c r="C931" s="6">
        <v>2700000</v>
      </c>
    </row>
    <row r="932" spans="1:3" x14ac:dyDescent="0.25">
      <c r="A932" s="5" t="str">
        <f>"8737"</f>
        <v>8737</v>
      </c>
      <c r="B932" s="5" t="str">
        <f>"CATETER GUIA LAUNCHER 6FR JL4-MDTR"</f>
        <v>CATETER GUIA LAUNCHER 6FR JL4-MDTR</v>
      </c>
      <c r="C932" s="6">
        <v>337500</v>
      </c>
    </row>
    <row r="933" spans="1:3" x14ac:dyDescent="0.25">
      <c r="A933" s="5" t="str">
        <f>"8738"</f>
        <v>8738</v>
      </c>
      <c r="B933" s="5" t="str">
        <f>"BALON ADMIRAL XTREME 5.0 X300MM-MDTR"</f>
        <v>BALON ADMIRAL XTREME 5.0 X300MM-MDTR</v>
      </c>
      <c r="C933" s="6">
        <v>1350000</v>
      </c>
    </row>
    <row r="934" spans="1:3" x14ac:dyDescent="0.25">
      <c r="A934" s="5" t="str">
        <f>"8739"</f>
        <v>8739</v>
      </c>
      <c r="B934" s="5" t="str">
        <f>"STENT RESOLUTE ONYX 2.75 X 38MM-MEDTR"</f>
        <v>STENT RESOLUTE ONYX 2.75 X 38MM-MEDTR</v>
      </c>
      <c r="C934" s="6">
        <v>2430000</v>
      </c>
    </row>
    <row r="935" spans="1:3" x14ac:dyDescent="0.25">
      <c r="A935" s="5" t="str">
        <f>"8740"</f>
        <v>8740</v>
      </c>
      <c r="B935" s="5" t="str">
        <f>"BALON ADMIRAL XTREME 5.0 X 150MM-MEDTR-REF SBI05015030"</f>
        <v>BALON ADMIRAL XTREME 5.0 X 150MM-MEDTR-REF SBI05015030</v>
      </c>
      <c r="C935" s="6">
        <v>1575000</v>
      </c>
    </row>
    <row r="936" spans="1:3" x14ac:dyDescent="0.25">
      <c r="A936" s="5" t="str">
        <f>"8742"</f>
        <v>8742</v>
      </c>
      <c r="B936" s="5" t="str">
        <f>"INTRODUCTOR 7FR X 23CM-CRD-401723M"</f>
        <v>INTRODUCTOR 7FR X 23CM-CRD-401723M</v>
      </c>
      <c r="C936" s="6">
        <v>112050</v>
      </c>
    </row>
    <row r="937" spans="1:3" x14ac:dyDescent="0.25">
      <c r="A937" s="5" t="str">
        <f>"8743"</f>
        <v>8743</v>
      </c>
      <c r="B937" s="5" t="str">
        <f>"BALON EUPHORA 2.75 X 15 MM-MDT"</f>
        <v>BALON EUPHORA 2.75 X 15 MM-MDT</v>
      </c>
      <c r="C937" s="6">
        <v>780000</v>
      </c>
    </row>
    <row r="938" spans="1:3" x14ac:dyDescent="0.25">
      <c r="A938" s="5" t="str">
        <f>"8744"</f>
        <v>8744</v>
      </c>
      <c r="B938" s="5" t="str">
        <f>"STENT XIENCE  XPEDITION SV 2.0 X12mm-ABT  10177027"</f>
        <v>STENT XIENCE  XPEDITION SV 2.0 X12mm-ABT  10177027</v>
      </c>
      <c r="C938" s="6">
        <v>4194450</v>
      </c>
    </row>
    <row r="939" spans="1:3" x14ac:dyDescent="0.25">
      <c r="A939" s="5" t="str">
        <f>"8745"</f>
        <v>8745</v>
      </c>
      <c r="B939" s="5" t="str">
        <f>"STENT RESOLUTE ONYX 2.0 X 18mm-MEDT"</f>
        <v>STENT RESOLUTE ONYX 2.0 X 18mm-MEDT</v>
      </c>
      <c r="C939" s="6">
        <v>2430000</v>
      </c>
    </row>
    <row r="940" spans="1:3" x14ac:dyDescent="0.25">
      <c r="A940" s="5" t="str">
        <f>"8746"</f>
        <v>8746</v>
      </c>
      <c r="B940" s="5" t="str">
        <f>"H-STENT ABSOLUTE PRO LL 5.0 X 120mm-ABT"</f>
        <v>H-STENT ABSOLUTE PRO LL 5.0 X 120mm-ABT</v>
      </c>
      <c r="C940" s="6">
        <v>3375000</v>
      </c>
    </row>
    <row r="941" spans="1:3" x14ac:dyDescent="0.25">
      <c r="A941" s="5" t="str">
        <f>"8747"</f>
        <v>8747</v>
      </c>
      <c r="B941" s="5" t="str">
        <f>"H-STENT ABSOLUTE PRO 5.0 X 80 mm-ABT"</f>
        <v>H-STENT ABSOLUTE PRO 5.0 X 80 mm-ABT</v>
      </c>
      <c r="C941" s="6">
        <v>3375000</v>
      </c>
    </row>
    <row r="942" spans="1:3" x14ac:dyDescent="0.25">
      <c r="A942" s="5" t="str">
        <f>"8748"</f>
        <v>8748</v>
      </c>
      <c r="B942" s="5" t="str">
        <f>"BALON NC EUPHORA 3.5mm X 15mm-MDT"</f>
        <v>BALON NC EUPHORA 3.5mm X 15mm-MDT</v>
      </c>
      <c r="C942" s="6">
        <v>780000</v>
      </c>
    </row>
    <row r="943" spans="1:3" x14ac:dyDescent="0.25">
      <c r="A943" s="5" t="str">
        <f>"8750"</f>
        <v>8750</v>
      </c>
      <c r="B943" s="5" t="str">
        <f>"H-GUIA DIGNOSTICA EN J 3MM D 0.35 X 260CM-CTP"</f>
        <v>H-GUIA DIGNOSTICA EN J 3MM D 0.35 X 260CM-CTP</v>
      </c>
      <c r="C943" s="6">
        <v>124250</v>
      </c>
    </row>
    <row r="944" spans="1:3" x14ac:dyDescent="0.25">
      <c r="A944" s="5" t="str">
        <f>"8751"</f>
        <v>8751</v>
      </c>
      <c r="B944" s="5" t="str">
        <f>"CATETER GUIA HEART 6FR JL 3.5-TRM"</f>
        <v>CATETER GUIA HEART 6FR JL 3.5-TRM</v>
      </c>
      <c r="C944" s="6">
        <v>429710</v>
      </c>
    </row>
    <row r="945" spans="1:3" x14ac:dyDescent="0.25">
      <c r="A945" s="5" t="str">
        <f>"8752"</f>
        <v>8752</v>
      </c>
      <c r="B945" s="5" t="str">
        <f>"GUIA RINATO J FLOPPY 0.14 X 175-WM"</f>
        <v>GUIA RINATO J FLOPPY 0.14 X 175-WM</v>
      </c>
      <c r="C945" s="6">
        <v>341250</v>
      </c>
    </row>
    <row r="946" spans="1:3" x14ac:dyDescent="0.25">
      <c r="A946" s="5" t="str">
        <f>"8753"</f>
        <v>8753</v>
      </c>
      <c r="B946" s="5" t="str">
        <f>"H-GUIA MIRACLE RECTA 0.14 X 175-WM"</f>
        <v>H-GUIA MIRACLE RECTA 0.14 X 175-WM</v>
      </c>
      <c r="C946" s="6">
        <v>624750</v>
      </c>
    </row>
    <row r="947" spans="1:3" x14ac:dyDescent="0.25">
      <c r="A947" s="5" t="str">
        <f>"8754"</f>
        <v>8754</v>
      </c>
      <c r="B947" s="5" t="str">
        <f>"H-BALON PERIFERICO FREEWAY 3.0 X 150-CTP"</f>
        <v>H-BALON PERIFERICO FREEWAY 3.0 X 150-CTP</v>
      </c>
      <c r="C947" s="6">
        <v>3850000</v>
      </c>
    </row>
    <row r="948" spans="1:3" x14ac:dyDescent="0.25">
      <c r="A948" s="5" t="str">
        <f>"8755"</f>
        <v>8755</v>
      </c>
      <c r="B948" s="5" t="str">
        <f>"H-BALON CORONARIO DIOR 2.0 X 20-CTP"</f>
        <v>H-BALON CORONARIO DIOR 2.0 X 20-CTP</v>
      </c>
      <c r="C948" s="6">
        <v>3500000</v>
      </c>
    </row>
    <row r="949" spans="1:3" x14ac:dyDescent="0.25">
      <c r="A949" s="5" t="str">
        <f>"8756"</f>
        <v>8756</v>
      </c>
      <c r="B949" s="5" t="str">
        <f>"H-GUIA HIDROFILICA ANGULADA D 0.35 X 150CM O 260CM-CTP"</f>
        <v>H-GUIA HIDROFILICA ANGULADA D 0.35 X 150CM O 260CM-CTP</v>
      </c>
      <c r="C949" s="6">
        <v>283500</v>
      </c>
    </row>
    <row r="950" spans="1:3" x14ac:dyDescent="0.25">
      <c r="A950" s="5" t="str">
        <f>"8757"</f>
        <v>8757</v>
      </c>
      <c r="B950" s="5" t="str">
        <f>"H-GUA DIAGNOSTICA EN J 3MM D 0.35 X 150CM-CTP"</f>
        <v>H-GUA DIAGNOSTICA EN J 3MM D 0.35 X 150CM-CTP</v>
      </c>
      <c r="C950" s="6">
        <v>74720</v>
      </c>
    </row>
    <row r="951" spans="1:3" x14ac:dyDescent="0.25">
      <c r="A951" s="5" t="str">
        <f>"8758"</f>
        <v>8758</v>
      </c>
      <c r="B951" s="5" t="str">
        <f>"H-BANDA RADIAL- TRM"</f>
        <v>H-BANDA RADIAL- TRM</v>
      </c>
      <c r="C951" s="6">
        <v>105000</v>
      </c>
    </row>
    <row r="952" spans="1:3" x14ac:dyDescent="0.25">
      <c r="A952" s="5" t="str">
        <f>"8759"</f>
        <v>8759</v>
      </c>
      <c r="B952" s="5" t="s">
        <v>23</v>
      </c>
      <c r="C952" s="6">
        <v>379170</v>
      </c>
    </row>
    <row r="953" spans="1:3" x14ac:dyDescent="0.25">
      <c r="A953" s="5" t="str">
        <f>"8760"</f>
        <v>8760</v>
      </c>
      <c r="B953" s="5" t="str">
        <f>"H-CATETER DIAGNOSTICO COBRA 2 4FR X 65CM-TRM"</f>
        <v>H-CATETER DIAGNOSTICO COBRA 2 4FR X 65CM-TRM</v>
      </c>
      <c r="C953" s="6">
        <v>89250</v>
      </c>
    </row>
    <row r="954" spans="1:3" x14ac:dyDescent="0.25">
      <c r="A954" s="5" t="str">
        <f>"8761"</f>
        <v>8761</v>
      </c>
      <c r="B954" s="5" t="str">
        <f>"H-CATETER DIAGNOSTICO HIDROFILICO H1 5FR X 100 CM-TRM"</f>
        <v>H-CATETER DIAGNOSTICO HIDROFILICO H1 5FR X 100 CM-TRM</v>
      </c>
      <c r="C954" s="6">
        <v>429720</v>
      </c>
    </row>
    <row r="955" spans="1:3" x14ac:dyDescent="0.25">
      <c r="A955" s="5" t="str">
        <f>"8762"</f>
        <v>8762</v>
      </c>
      <c r="B955" s="5" t="str">
        <f>"H-CATETER DIAGNOSTICO COBRA 1 O 2 5FR X 65 CM-TRM"</f>
        <v>H-CATETER DIAGNOSTICO COBRA 1 O 2 5FR X 65 CM-TRM</v>
      </c>
      <c r="C955" s="6">
        <v>429720</v>
      </c>
    </row>
    <row r="956" spans="1:3" x14ac:dyDescent="0.25">
      <c r="A956" s="5" t="str">
        <f>"8763"</f>
        <v>8763</v>
      </c>
      <c r="B956" s="5" t="str">
        <f>"H-CATETER GUIA HEART 6FR JR 3.5-TRM"</f>
        <v>H-CATETER GUIA HEART 6FR JR 3.5-TRM</v>
      </c>
      <c r="C956" s="6">
        <v>429720</v>
      </c>
    </row>
    <row r="957" spans="1:3" x14ac:dyDescent="0.25">
      <c r="A957" s="5" t="str">
        <f>"8764"</f>
        <v>8764</v>
      </c>
      <c r="B957" s="5" t="str">
        <f>"H-CATETER GUIA HEART 6FR JR 4.0-TRM"</f>
        <v>H-CATETER GUIA HEART 6FR JR 4.0-TRM</v>
      </c>
      <c r="C957" s="6">
        <v>429720</v>
      </c>
    </row>
    <row r="958" spans="1:3" x14ac:dyDescent="0.25">
      <c r="A958" s="5" t="str">
        <f>"8765"</f>
        <v>8765</v>
      </c>
      <c r="B958" s="5" t="str">
        <f>"H-GUIA DIAGNOSTICA RECTA 0.35 X 150CM-CTP"</f>
        <v>H-GUIA DIAGNOSTICA RECTA 0.35 X 150CM-CTP</v>
      </c>
      <c r="C958" s="6">
        <v>74730</v>
      </c>
    </row>
    <row r="959" spans="1:3" x14ac:dyDescent="0.25">
      <c r="A959" s="5" t="str">
        <f>"8766"</f>
        <v>8766</v>
      </c>
      <c r="B959" s="5" t="str">
        <f>"H-GUIA DIAGNOSTICA RECTA 0.35 X 260CM-CTP"</f>
        <v>H-GUIA DIAGNOSTICA RECTA 0.35 X 260CM-CTP</v>
      </c>
      <c r="C959" s="6">
        <v>124250</v>
      </c>
    </row>
    <row r="960" spans="1:3" x14ac:dyDescent="0.25">
      <c r="A960" s="5" t="str">
        <f>"8767"</f>
        <v>8767</v>
      </c>
      <c r="B960" s="5" t="str">
        <f>"H-BALON NC EUPHORA 3.0 X 15 MM-MDT-REF NCUP3015X"</f>
        <v>H-BALON NC EUPHORA 3.0 X 15 MM-MDT-REF NCUP3015X</v>
      </c>
      <c r="C960" s="6">
        <v>700000</v>
      </c>
    </row>
    <row r="961" spans="1:3" x14ac:dyDescent="0.25">
      <c r="A961" s="5" t="str">
        <f>"8768"</f>
        <v>8768</v>
      </c>
      <c r="B961" s="5" t="str">
        <f>"H-BALON EUPHORA 3.0 X 20 MM-MDT- REF EU3020X"</f>
        <v>H-BALON EUPHORA 3.0 X 20 MM-MDT- REF EU3020X</v>
      </c>
      <c r="C961" s="6">
        <v>700000</v>
      </c>
    </row>
    <row r="962" spans="1:3" x14ac:dyDescent="0.25">
      <c r="A962" s="5" t="str">
        <f>"8769"</f>
        <v>8769</v>
      </c>
      <c r="B962" s="5" t="str">
        <f>"H-STENT ABSOLUTE PRO 6.0 X 60 MM-ABT"</f>
        <v>H-STENT ABSOLUTE PRO 6.0 X 60 MM-ABT</v>
      </c>
      <c r="C962" s="6">
        <v>5000000</v>
      </c>
    </row>
    <row r="963" spans="1:3" x14ac:dyDescent="0.25">
      <c r="A963" s="5" t="str">
        <f>"8770"</f>
        <v>8770</v>
      </c>
      <c r="B963" s="5" t="str">
        <f>"STENT COMPLETE SE VASCULAR 6 X 60 MM-MDT-REF SC660LG"</f>
        <v>STENT COMPLETE SE VASCULAR 6 X 60 MM-MDT-REF SC660LG</v>
      </c>
      <c r="C963" s="6">
        <v>3400000</v>
      </c>
    </row>
    <row r="964" spans="1:3" x14ac:dyDescent="0.25">
      <c r="A964" s="5" t="str">
        <f>"8771"</f>
        <v>8771</v>
      </c>
      <c r="B964" s="5" t="str">
        <f>"STENT COMPLETE SE VASCULAR 5 X 40 MM-MDT-REFSC540LG"</f>
        <v>STENT COMPLETE SE VASCULAR 5 X 40 MM-MDT-REFSC540LG</v>
      </c>
      <c r="C964" s="6">
        <v>3400000</v>
      </c>
    </row>
    <row r="965" spans="1:3" x14ac:dyDescent="0.25">
      <c r="A965" s="5" t="str">
        <f>"8772"</f>
        <v>8772</v>
      </c>
      <c r="B965" s="5" t="str">
        <f>"BALON INVATEC ADMIRAL XTREME 4.0 X 60 MM-MDT-REFSBI040060130"</f>
        <v>BALON INVATEC ADMIRAL XTREME 4.0 X 60 MM-MDT-REFSBI040060130</v>
      </c>
      <c r="C965" s="6">
        <v>1312500</v>
      </c>
    </row>
    <row r="966" spans="1:3" x14ac:dyDescent="0.25">
      <c r="A966" s="5" t="str">
        <f>"8773"</f>
        <v>8773</v>
      </c>
      <c r="B966" s="5" t="str">
        <f>"BALON INVATEC ADMIRAL XTREME 6.0 X 80 MM-MDT-REFSBI060080130"</f>
        <v>BALON INVATEC ADMIRAL XTREME 6.0 X 80 MM-MDT-REFSBI060080130</v>
      </c>
      <c r="C966" s="6">
        <v>1312500</v>
      </c>
    </row>
    <row r="967" spans="1:3" x14ac:dyDescent="0.25">
      <c r="A967" s="5" t="str">
        <f>"8774"</f>
        <v>8774</v>
      </c>
      <c r="B967" s="5" t="str">
        <f>"CATETER DIAGNOSTICO 5F MPA 2- CRD-076-534542T"</f>
        <v>CATETER DIAGNOSTICO 5F MPA 2- CRD-076-534542T</v>
      </c>
      <c r="C967" s="6">
        <v>100000</v>
      </c>
    </row>
    <row r="968" spans="1:3" x14ac:dyDescent="0.25">
      <c r="A968" s="5" t="str">
        <f>"8775"</f>
        <v>8775</v>
      </c>
      <c r="B968" s="5" t="str">
        <f>"STENTE XIENCE ALPINE 3.0 X 28 MM- ABBT"</f>
        <v>STENTE XIENCE ALPINE 3.0 X 28 MM- ABBT</v>
      </c>
      <c r="C968" s="6">
        <v>5650000</v>
      </c>
    </row>
    <row r="969" spans="1:3" x14ac:dyDescent="0.25">
      <c r="A969" s="5" t="str">
        <f>"8776"</f>
        <v>8776</v>
      </c>
      <c r="B969" s="5" t="str">
        <f>"BALON NC EUPHORA 3.5 X 20 MM-MDT"</f>
        <v>BALON NC EUPHORA 3.5 X 20 MM-MDT</v>
      </c>
      <c r="C969" s="6">
        <v>700000</v>
      </c>
    </row>
    <row r="970" spans="1:3" x14ac:dyDescent="0.25">
      <c r="A970" s="5" t="str">
        <f>"8777"</f>
        <v>8777</v>
      </c>
      <c r="B970" s="5" t="str">
        <f>"BALON POWERFLEX PRO 5 X 22 MM- CORD"</f>
        <v>BALON POWERFLEX PRO 5 X 22 MM- CORD</v>
      </c>
      <c r="C970" s="6">
        <v>5000000</v>
      </c>
    </row>
    <row r="971" spans="1:3" x14ac:dyDescent="0.25">
      <c r="A971" s="5" t="str">
        <f>"8778"</f>
        <v>8778</v>
      </c>
      <c r="B971" s="5" t="str">
        <f>"BALON ADMIRAL XTREME 8.0 MM X 40 MM- MDT"</f>
        <v>BALON ADMIRAL XTREME 8.0 MM X 40 MM- MDT</v>
      </c>
      <c r="C971" s="6">
        <v>1312500</v>
      </c>
    </row>
    <row r="972" spans="1:3" x14ac:dyDescent="0.25">
      <c r="A972" s="5" t="str">
        <f>"8779"</f>
        <v>8779</v>
      </c>
      <c r="B972" s="5" t="str">
        <f>"STENT RENAL HIPPOCAMPUS 5.0 MM X 20 MM- MDT"</f>
        <v>STENT RENAL HIPPOCAMPUS 5.0 MM X 20 MM- MDT</v>
      </c>
      <c r="C972" s="6">
        <v>3400000</v>
      </c>
    </row>
    <row r="973" spans="1:3" x14ac:dyDescent="0.25">
      <c r="A973" s="5" t="str">
        <f>"8780"</f>
        <v>8780</v>
      </c>
      <c r="B973" s="5" t="str">
        <f>"STENT ABSOLUTE PRO 9.0MM X 60 MM -ABBT"</f>
        <v>STENT ABSOLUTE PRO 9.0MM X 60 MM -ABBT</v>
      </c>
      <c r="C973" s="6">
        <v>4375000</v>
      </c>
    </row>
    <row r="974" spans="1:3" x14ac:dyDescent="0.25">
      <c r="A974" s="5" t="str">
        <f>"8781"</f>
        <v>8781</v>
      </c>
      <c r="B974" s="5" t="str">
        <f>"STENT CUBIERTO ADVANTA V12 9MM X 38MM-DRT"</f>
        <v>STENT CUBIERTO ADVANTA V12 9MM X 38MM-DRT</v>
      </c>
      <c r="C974" s="6">
        <v>7000000</v>
      </c>
    </row>
    <row r="975" spans="1:3" x14ac:dyDescent="0.25">
      <c r="A975" s="5" t="str">
        <f>"8782"</f>
        <v>8782</v>
      </c>
      <c r="B975" s="5" t="str">
        <f>"BALON INVATEC ADMIRAL XTREME 8.0MM X 60 MM- MDT"</f>
        <v>BALON INVATEC ADMIRAL XTREME 8.0MM X 60 MM- MDT</v>
      </c>
      <c r="C975" s="6">
        <v>1312500</v>
      </c>
    </row>
    <row r="976" spans="1:3" x14ac:dyDescent="0.25">
      <c r="A976" s="5" t="str">
        <f>"8783"</f>
        <v>8783</v>
      </c>
      <c r="B976" s="5" t="str">
        <f>"STENT ABSOLUTE PRO 10MM X 80MM-ABBT"</f>
        <v>STENT ABSOLUTE PRO 10MM X 80MM-ABBT</v>
      </c>
      <c r="C976" s="6">
        <v>5000000</v>
      </c>
    </row>
    <row r="977" spans="1:3" x14ac:dyDescent="0.25">
      <c r="A977" s="5" t="str">
        <f>"8784"</f>
        <v>8784</v>
      </c>
      <c r="B977" s="5" t="str">
        <f>"H-BALON PERIFERICO FREEWAY 2.5MM X 150MM-CTP"</f>
        <v>H-BALON PERIFERICO FREEWAY 2.5MM X 150MM-CTP</v>
      </c>
      <c r="C977" s="6">
        <v>3850000</v>
      </c>
    </row>
    <row r="978" spans="1:3" x14ac:dyDescent="0.25">
      <c r="A978" s="5" t="str">
        <f>"8785"</f>
        <v>8785</v>
      </c>
      <c r="B978" s="5" t="str">
        <f>"STENT GRAFT ETBF 2813C145 EE ENDURANT II BIF-MDT"</f>
        <v>STENT GRAFT ETBF 2813C145 EE ENDURANT II BIF-MDT</v>
      </c>
      <c r="C978" s="6">
        <v>32725000</v>
      </c>
    </row>
    <row r="979" spans="1:3" x14ac:dyDescent="0.25">
      <c r="A979" s="5" t="str">
        <f>"8786"</f>
        <v>8786</v>
      </c>
      <c r="B979" s="5" t="str">
        <f>"STENT GRAFT ETLW 1616C93 EE ENDURANT II LIMB-MDT"</f>
        <v>STENT GRAFT ETLW 1616C93 EE ENDURANT II LIMB-MDT</v>
      </c>
      <c r="C979" s="6">
        <v>8750000</v>
      </c>
    </row>
    <row r="980" spans="1:3" x14ac:dyDescent="0.25">
      <c r="A980" s="5" t="str">
        <f>"8787"</f>
        <v>8787</v>
      </c>
      <c r="B980" s="5" t="str">
        <f>"CATHETER AB46 OUS RELIANT BALLON-MDT"</f>
        <v>CATHETER AB46 OUS RELIANT BALLON-MDT</v>
      </c>
      <c r="C980" s="6">
        <v>1137500</v>
      </c>
    </row>
    <row r="981" spans="1:3" x14ac:dyDescent="0.25">
      <c r="A981" s="5" t="str">
        <f>"8788"</f>
        <v>8788</v>
      </c>
      <c r="B981" s="5" t="str">
        <f>"STENT GRAFT ETBF 2516C145 EE ENDURANT II BIF-MDT"</f>
        <v>STENT GRAFT ETBF 2516C145 EE ENDURANT II BIF-MDT</v>
      </c>
      <c r="C981" s="6">
        <v>33862500</v>
      </c>
    </row>
    <row r="982" spans="1:3" x14ac:dyDescent="0.25">
      <c r="A982" s="5" t="str">
        <f>"8789"</f>
        <v>8789</v>
      </c>
      <c r="B982" s="5" t="str">
        <f>"GUIA HIDROFILICA NITREX .035 X 260 CM-MDT"</f>
        <v>GUIA HIDROFILICA NITREX .035 X 260 CM-MDT</v>
      </c>
      <c r="C982" s="6">
        <v>937120</v>
      </c>
    </row>
    <row r="983" spans="1:3" x14ac:dyDescent="0.25">
      <c r="A983" s="5" t="str">
        <f>"8789"</f>
        <v>8789</v>
      </c>
      <c r="B983" s="5" t="s">
        <v>22</v>
      </c>
      <c r="C983" s="6">
        <v>535500</v>
      </c>
    </row>
    <row r="984" spans="1:3" x14ac:dyDescent="0.25">
      <c r="A984" s="5" t="str">
        <f>"8790"</f>
        <v>8790</v>
      </c>
      <c r="B984" s="5" t="str">
        <f>"GUIA JOTEC 0.35 MM X 300 CM-MDT"</f>
        <v>GUIA JOTEC 0.35 MM X 300 CM-MDT</v>
      </c>
      <c r="C984" s="6">
        <v>1457750</v>
      </c>
    </row>
    <row r="985" spans="1:3" x14ac:dyDescent="0.25">
      <c r="A985" s="5" t="str">
        <f>"8791"</f>
        <v>8791</v>
      </c>
      <c r="B985" s="5" t="str">
        <f>"CATETER DIAGNOSTICO 5F H1- CORD"</f>
        <v>CATETER DIAGNOSTICO 5F H1- CORD</v>
      </c>
      <c r="C985" s="6">
        <v>103250</v>
      </c>
    </row>
    <row r="986" spans="1:3" x14ac:dyDescent="0.25">
      <c r="A986" s="5" t="str">
        <f>"8792"</f>
        <v>8792</v>
      </c>
      <c r="B986" s="5" t="str">
        <f>"STENT CUBIERTO ADVANTA V12 8MM X 38MM-DRT"</f>
        <v>STENT CUBIERTO ADVANTA V12 8MM X 38MM-DRT</v>
      </c>
      <c r="C986" s="6">
        <v>7000000</v>
      </c>
    </row>
    <row r="987" spans="1:3" x14ac:dyDescent="0.25">
      <c r="A987" s="5" t="str">
        <f>"8793"</f>
        <v>8793</v>
      </c>
      <c r="B987" s="5" t="str">
        <f>"STENT CUBIERTO ADVANTA V12 10MM X 38MM-DRT"</f>
        <v>STENT CUBIERTO ADVANTA V12 10MM X 38MM-DRT</v>
      </c>
      <c r="C987" s="6">
        <v>7000000</v>
      </c>
    </row>
    <row r="988" spans="1:3" x14ac:dyDescent="0.25">
      <c r="A988" s="5" t="str">
        <f>"8795"</f>
        <v>8795</v>
      </c>
      <c r="B988" s="5" t="str">
        <f>"INTRODUCTOR FEMORAL 6F INPUT-MDT"</f>
        <v>INTRODUCTOR FEMORAL 6F INPUT-MDT</v>
      </c>
      <c r="C988" s="6">
        <v>115500</v>
      </c>
    </row>
    <row r="989" spans="1:3" x14ac:dyDescent="0.25">
      <c r="A989" s="5" t="str">
        <f>"8796"</f>
        <v>8796</v>
      </c>
      <c r="B989" s="5" t="str">
        <f>"BALON EUPHORA 4.0 X 20MM- MDT"</f>
        <v>BALON EUPHORA 4.0 X 20MM- MDT</v>
      </c>
      <c r="C989" s="6">
        <v>665000</v>
      </c>
    </row>
    <row r="990" spans="1:3" x14ac:dyDescent="0.25">
      <c r="A990" s="5" t="str">
        <f>"8797"</f>
        <v>8797</v>
      </c>
      <c r="B990" s="5" t="str">
        <f>"BALON ADMIRAL DEEP INVATEC 3.0 X 80MM-MDT"</f>
        <v>BALON ADMIRAL DEEP INVATEC 3.0 X 80MM-MDT</v>
      </c>
      <c r="C990" s="6">
        <v>1575000</v>
      </c>
    </row>
    <row r="991" spans="1:3" x14ac:dyDescent="0.25">
      <c r="A991" s="5" t="str">
        <f>"8798"</f>
        <v>8798</v>
      </c>
      <c r="B991" s="5" t="str">
        <f>"BALON INPACT ADMIRAL 6.0 X 120MM-MDT"</f>
        <v>BALON INPACT ADMIRAL 6.0 X 120MM-MDT</v>
      </c>
      <c r="C991" s="6">
        <v>3375000</v>
      </c>
    </row>
    <row r="992" spans="1:3" x14ac:dyDescent="0.25">
      <c r="A992" s="5" t="str">
        <f>"8799"</f>
        <v>8799</v>
      </c>
      <c r="B992" s="5" t="str">
        <f>"GUIA SHORT TAPER V-14 300CM- BST"</f>
        <v>GUIA SHORT TAPER V-14 300CM- BST</v>
      </c>
      <c r="C992" s="6">
        <v>1074221</v>
      </c>
    </row>
    <row r="993" spans="1:3" x14ac:dyDescent="0.25">
      <c r="A993" s="5" t="str">
        <f>"8800"</f>
        <v>8800</v>
      </c>
      <c r="B993" s="5" t="str">
        <f>"GUIA WIRE 0.35 X 180MM ANGLED- BST"</f>
        <v>GUIA WIRE 0.35 X 180MM ANGLED- BST</v>
      </c>
      <c r="C993" s="6">
        <v>2300538</v>
      </c>
    </row>
    <row r="994" spans="1:3" x14ac:dyDescent="0.25">
      <c r="A994" s="5" t="str">
        <f>"8801"</f>
        <v>8801</v>
      </c>
      <c r="B994" s="5" t="str">
        <f>"GUIA WIRE 0.35 X 260MM ANGLED-BST"</f>
        <v>GUIA WIRE 0.35 X 260MM ANGLED-BST</v>
      </c>
      <c r="C994" s="6">
        <v>2300578</v>
      </c>
    </row>
    <row r="995" spans="1:3" x14ac:dyDescent="0.25">
      <c r="A995" s="5" t="str">
        <f>"8802"</f>
        <v>8802</v>
      </c>
      <c r="B995" s="5" t="str">
        <f>"H- CATETER DIAGNOSTICO 6FR JR 3.5 PERFORMA REF: 7503-13- W"</f>
        <v>H- CATETER DIAGNOSTICO 6FR JR 3.5 PERFORMA REF: 7503-13- W</v>
      </c>
      <c r="C995" s="6">
        <v>89250</v>
      </c>
    </row>
    <row r="996" spans="1:3" x14ac:dyDescent="0.25">
      <c r="A996" s="5" t="str">
        <f>"8803"</f>
        <v>8803</v>
      </c>
      <c r="B996" s="5" t="str">
        <f>"H- CATETER DIAGNOSTICO 6FR JL 3.5 PERFORMA REF: 7501-13- W"</f>
        <v>H- CATETER DIAGNOSTICO 6FR JL 3.5 PERFORMA REF: 7501-13- W</v>
      </c>
      <c r="C996" s="6">
        <v>89250</v>
      </c>
    </row>
    <row r="997" spans="1:3" x14ac:dyDescent="0.25">
      <c r="A997" s="5" t="str">
        <f>"8804"</f>
        <v>8804</v>
      </c>
      <c r="B997" s="5" t="str">
        <f>"H- CATETER DIAGNOSTICO 6FR PIGTAIL PERFORMA REF: 7777-21- W"</f>
        <v>H- CATETER DIAGNOSTICO 6FR PIGTAIL PERFORMA REF: 7777-21- W</v>
      </c>
      <c r="C997" s="6">
        <v>89250</v>
      </c>
    </row>
    <row r="998" spans="1:3" x14ac:dyDescent="0.25">
      <c r="A998" s="5" t="str">
        <f>"8805"</f>
        <v>8805</v>
      </c>
      <c r="B998" s="5" t="str">
        <f>"H- CATETER DIAGNOSTICO 6FR JL 4.0 PERFORMA- WRLD"</f>
        <v>H- CATETER DIAGNOSTICO 6FR JL 4.0 PERFORMA- WRLD</v>
      </c>
      <c r="C998" s="6">
        <v>89250</v>
      </c>
    </row>
    <row r="999" spans="1:3" x14ac:dyDescent="0.25">
      <c r="A999" s="5" t="str">
        <f>"8806"</f>
        <v>8806</v>
      </c>
      <c r="B999" s="5" t="str">
        <f>"CATETER GUIA HEART 6FR JL 4.0-TRM"</f>
        <v>CATETER GUIA HEART 6FR JL 4.0-TRM</v>
      </c>
      <c r="C999" s="6">
        <v>429720</v>
      </c>
    </row>
    <row r="1000" spans="1:3" x14ac:dyDescent="0.25">
      <c r="A1000" s="5" t="str">
        <f>"8807"</f>
        <v>8807</v>
      </c>
      <c r="B1000" s="5" t="str">
        <f>"STENT RESOLUTE ONYX 2.0 X 8MM- REF RONYX20008X- MDT"</f>
        <v>STENT RESOLUTE ONYX 2.0 X 8MM- REF RONYX20008X- MDT</v>
      </c>
      <c r="C1000" s="6">
        <v>2450000</v>
      </c>
    </row>
    <row r="1001" spans="1:3" x14ac:dyDescent="0.25">
      <c r="A1001" s="5" t="str">
        <f>"8808"</f>
        <v>8808</v>
      </c>
      <c r="B1001" s="5" t="str">
        <f>"STENT RESOLUTE ONYX 2.5 X38MM- REF RONYX25038X- MDT"</f>
        <v>STENT RESOLUTE ONYX 2.5 X38MM- REF RONYX25038X- MDT</v>
      </c>
      <c r="C1001" s="6">
        <v>2450000</v>
      </c>
    </row>
    <row r="1002" spans="1:3" x14ac:dyDescent="0.25">
      <c r="A1002" s="5" t="str">
        <f>"8809"</f>
        <v>8809</v>
      </c>
      <c r="B1002" s="5" t="str">
        <f>"STENT RESOLUTE ONYX 4.0 X 22MM- REF RONYX40022X- MDT"</f>
        <v>STENT RESOLUTE ONYX 4.0 X 22MM- REF RONYX40022X- MDT</v>
      </c>
      <c r="C1002" s="6">
        <v>2450000</v>
      </c>
    </row>
    <row r="1003" spans="1:3" x14ac:dyDescent="0.25">
      <c r="A1003" s="5" t="str">
        <f>"8900"</f>
        <v>8900</v>
      </c>
      <c r="B1003" s="5" t="str">
        <f>"STENT RESOLUTE ONYX 2.75 X 34MM- REF RONYX27534X- MDT"</f>
        <v>STENT RESOLUTE ONYX 2.75 X 34MM- REF RONYX27534X- MDT</v>
      </c>
      <c r="C1003" s="6">
        <v>2450000</v>
      </c>
    </row>
    <row r="1004" spans="1:3" x14ac:dyDescent="0.25">
      <c r="A1004" s="5" t="str">
        <f>"8901"</f>
        <v>8901</v>
      </c>
      <c r="B1004" s="5" t="str">
        <f>"BALON EUPHORA 2.0 X 12MM- REF EUP2012X - MDT"</f>
        <v>BALON EUPHORA 2.0 X 12MM- REF EUP2012X - MDT</v>
      </c>
      <c r="C1004" s="6">
        <v>647500</v>
      </c>
    </row>
    <row r="1005" spans="1:3" x14ac:dyDescent="0.25">
      <c r="A1005" s="5" t="str">
        <f>"8902"</f>
        <v>8902</v>
      </c>
      <c r="B1005" s="5" t="str">
        <f>"BALON EUPHORA 2.5 X 12MM- REF EUP2512X - MDT"</f>
        <v>BALON EUPHORA 2.5 X 12MM- REF EUP2512X - MDT</v>
      </c>
      <c r="C1005" s="6">
        <v>647500</v>
      </c>
    </row>
    <row r="1006" spans="1:3" x14ac:dyDescent="0.25">
      <c r="A1006" s="5" t="str">
        <f>"8902"</f>
        <v>8902</v>
      </c>
      <c r="B1006" s="5" t="str">
        <f>"BALON EUPHORA 2.5 X 12MM- REF EUP2512X- MDT"</f>
        <v>BALON EUPHORA 2.5 X 12MM- REF EUP2512X- MDT</v>
      </c>
      <c r="C1006" s="6">
        <v>647500</v>
      </c>
    </row>
    <row r="1007" spans="1:3" x14ac:dyDescent="0.25">
      <c r="A1007" s="5" t="str">
        <f>"8903"</f>
        <v>8903</v>
      </c>
      <c r="B1007" s="5" t="str">
        <f>"BALON EUPHORA 3.0 X 15MM- REF EUP3015X - MDT"</f>
        <v>BALON EUPHORA 3.0 X 15MM- REF EUP3015X - MDT</v>
      </c>
      <c r="C1007" s="6">
        <v>647500</v>
      </c>
    </row>
    <row r="1008" spans="1:3" x14ac:dyDescent="0.25">
      <c r="A1008" s="5" t="str">
        <f>"8904"</f>
        <v>8904</v>
      </c>
      <c r="B1008" s="5" t="str">
        <f>"BALON EUPHORA 3.0 X 30MM- REF EUP3030X - MDT"</f>
        <v>BALON EUPHORA 3.0 X 30MM- REF EUP3030X - MDT</v>
      </c>
      <c r="C1008" s="6">
        <v>647500</v>
      </c>
    </row>
    <row r="1009" spans="1:3" x14ac:dyDescent="0.25">
      <c r="A1009" s="5" t="str">
        <f>"8905"</f>
        <v>8905</v>
      </c>
      <c r="B1009" s="5" t="str">
        <f>"BALON NC EUPHORA 2.0 X 12MM- REF NCEUP2012X - MDT"</f>
        <v>BALON NC EUPHORA 2.0 X 12MM- REF NCEUP2012X - MDT</v>
      </c>
      <c r="C1009" s="6">
        <v>647500</v>
      </c>
    </row>
    <row r="1010" spans="1:3" x14ac:dyDescent="0.25">
      <c r="A1010" s="5" t="str">
        <f>"8906"</f>
        <v>8906</v>
      </c>
      <c r="B1010" s="5" t="str">
        <f>"STENT RESOLUTE ONYX 2.5 X 30MM- REF RONYX25030X - MDT"</f>
        <v>STENT RESOLUTE ONYX 2.5 X 30MM- REF RONYX25030X - MDT</v>
      </c>
      <c r="C1010" s="6">
        <v>2450000</v>
      </c>
    </row>
    <row r="1011" spans="1:3" x14ac:dyDescent="0.25">
      <c r="A1011" s="5" t="str">
        <f>"8907"</f>
        <v>8907</v>
      </c>
      <c r="B1011" s="5" t="str">
        <f>"Introductor Radial RADIFOCUS 6 Fr x 10 cm con Aguja metalica/ Aguja surflash - TRM"</f>
        <v>Introductor Radial RADIFOCUS 6 Fr x 10 cm con Aguja metalica/ Aguja surflash - TRM</v>
      </c>
      <c r="C1011" s="6">
        <v>141750</v>
      </c>
    </row>
    <row r="1012" spans="1:3" x14ac:dyDescent="0.25">
      <c r="A1012" s="5" t="str">
        <f>"8908"</f>
        <v>8908</v>
      </c>
      <c r="B1012" s="5" t="s">
        <v>18</v>
      </c>
      <c r="C1012" s="6">
        <v>233887</v>
      </c>
    </row>
    <row r="1013" spans="1:3" x14ac:dyDescent="0.25">
      <c r="A1013" s="5" t="str">
        <f>"8909"</f>
        <v>8909</v>
      </c>
      <c r="B1013" s="5" t="s">
        <v>19</v>
      </c>
      <c r="C1013" s="6">
        <v>233887</v>
      </c>
    </row>
    <row r="1014" spans="1:3" x14ac:dyDescent="0.25">
      <c r="A1014" s="5" t="str">
        <f>"9000"</f>
        <v>9000</v>
      </c>
      <c r="B1014" s="5" t="s">
        <v>20</v>
      </c>
      <c r="C1014" s="6">
        <v>344925</v>
      </c>
    </row>
    <row r="1015" spans="1:3" x14ac:dyDescent="0.25">
      <c r="A1015" s="5" t="str">
        <f>"9001"</f>
        <v>9001</v>
      </c>
      <c r="B1015" s="5" t="s">
        <v>21</v>
      </c>
      <c r="C1015" s="6">
        <v>230000</v>
      </c>
    </row>
    <row r="1016" spans="1:3" x14ac:dyDescent="0.25">
      <c r="A1016" s="5" t="str">
        <f>"9002"</f>
        <v>9002</v>
      </c>
      <c r="B1016" s="5" t="str">
        <f>"Catéter diagnostico coronario OPTITORQUE 6 Fr JL 3.5 X 100cm-TRM"</f>
        <v>Catéter diagnostico coronario OPTITORQUE 6 Fr JL 3.5 X 100cm-TRM</v>
      </c>
      <c r="C1016" s="6">
        <v>80325</v>
      </c>
    </row>
    <row r="1017" spans="1:3" x14ac:dyDescent="0.25">
      <c r="A1017" s="5" t="str">
        <f>"9003"</f>
        <v>9003</v>
      </c>
      <c r="B1017" s="5" t="str">
        <f>"Balón coronario predilatacion RYUJIN PLUS 2.0mm X 15mm-TRM"</f>
        <v>Balón coronario predilatacion RYUJIN PLUS 2.0mm X 15mm-TRM</v>
      </c>
      <c r="C1017" s="6">
        <v>700000</v>
      </c>
    </row>
    <row r="1018" spans="1:3" x14ac:dyDescent="0.25">
      <c r="A1018" s="5" t="str">
        <f>"9004"</f>
        <v>9004</v>
      </c>
      <c r="B1018" s="5" t="str">
        <f>"Balón coronario predilatacion RYUJIN PLUS 1.5mm X 15mm-TRM"</f>
        <v>Balón coronario predilatacion RYUJIN PLUS 1.5mm X 15mm-TRM</v>
      </c>
      <c r="C1018" s="6">
        <v>700000</v>
      </c>
    </row>
    <row r="1019" spans="1:3" x14ac:dyDescent="0.25">
      <c r="A1019" s="5" t="str">
        <f>"9005"</f>
        <v>9005</v>
      </c>
      <c r="B1019" s="5" t="str">
        <f>"Balón coronario predilatacion RYUJIN PLUS 1.5mm X 20mm-TRM"</f>
        <v>Balón coronario predilatacion RYUJIN PLUS 1.5mm X 20mm-TRM</v>
      </c>
      <c r="C1019" s="6">
        <v>700000</v>
      </c>
    </row>
    <row r="1020" spans="1:3" x14ac:dyDescent="0.25">
      <c r="A1020" s="5" t="str">
        <f>"9006"</f>
        <v>9006</v>
      </c>
      <c r="B1020" s="5" t="str">
        <f>"Balón coronario predilatacion RYUJIN PLUS 2.0mm X 20mm-TRM"</f>
        <v>Balón coronario predilatacion RYUJIN PLUS 2.0mm X 20mm-TRM</v>
      </c>
      <c r="C1020" s="6">
        <v>700000</v>
      </c>
    </row>
    <row r="1021" spans="1:3" x14ac:dyDescent="0.25">
      <c r="A1021" s="5" t="str">
        <f>"9007"</f>
        <v>9007</v>
      </c>
      <c r="B1021" s="5" t="str">
        <f>"Balón coronario predilatacion RYUJIN PLUS 2.0mm X 30mm-TRM"</f>
        <v>Balón coronario predilatacion RYUJIN PLUS 2.0mm X 30mm-TRM</v>
      </c>
      <c r="C1021" s="6">
        <v>700000</v>
      </c>
    </row>
    <row r="1022" spans="1:3" x14ac:dyDescent="0.25">
      <c r="A1022" s="5" t="str">
        <f>"9008"</f>
        <v>9008</v>
      </c>
      <c r="B1022" s="5" t="str">
        <f>"Balón coronario predilatacion RYUJIN PLUS 2.5mm X 10mm-TRM"</f>
        <v>Balón coronario predilatacion RYUJIN PLUS 2.5mm X 10mm-TRM</v>
      </c>
      <c r="C1022" s="6">
        <v>700000</v>
      </c>
    </row>
    <row r="1023" spans="1:3" x14ac:dyDescent="0.25">
      <c r="A1023" s="5" t="str">
        <f>"9009"</f>
        <v>9009</v>
      </c>
      <c r="B1023" s="5" t="str">
        <f>"Balón coronario predilatacion RYUJIN PLUS 2.5mm X 15mm-TRM"</f>
        <v>Balón coronario predilatacion RYUJIN PLUS 2.5mm X 15mm-TRM</v>
      </c>
      <c r="C1023" s="6">
        <v>700000</v>
      </c>
    </row>
    <row r="1024" spans="1:3" x14ac:dyDescent="0.25">
      <c r="A1024" s="5" t="str">
        <f>"9010"</f>
        <v>9010</v>
      </c>
      <c r="B1024" s="5" t="str">
        <f>"LLAVE DE MANIFOLD-WRL"</f>
        <v>LLAVE DE MANIFOLD-WRL</v>
      </c>
      <c r="C1024" s="6">
        <v>45815</v>
      </c>
    </row>
    <row r="1025" spans="1:3" x14ac:dyDescent="0.25">
      <c r="A1025" s="5" t="str">
        <f>"9011"</f>
        <v>9011</v>
      </c>
      <c r="B1025" s="5" t="str">
        <f>"Balón coronario predilatacion RYUJIN PLUS 2.5mm X 20mm-TRM"</f>
        <v>Balón coronario predilatacion RYUJIN PLUS 2.5mm X 20mm-TRM</v>
      </c>
      <c r="C1025" s="6">
        <v>700000</v>
      </c>
    </row>
    <row r="1026" spans="1:3" x14ac:dyDescent="0.25">
      <c r="A1026" s="5" t="str">
        <f>"9012"</f>
        <v>9012</v>
      </c>
      <c r="B1026" s="5" t="str">
        <f>"Balón coronario predilatacion RYUJIN PLUS 3.0mm X 15mm-TRM"</f>
        <v>Balón coronario predilatacion RYUJIN PLUS 3.0mm X 15mm-TRM</v>
      </c>
      <c r="C1026" s="6">
        <v>700000</v>
      </c>
    </row>
    <row r="1027" spans="1:3" x14ac:dyDescent="0.25">
      <c r="A1027" s="5" t="str">
        <f>"9013"</f>
        <v>9013</v>
      </c>
      <c r="B1027" s="5" t="str">
        <f>"Balón coronario predilatacion RYUJIN PLUS 3.0mm X 20mm-TRM"</f>
        <v>Balón coronario predilatacion RYUJIN PLUS 3.0mm X 20mm-TRM</v>
      </c>
      <c r="C1027" s="6">
        <v>700000</v>
      </c>
    </row>
    <row r="1028" spans="1:3" x14ac:dyDescent="0.25">
      <c r="A1028" s="5" t="str">
        <f>"9014"</f>
        <v>9014</v>
      </c>
      <c r="B1028" s="5" t="str">
        <f>"STENT ULTIMASTER 2.75mm X 15mm-TRM"</f>
        <v>STENT ULTIMASTER 2.75mm X 15mm-TRM</v>
      </c>
      <c r="C1028" s="6">
        <v>3500000</v>
      </c>
    </row>
    <row r="1029" spans="1:3" x14ac:dyDescent="0.25">
      <c r="A1029" s="5" t="str">
        <f>"9015"</f>
        <v>9015</v>
      </c>
      <c r="B1029" s="5" t="str">
        <f>"STENT ULTIMASTER 2.75mm X 18mm-TRM"</f>
        <v>STENT ULTIMASTER 2.75mm X 18mm-TRM</v>
      </c>
      <c r="C1029" s="6">
        <v>3500000</v>
      </c>
    </row>
    <row r="1030" spans="1:3" x14ac:dyDescent="0.25">
      <c r="A1030" s="5" t="str">
        <f>"9016"</f>
        <v>9016</v>
      </c>
      <c r="B1030" s="5" t="str">
        <f>"STENT ULTIMASTER 2.75mm X 24mm-TRM"</f>
        <v>STENT ULTIMASTER 2.75mm X 24mm-TRM</v>
      </c>
      <c r="C1030" s="6">
        <v>3500000</v>
      </c>
    </row>
    <row r="1031" spans="1:3" x14ac:dyDescent="0.25">
      <c r="A1031" s="5" t="str">
        <f>"9017"</f>
        <v>9017</v>
      </c>
      <c r="B1031" s="5" t="str">
        <f>"STENT ULTIMASTER 3.0mm X 15mm-TRM"</f>
        <v>STENT ULTIMASTER 3.0mm X 15mm-TRM</v>
      </c>
      <c r="C1031" s="6">
        <v>3500000</v>
      </c>
    </row>
    <row r="1032" spans="1:3" x14ac:dyDescent="0.25">
      <c r="A1032" s="5" t="str">
        <f>"9018"</f>
        <v>9018</v>
      </c>
      <c r="B1032" s="5" t="str">
        <f>"STENT ULTIMASTER 3.0mm X 18mm-TRM"</f>
        <v>STENT ULTIMASTER 3.0mm X 18mm-TRM</v>
      </c>
      <c r="C1032" s="6">
        <v>3500000</v>
      </c>
    </row>
    <row r="1033" spans="1:3" x14ac:dyDescent="0.25">
      <c r="A1033" s="5" t="str">
        <f>"9019"</f>
        <v>9019</v>
      </c>
      <c r="B1033" s="5" t="str">
        <f>"STENT ULTIMASTER 3.0mm X 24mm-TRM"</f>
        <v>STENT ULTIMASTER 3.0mm X 24mm-TRM</v>
      </c>
      <c r="C1033" s="6">
        <v>3500000</v>
      </c>
    </row>
    <row r="1034" spans="1:3" x14ac:dyDescent="0.25">
      <c r="A1034" s="5" t="str">
        <f>"9020"</f>
        <v>9020</v>
      </c>
      <c r="B1034" s="5" t="str">
        <f>"STENT ULTIMASTER 3.0mm X 28mm-TRM"</f>
        <v>STENT ULTIMASTER 3.0mm X 28mm-TRM</v>
      </c>
      <c r="C1034" s="6">
        <v>3500000</v>
      </c>
    </row>
    <row r="1035" spans="1:3" x14ac:dyDescent="0.25">
      <c r="A1035" s="5" t="str">
        <f>"9021"</f>
        <v>9021</v>
      </c>
      <c r="B1035" s="5" t="str">
        <f>"STENT ULTIMASTER 2.5mm X 28mm-TRM"</f>
        <v>STENT ULTIMASTER 2.5mm X 28mm-TRM</v>
      </c>
      <c r="C1035" s="6">
        <v>3500000</v>
      </c>
    </row>
    <row r="1036" spans="1:3" x14ac:dyDescent="0.25">
      <c r="A1036" s="5" t="str">
        <f>"9022"</f>
        <v>9022</v>
      </c>
      <c r="B1036" s="5" t="str">
        <f>"STENT ULTIMASTER 2.5mm X 33mm-TRM"</f>
        <v>STENT ULTIMASTER 2.5mm X 33mm-TRM</v>
      </c>
      <c r="C1036" s="6">
        <v>3500000</v>
      </c>
    </row>
    <row r="1037" spans="1:3" x14ac:dyDescent="0.25">
      <c r="A1037" s="5" t="str">
        <f>"9023"</f>
        <v>9023</v>
      </c>
      <c r="B1037" s="5" t="str">
        <f>"STENT ULTIMASTER 2.25mm X 18mm-TRM"</f>
        <v>STENT ULTIMASTER 2.25mm X 18mm-TRM</v>
      </c>
      <c r="C1037" s="6">
        <v>3500000</v>
      </c>
    </row>
    <row r="1038" spans="1:3" x14ac:dyDescent="0.25">
      <c r="A1038" s="5" t="str">
        <f>"9024"</f>
        <v>9024</v>
      </c>
      <c r="B1038" s="5" t="str">
        <f>"STENT ULTIMASTER 2.25mm X 15mm-TRM"</f>
        <v>STENT ULTIMASTER 2.25mm X 15mm-TRM</v>
      </c>
      <c r="C1038" s="6">
        <v>3500000</v>
      </c>
    </row>
    <row r="1039" spans="1:3" x14ac:dyDescent="0.25">
      <c r="A1039" s="5" t="str">
        <f>"9025"</f>
        <v>9025</v>
      </c>
      <c r="B1039" s="5" t="str">
        <f>"STENT ULTIMASTER 3.5mm X 15mm-TRM"</f>
        <v>STENT ULTIMASTER 3.5mm X 15mm-TRM</v>
      </c>
      <c r="C1039" s="6">
        <v>3500000</v>
      </c>
    </row>
    <row r="1040" spans="1:3" x14ac:dyDescent="0.25">
      <c r="A1040" s="5" t="str">
        <f>"9026"</f>
        <v>9026</v>
      </c>
      <c r="B1040" s="5" t="str">
        <f>"STENT ULTIMASTER 3.5mm X 18mm-TRM"</f>
        <v>STENT ULTIMASTER 3.5mm X 18mm-TRM</v>
      </c>
      <c r="C1040" s="6">
        <v>3500000</v>
      </c>
    </row>
    <row r="1041" spans="1:3" x14ac:dyDescent="0.25">
      <c r="A1041" s="5" t="str">
        <f>"9027"</f>
        <v>9027</v>
      </c>
      <c r="B1041" s="5" t="str">
        <f>"STENT ULTIMASTER 2.25mm X 24mm-TRM"</f>
        <v>STENT ULTIMASTER 2.25mm X 24mm-TRM</v>
      </c>
      <c r="C1041" s="6">
        <v>3500000</v>
      </c>
    </row>
    <row r="1042" spans="1:3" x14ac:dyDescent="0.25">
      <c r="A1042" s="5" t="str">
        <f>"9028"</f>
        <v>9028</v>
      </c>
      <c r="B1042" s="5" t="str">
        <f>"STENT ULTIMASTER 2.25mm X 28mm-TRM"</f>
        <v>STENT ULTIMASTER 2.25mm X 28mm-TRM</v>
      </c>
      <c r="C1042" s="6">
        <v>3500000</v>
      </c>
    </row>
    <row r="1043" spans="1:3" x14ac:dyDescent="0.25">
      <c r="A1043" s="5" t="str">
        <f>"9029"</f>
        <v>9029</v>
      </c>
      <c r="B1043" s="5" t="str">
        <f>"STENT ULTIMASTER 3.5mm X 24mm-TRM"</f>
        <v>STENT ULTIMASTER 3.5mm X 24mm-TRM</v>
      </c>
      <c r="C1043" s="6">
        <v>3500000</v>
      </c>
    </row>
    <row r="1044" spans="1:3" x14ac:dyDescent="0.25">
      <c r="A1044" s="5" t="str">
        <f>"9030"</f>
        <v>9030</v>
      </c>
      <c r="B1044" s="5" t="str">
        <f>"STENT ULTIMASTER 2.5mm X 12mm-TRM"</f>
        <v>STENT ULTIMASTER 2.5mm X 12mm-TRM</v>
      </c>
      <c r="C1044" s="6">
        <v>3500000</v>
      </c>
    </row>
    <row r="1045" spans="1:3" x14ac:dyDescent="0.25">
      <c r="A1045" s="5" t="str">
        <f>"9031"</f>
        <v>9031</v>
      </c>
      <c r="B1045" s="5" t="str">
        <f>"STENT ULTIMASTER 2.5mm X 15mm-TRM"</f>
        <v>STENT ULTIMASTER 2.5mm X 15mm-TRM</v>
      </c>
      <c r="C1045" s="6">
        <v>3500000</v>
      </c>
    </row>
    <row r="1046" spans="1:3" x14ac:dyDescent="0.25">
      <c r="A1046" s="5" t="str">
        <f>"9032"</f>
        <v>9032</v>
      </c>
      <c r="B1046" s="5" t="str">
        <f>"STENT ULTIMASTER 2.5mm X 18mm-TRM"</f>
        <v>STENT ULTIMASTER 2.5mm X 18mm-TRM</v>
      </c>
      <c r="C1046" s="6">
        <v>3500000</v>
      </c>
    </row>
    <row r="1047" spans="1:3" x14ac:dyDescent="0.25">
      <c r="A1047" s="5" t="str">
        <f>"9033"</f>
        <v>9033</v>
      </c>
      <c r="B1047" s="5" t="str">
        <f>"STENT ULTIMASTER 2.5mm X 24mm-TRM"</f>
        <v>STENT ULTIMASTER 2.5mm X 24mm-TRM</v>
      </c>
      <c r="C1047" s="6">
        <v>3500000</v>
      </c>
    </row>
    <row r="1048" spans="1:3" x14ac:dyDescent="0.25">
      <c r="A1048" s="5" t="str">
        <f>"9034"</f>
        <v>9034</v>
      </c>
      <c r="B1048" s="5" t="s">
        <v>16</v>
      </c>
      <c r="C1048" s="6">
        <v>541450</v>
      </c>
    </row>
    <row r="1049" spans="1:3" x14ac:dyDescent="0.25">
      <c r="A1049" s="5" t="str">
        <f>"9035"</f>
        <v>9035</v>
      </c>
      <c r="B1049" s="5" t="str">
        <f>"CATETER DIAGNOSTICO CORONARIO OPTITORQUE TIGER 5 Fr X 100cm-TRM"</f>
        <v>CATETER DIAGNOSTICO CORONARIO OPTITORQUE TIGER 5 Fr X 100cm-TRM</v>
      </c>
      <c r="C1049" s="6">
        <v>80325</v>
      </c>
    </row>
    <row r="1050" spans="1:3" x14ac:dyDescent="0.25">
      <c r="A1050" s="5" t="str">
        <f>"9036"</f>
        <v>9036</v>
      </c>
      <c r="B1050" s="5" t="s">
        <v>17</v>
      </c>
      <c r="C1050" s="6">
        <v>527905</v>
      </c>
    </row>
    <row r="1051" spans="1:3" x14ac:dyDescent="0.25">
      <c r="A1051" s="5" t="str">
        <f>"9037"</f>
        <v>9037</v>
      </c>
      <c r="B1051" s="5" t="str">
        <f>"Catéter diagnostico coronario OPTITORQUE 6 Fr JR 3.5 X 100cm-TRM"</f>
        <v>Catéter diagnostico coronario OPTITORQUE 6 Fr JR 3.5 X 100cm-TRM</v>
      </c>
      <c r="C1051" s="6">
        <v>80325</v>
      </c>
    </row>
    <row r="1052" spans="1:3" x14ac:dyDescent="0.25">
      <c r="A1052" s="5" t="str">
        <f>"9038"</f>
        <v>9038</v>
      </c>
      <c r="B1052" s="5" t="str">
        <f>"CATETER GUIA CORONARIO RUNWAY 6FR-CLS3  CONTRALATERAL IZQUIERDO SUPPORT REF: H749389695730- BST"</f>
        <v>CATETER GUIA CORONARIO RUNWAY 6FR-CLS3  CONTRALATERAL IZQUIERDO SUPPORT REF: H749389695730- BST</v>
      </c>
      <c r="C1052" s="6">
        <v>420000</v>
      </c>
    </row>
    <row r="1053" spans="1:3" x14ac:dyDescent="0.25">
      <c r="A1053" s="5" t="str">
        <f>"9100"</f>
        <v>9100</v>
      </c>
      <c r="B1053" s="5" t="str">
        <f>"BALON NC EUPHORA 2.0 X 15MM REF: NCEUP2015X-MDT"</f>
        <v>BALON NC EUPHORA 2.0 X 15MM REF: NCEUP2015X-MDT</v>
      </c>
      <c r="C1053" s="6">
        <v>647500</v>
      </c>
    </row>
    <row r="1054" spans="1:3" x14ac:dyDescent="0.25">
      <c r="A1054" s="5" t="str">
        <f>"9101"</f>
        <v>9101</v>
      </c>
      <c r="B1054" s="5" t="str">
        <f>"CATETER GUIA CORONARIO RUNWAY 6FR-CLS3.5 CONTRALATERAL IZQUIERDO SUPPORT REF: H749389695740- BST"</f>
        <v>CATETER GUIA CORONARIO RUNWAY 6FR-CLS3.5 CONTRALATERAL IZQUIERDO SUPPORT REF: H749389695740- BST</v>
      </c>
      <c r="C1054" s="6">
        <v>420000</v>
      </c>
    </row>
    <row r="1055" spans="1:3" x14ac:dyDescent="0.25">
      <c r="A1055" s="5" t="str">
        <f>"9102"</f>
        <v>9102</v>
      </c>
      <c r="B1055" s="5" t="str">
        <f>"STENT ULTIMASTER 3.5mm X 28mm-TRM"</f>
        <v>STENT ULTIMASTER 3.5mm X 28mm-TRM</v>
      </c>
      <c r="C1055" s="6">
        <v>3500000</v>
      </c>
    </row>
    <row r="1056" spans="1:3" x14ac:dyDescent="0.25">
      <c r="A1056" s="5" t="str">
        <f>"9103"</f>
        <v>9103</v>
      </c>
      <c r="B1056" s="5" t="str">
        <f>"STENT ULTIMASTER 3.5mm X 12mm-TRM"</f>
        <v>STENT ULTIMASTER 3.5mm X 12mm-TRM</v>
      </c>
      <c r="C1056" s="6">
        <v>3500000</v>
      </c>
    </row>
    <row r="1057" spans="1:3" x14ac:dyDescent="0.25">
      <c r="A1057" s="5" t="str">
        <f>"9104"</f>
        <v>9104</v>
      </c>
      <c r="B1057" s="5" t="str">
        <f>"STENT ULTIMASTER 2.5mm X 9mm-TRM"</f>
        <v>STENT ULTIMASTER 2.5mm X 9mm-TRM</v>
      </c>
      <c r="C1057" s="6">
        <v>3500000</v>
      </c>
    </row>
    <row r="1058" spans="1:3" x14ac:dyDescent="0.25">
      <c r="A1058" s="5" t="str">
        <f>"9105"</f>
        <v>9105</v>
      </c>
      <c r="B1058" s="5" t="str">
        <f>"STENT ULTIMASTER 3.0mm X 9mm-TRM"</f>
        <v>STENT ULTIMASTER 3.0mm X 9mm-TRM</v>
      </c>
      <c r="C1058" s="6">
        <v>3500000</v>
      </c>
    </row>
    <row r="1059" spans="1:3" x14ac:dyDescent="0.25">
      <c r="A1059" s="5" t="str">
        <f>"9106"</f>
        <v>9106</v>
      </c>
      <c r="B1059" s="5" t="str">
        <f>"CATETER GUIA HEART 6FR BL 3.5-TRM"</f>
        <v>CATETER GUIA HEART 6FR BL 3.5-TRM</v>
      </c>
      <c r="C1059" s="6">
        <v>386750</v>
      </c>
    </row>
    <row r="1060" spans="1:3" x14ac:dyDescent="0.25">
      <c r="A1060" s="5" t="str">
        <f>"9108"</f>
        <v>9108</v>
      </c>
      <c r="B1060" s="5" t="str">
        <f>"H-CATETER GUIA  LAUNCHER 6F JL 3.0 REF: LA6JL30"</f>
        <v>H-CATETER GUIA  LAUNCHER 6F JL 3.0 REF: LA6JL30</v>
      </c>
      <c r="C1060" s="6">
        <v>332500</v>
      </c>
    </row>
    <row r="1061" spans="1:3" x14ac:dyDescent="0.25">
      <c r="A1061" s="5" t="str">
        <f>"9109"</f>
        <v>9109</v>
      </c>
      <c r="B1061" s="5" t="str">
        <f>"H-CATETER GUIA  LAUNCHER 6F JL 3.5 REF: LA6JL35"</f>
        <v>H-CATETER GUIA  LAUNCHER 6F JL 3.5 REF: LA6JL35</v>
      </c>
      <c r="C1061" s="6">
        <v>332500</v>
      </c>
    </row>
    <row r="1062" spans="1:3" x14ac:dyDescent="0.25">
      <c r="A1062" s="5" t="str">
        <f>"9110"</f>
        <v>9110</v>
      </c>
      <c r="B1062" s="5" t="str">
        <f>"H-CATETER GUIA  LAUNCHER 6F JL 4.0 REF: LA6JL40"</f>
        <v>H-CATETER GUIA  LAUNCHER 6F JL 4.0 REF: LA6JL40</v>
      </c>
      <c r="C1062" s="6">
        <v>332500</v>
      </c>
    </row>
  </sheetData>
  <autoFilter ref="A2:C1062">
    <sortState ref="A2:E1061">
      <sortCondition ref="A2"/>
    </sortState>
  </autoFilter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MEDICAMENTOS</vt:lpstr>
      <vt:lpstr>INSUMOS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 Jose Mejia Medina</dc:creator>
  <cp:lastModifiedBy>Amin Jose Mejia Medina</cp:lastModifiedBy>
  <dcterms:created xsi:type="dcterms:W3CDTF">2018-05-25T16:12:46Z</dcterms:created>
  <dcterms:modified xsi:type="dcterms:W3CDTF">2018-06-01T13:56:34Z</dcterms:modified>
</cp:coreProperties>
</file>