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17"/>
  <workbookPr/>
  <mc:AlternateContent xmlns:mc="http://schemas.openxmlformats.org/markup-compatibility/2006">
    <mc:Choice Requires="x15">
      <x15ac:absPath xmlns:x15ac="http://schemas.microsoft.com/office/spreadsheetml/2010/11/ac" url="D:\Usuarios\astrid.santamaria\OneDrive - Fiscalia General de la Nacion\2025\2026\2. SUBASTA INVERSA\2. MANTENIMIENTO DE MICROSCOPIOS\1.1. Estudio del Sector\"/>
    </mc:Choice>
  </mc:AlternateContent>
  <xr:revisionPtr revIDLastSave="0" documentId="8_{FC6B7108-1758-4B9F-B877-92CD48D28A1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NEXO 1" sheetId="1" r:id="rId1"/>
    <sheet name="ANEXO 2" sheetId="6" r:id="rId2"/>
    <sheet name="ANEXO 3" sheetId="3" r:id="rId3"/>
    <sheet name="ANEXO 4" sheetId="8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3" i="3" l="1"/>
  <c r="M11" i="3"/>
  <c r="L11" i="3"/>
  <c r="K11" i="3"/>
  <c r="J11" i="3"/>
  <c r="M10" i="3"/>
  <c r="L10" i="3"/>
  <c r="K10" i="3"/>
  <c r="J10" i="3"/>
  <c r="M9" i="3"/>
  <c r="L9" i="3"/>
  <c r="K9" i="3"/>
  <c r="J9" i="3"/>
  <c r="M8" i="3"/>
  <c r="L8" i="3"/>
  <c r="K8" i="3"/>
  <c r="J8" i="3"/>
  <c r="M7" i="3"/>
  <c r="L7" i="3"/>
  <c r="K7" i="3"/>
  <c r="J7" i="3"/>
  <c r="M11" i="6"/>
  <c r="L11" i="6"/>
  <c r="K11" i="6"/>
  <c r="H11" i="6"/>
  <c r="F11" i="6"/>
  <c r="M10" i="6"/>
  <c r="L10" i="6"/>
  <c r="K10" i="6"/>
  <c r="H10" i="6"/>
  <c r="F10" i="6"/>
  <c r="M9" i="6"/>
  <c r="L9" i="6"/>
  <c r="K9" i="6"/>
  <c r="H9" i="6"/>
  <c r="F9" i="6"/>
  <c r="M8" i="6"/>
  <c r="L8" i="6"/>
  <c r="K8" i="6"/>
  <c r="H8" i="6"/>
  <c r="F8" i="6"/>
  <c r="M7" i="6"/>
  <c r="L7" i="6"/>
  <c r="K7" i="6"/>
  <c r="H7" i="6"/>
  <c r="F7" i="6"/>
  <c r="S16" i="1"/>
  <c r="I16" i="1"/>
  <c r="G16" i="1"/>
  <c r="S14" i="1"/>
  <c r="R14" i="1"/>
  <c r="Q14" i="1"/>
  <c r="P14" i="1"/>
  <c r="N14" i="1"/>
  <c r="M14" i="1"/>
  <c r="L14" i="1"/>
  <c r="K14" i="1"/>
  <c r="S13" i="1"/>
  <c r="R13" i="1"/>
  <c r="Q13" i="1"/>
  <c r="P13" i="1"/>
  <c r="N13" i="1"/>
  <c r="M13" i="1"/>
  <c r="L13" i="1"/>
  <c r="K13" i="1"/>
  <c r="S12" i="1"/>
  <c r="R12" i="1"/>
  <c r="Q12" i="1"/>
  <c r="P12" i="1"/>
  <c r="N12" i="1"/>
  <c r="M12" i="1"/>
  <c r="L12" i="1"/>
  <c r="K12" i="1"/>
  <c r="S11" i="1"/>
  <c r="R11" i="1"/>
  <c r="Q11" i="1"/>
  <c r="P11" i="1"/>
  <c r="N11" i="1"/>
  <c r="M11" i="1"/>
  <c r="L11" i="1"/>
  <c r="K11" i="1"/>
  <c r="S10" i="1"/>
  <c r="R10" i="1"/>
  <c r="Q10" i="1"/>
  <c r="P10" i="1"/>
  <c r="N10" i="1"/>
  <c r="M10" i="1"/>
  <c r="L10" i="1"/>
  <c r="K10" i="1"/>
  <c r="I17" i="8"/>
  <c r="I15" i="8"/>
  <c r="H15" i="8"/>
  <c r="G15" i="8"/>
  <c r="F15" i="8"/>
  <c r="I14" i="8"/>
  <c r="H14" i="8"/>
  <c r="G14" i="8"/>
  <c r="F14" i="8"/>
  <c r="I12" i="8"/>
  <c r="H12" i="8"/>
  <c r="G12" i="8"/>
  <c r="F12" i="8"/>
  <c r="I10" i="8"/>
  <c r="H10" i="8"/>
  <c r="G10" i="8"/>
  <c r="F10" i="8"/>
  <c r="I8" i="8"/>
  <c r="H8" i="8"/>
  <c r="G8" i="8"/>
  <c r="F8" i="8"/>
</calcChain>
</file>

<file path=xl/sharedStrings.xml><?xml version="1.0" encoding="utf-8"?>
<sst xmlns="http://schemas.openxmlformats.org/spreadsheetml/2006/main" count="129" uniqueCount="50">
  <si>
    <t>ANEXO 1</t>
  </si>
  <si>
    <t xml:space="preserve">ANÁLISIS DE COTIZACIONES </t>
  </si>
  <si>
    <t>PRESTAR EL SERVICIO DE MANTENIMIENTO PREVENTIVO Y SOPORTE TÉCNICO PARA LOS EQUIPOS DE LA FISCALÍA GENERAL DE LA NACIÓN, NIVEL CENTRAL. GRUPO 1: MICROSCOPIO ELECTRÓNICO DE BARRIDO, MARCA ZEISS, MODELO EVO 50. GRUPO 2: MICROSCOPIO ELECTRÓNICO DE BARRIDO, MARCA ZEISS, MODELO MA15. GRUPO 3: MICROSCOPIO ELECTRÓNICO DE BARRIDO MARCA ZEISS MODELO SIGMA 500. GRUPO 4: RECUBRIDOR MARCA EDWARDS MODELO S150B, Y RECUBRIDOR MARCA CRESSINGTON MODELO 108 CARBÓN/A</t>
  </si>
  <si>
    <t>ANÁLISIS DE VARIABLES</t>
  </si>
  <si>
    <t>VALORES SIN IVA</t>
  </si>
  <si>
    <t>VALOR UNITARIO SIN IVA</t>
  </si>
  <si>
    <t>NECESIDAD</t>
  </si>
  <si>
    <t>COTIZACIÓN 1</t>
  </si>
  <si>
    <t>COTIZACIÓN 2</t>
  </si>
  <si>
    <t xml:space="preserve">VALOR SELECCIONADO </t>
  </si>
  <si>
    <t>ITEM</t>
  </si>
  <si>
    <t xml:space="preserve">DESCRIPCIÓN DEL BIEN </t>
  </si>
  <si>
    <t>UNIDAD DE MEDIDA</t>
  </si>
  <si>
    <t>CANTIDAD</t>
  </si>
  <si>
    <t>COTIZACIÓN MÁS BAJA</t>
  </si>
  <si>
    <t>COTIZACIÓN MÁS ALTA</t>
  </si>
  <si>
    <t>PROMEDIO</t>
  </si>
  <si>
    <t>MEDIA ARITMÉTICA BAJA</t>
  </si>
  <si>
    <t>IVA UNITARIO</t>
  </si>
  <si>
    <t>VALOR UNITARIO INCLUIDO IVA</t>
  </si>
  <si>
    <t>VALOR TOTAL INCLUIDO IVA</t>
  </si>
  <si>
    <t>MANTENIMIENTO PREVENTIVO Y SOPORTE TECNICOpara Microscopio Electrónico de Barrido marca ZEISSmodelo SIGMA 500, acoplado a Microsonda de EnergíaDispersiva de Rayos X marca OXFORD INSTRUMENTS,Modelo ULTIM MAX 100, incluye Software Aztec version6.0 SP2. De acuerdo con el anexo técnico</t>
  </si>
  <si>
    <t>EQUIPO</t>
  </si>
  <si>
    <t>MANTENIMIENTO PREVENTIVO Y SOPORTE TECNICO para Microscopio Electrónico de Barrido marca ZEISS modelo EVO 50 EP, acoplado a Microsonda de Energía Dispersiva de Rayos X marca OXFORD INSTRUMENTS, modelo X-Max 20 mm2, incluye Software INCA GSR Suite, versión 4.15. De acuerdo con el anexo técnico</t>
  </si>
  <si>
    <t>MANTENIMIENTO PREVENTIVO Y SOPORTE TECNICO para Microscopio Electrónico de Barrido marca ZEISS modelo EVO MA 15, acoplado a Microsonda de Energía Dispersiva de Rayos X marca OXFORD INSTRUMENTS, Modelo X Max 80 mm2, incluye Software INCA GSR Suite versión 5.04. De acuerdo con el anexo técnico</t>
  </si>
  <si>
    <t>Mantenimiento preventivo y soporte técnico para un Recubridor Marca Edwards Modelo S150B. De acuerdo con el anexo técnico</t>
  </si>
  <si>
    <t>Mantenimiento preventivo y soporte técnico para un Recubridor Marca Cressington Modelo 108 Carbón/A y sus accesorios. De acuerdo con el anexo técnico</t>
  </si>
  <si>
    <t>TOTAL</t>
  </si>
  <si>
    <t>,</t>
  </si>
  <si>
    <t>Estudio del Sector 244 - 2026</t>
  </si>
  <si>
    <t>Fecha de elaboración: 05/03/2026</t>
  </si>
  <si>
    <t>ANEXO 2</t>
  </si>
  <si>
    <t xml:space="preserve">ANÁLISIS DE COSTOS HISTÓRICOS </t>
  </si>
  <si>
    <t>CONTRATO
 FGN-NC-136-2025</t>
  </si>
  <si>
    <t>Junio
2025</t>
  </si>
  <si>
    <t>Marzo
2026</t>
  </si>
  <si>
    <t>ANÁLISIS PROYECCIÓN COSTOS HISTÓRICOS 
(IPC / Indices - Serie de empalme)</t>
  </si>
  <si>
    <t>CANTIDAD AÑO 2025</t>
  </si>
  <si>
    <t>IVA</t>
  </si>
  <si>
    <t>ANEXO 3</t>
  </si>
  <si>
    <t>ANÁLISIS PARA ESTABLECER EL VALOR FINAL</t>
  </si>
  <si>
    <t>ANÁLISIS DE COTIZACIONES</t>
  </si>
  <si>
    <t>ANÁLISIS DE COSTOS HISTÓRICOS</t>
  </si>
  <si>
    <t>VALOR SELECCIONADO</t>
  </si>
  <si>
    <t>ANEXO 4</t>
  </si>
  <si>
    <t xml:space="preserve">ESTUDIO DE MERCADO DEFINITIVO </t>
  </si>
  <si>
    <t>GRUPO 1</t>
  </si>
  <si>
    <t>GRUPO 2</t>
  </si>
  <si>
    <t>GRUPO 3</t>
  </si>
  <si>
    <t>GRUPO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</si>
</sst>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.00_-;\-&quot;$&quot;\ * #,##0.00_-;_-&quot;$&quot;\ * &quot;-&quot;??_-;_-@_-"/>
    <numFmt numFmtId="165" formatCode="&quot;$&quot;\ #,##0.00"/>
    <numFmt numFmtId="166" formatCode="&quot;$&quot;#,##0.00"/>
    <numFmt numFmtId="167" formatCode="_(&quot;$&quot;\ * #,##0.00_);_(&quot;$&quot;\ * \(#,##0.00\);_(&quot;$&quot;\ * &quot;-&quot;??_);_(@_)"/>
    <numFmt numFmtId="168" formatCode="_-&quot;$&quot;\ * #,##0_-;\-&quot;$&quot;\ * #,##0_-;_-&quot;$&quot;\ * &quot;-&quot;??_-;_-@_-"/>
  </numFmts>
  <fonts count="17">
    <font>
      <sz val="11"/>
      <color theme="1"/>
      <name val="Calibri"/>
      <charset val="134"/>
      <scheme val="minor"/>
    </font>
    <font>
      <sz val="11"/>
      <color theme="1"/>
      <name val="Arial Narrow"/>
      <charset val="134"/>
    </font>
    <font>
      <sz val="10"/>
      <color theme="1"/>
      <name val="Arial Narrow"/>
      <charset val="134"/>
    </font>
    <font>
      <b/>
      <sz val="11"/>
      <color theme="1"/>
      <name val="Arial Narrow"/>
      <charset val="134"/>
    </font>
    <font>
      <sz val="12"/>
      <color theme="1"/>
      <name val="Arial Narrow"/>
      <charset val="134"/>
    </font>
    <font>
      <sz val="12"/>
      <color theme="1"/>
      <name val="Calibri"/>
      <charset val="134"/>
      <scheme val="minor"/>
    </font>
    <font>
      <b/>
      <sz val="10"/>
      <color theme="1"/>
      <name val="Arial Narrow"/>
      <charset val="134"/>
    </font>
    <font>
      <sz val="11"/>
      <color rgb="FF000000"/>
      <name val="Arial Narrow"/>
      <charset val="134"/>
    </font>
    <font>
      <sz val="10"/>
      <color rgb="FF000000"/>
      <name val="Arial Narrow"/>
      <charset val="134"/>
    </font>
    <font>
      <b/>
      <sz val="10"/>
      <color rgb="FF000000"/>
      <name val="Arial Narrow"/>
      <charset val="134"/>
    </font>
    <font>
      <b/>
      <sz val="11"/>
      <color rgb="FF000000"/>
      <name val="Arial Narrow"/>
      <charset val="134"/>
    </font>
    <font>
      <sz val="9"/>
      <color theme="1"/>
      <name val="Arial Narrow"/>
      <charset val="134"/>
    </font>
    <font>
      <b/>
      <sz val="11"/>
      <name val="Arial Narrow"/>
      <charset val="134"/>
    </font>
    <font>
      <sz val="11"/>
      <name val="Arial Narrow"/>
      <charset val="134"/>
    </font>
    <font>
      <sz val="10"/>
      <name val="Arial Narrow"/>
      <charset val="134"/>
    </font>
    <font>
      <sz val="11"/>
      <color theme="1"/>
      <name val="Calibri"/>
      <charset val="134"/>
      <scheme val="minor"/>
    </font>
    <font>
      <sz val="10"/>
      <name val="Arial"/>
      <charset val="134"/>
    </font>
  </fonts>
  <fills count="11">
    <fill>
      <patternFill patternType="none"/>
    </fill>
    <fill>
      <patternFill patternType="gray125"/>
    </fill>
    <fill>
      <patternFill patternType="solid">
        <fgColor theme="3" tint="0.7999206518753624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89013336588644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0" tint="-0.1498764000366222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6" fillId="0" borderId="0"/>
  </cellStyleXfs>
  <cellXfs count="9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4" fontId="6" fillId="5" borderId="6" xfId="0" applyNumberFormat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5" fontId="2" fillId="0" borderId="7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65" fontId="11" fillId="0" borderId="0" xfId="0" applyNumberFormat="1" applyFont="1"/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/>
    </xf>
    <xf numFmtId="165" fontId="1" fillId="0" borderId="0" xfId="0" applyNumberFormat="1" applyFont="1"/>
    <xf numFmtId="3" fontId="1" fillId="0" borderId="0" xfId="0" applyNumberFormat="1" applyFont="1"/>
    <xf numFmtId="0" fontId="3" fillId="0" borderId="0" xfId="0" applyFont="1" applyAlignment="1">
      <alignment horizontal="center"/>
    </xf>
    <xf numFmtId="164" fontId="1" fillId="0" borderId="0" xfId="0" applyNumberFormat="1" applyFont="1"/>
    <xf numFmtId="165" fontId="6" fillId="2" borderId="1" xfId="0" applyNumberFormat="1" applyFont="1" applyFill="1" applyBorder="1" applyAlignment="1">
      <alignment horizontal="center"/>
    </xf>
    <xf numFmtId="165" fontId="6" fillId="0" borderId="1" xfId="0" applyNumberFormat="1" applyFont="1" applyBorder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4" fontId="6" fillId="5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6" borderId="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9" fontId="1" fillId="0" borderId="0" xfId="2" applyFont="1" applyBorder="1" applyAlignment="1">
      <alignment horizontal="center" vertical="center" wrapText="1"/>
    </xf>
    <xf numFmtId="10" fontId="1" fillId="0" borderId="0" xfId="2" applyNumberFormat="1" applyFont="1" applyBorder="1" applyAlignment="1">
      <alignment horizontal="center" vertical="center" wrapText="1"/>
    </xf>
    <xf numFmtId="17" fontId="12" fillId="7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2" fillId="0" borderId="0" xfId="0" applyNumberFormat="1" applyFont="1" applyAlignment="1">
      <alignment horizontal="left" wrapText="1"/>
    </xf>
    <xf numFmtId="0" fontId="3" fillId="0" borderId="1" xfId="0" applyFont="1" applyBorder="1" applyAlignment="1">
      <alignment horizontal="center" vertical="center"/>
    </xf>
    <xf numFmtId="0" fontId="14" fillId="9" borderId="1" xfId="3" applyFont="1" applyFill="1" applyBorder="1" applyAlignment="1">
      <alignment horizontal="center" vertical="center" wrapText="1"/>
    </xf>
    <xf numFmtId="167" fontId="13" fillId="10" borderId="1" xfId="1" applyNumberFormat="1" applyFont="1" applyFill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7" fontId="13" fillId="10" borderId="0" xfId="1" applyNumberFormat="1" applyFont="1" applyFill="1" applyBorder="1" applyAlignment="1">
      <alignment vertical="center" wrapText="1"/>
    </xf>
    <xf numFmtId="164" fontId="1" fillId="0" borderId="0" xfId="0" applyNumberFormat="1" applyFont="1" applyAlignment="1">
      <alignment horizontal="center" vertical="center" wrapText="1"/>
    </xf>
    <xf numFmtId="167" fontId="13" fillId="0" borderId="0" xfId="1" applyNumberFormat="1" applyFont="1" applyFill="1" applyBorder="1" applyAlignment="1">
      <alignment vertical="center" wrapText="1"/>
    </xf>
    <xf numFmtId="168" fontId="1" fillId="0" borderId="0" xfId="0" applyNumberFormat="1" applyFont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3" fillId="9" borderId="1" xfId="3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 wrapText="1"/>
    </xf>
    <xf numFmtId="165" fontId="1" fillId="0" borderId="8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/>
    <xf numFmtId="0" fontId="0" fillId="0" borderId="1" xfId="0" applyBorder="1" applyAlignment="1"/>
    <xf numFmtId="0" fontId="4" fillId="0" borderId="1" xfId="0" applyFont="1" applyBorder="1" applyAlignment="1"/>
    <xf numFmtId="0" fontId="5" fillId="0" borderId="1" xfId="0" applyFont="1" applyBorder="1" applyAlignment="1"/>
  </cellXfs>
  <cellStyles count="4">
    <cellStyle name="Moneda" xfId="1" builtinId="4"/>
    <cellStyle name="Normal" xfId="0" builtinId="0"/>
    <cellStyle name="Normal_HERRAMIENTAS PARA TRANSPORTE" xfId="3" xr:uid="{00000000-0005-0000-0000-000031000000}"/>
    <cellStyle name="Porcentaje" xfId="2" builtinId="5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976312</xdr:colOff>
      <xdr:row>1</xdr:row>
      <xdr:rowOff>254793</xdr:rowOff>
    </xdr:from>
    <xdr:to>
      <xdr:col>2</xdr:col>
      <xdr:colOff>3067421</xdr:colOff>
      <xdr:row>2</xdr:row>
      <xdr:rowOff>377797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42770" y="654685"/>
          <a:ext cx="2091055" cy="417830"/>
        </a:xfrm>
        <a:prstGeom prst="rect">
          <a:avLst/>
        </a:prstGeom>
      </xdr:spPr>
    </xdr:pic>
    <xdr:clientData/>
  </xdr:twoCellAnchor>
  <xdr:twoCellAnchor editAs="oneCell">
    <xdr:from>
      <xdr:col>1</xdr:col>
      <xdr:colOff>333375</xdr:colOff>
      <xdr:row>21</xdr:row>
      <xdr:rowOff>0</xdr:rowOff>
    </xdr:from>
    <xdr:to>
      <xdr:col>2</xdr:col>
      <xdr:colOff>4484370</xdr:colOff>
      <xdr:row>24</xdr:row>
      <xdr:rowOff>86360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" y="8693150"/>
          <a:ext cx="4589145" cy="108648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2</xdr:row>
      <xdr:rowOff>123824</xdr:rowOff>
    </xdr:from>
    <xdr:to>
      <xdr:col>1</xdr:col>
      <xdr:colOff>2138734</xdr:colOff>
      <xdr:row>2</xdr:row>
      <xdr:rowOff>544484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9125" y="942340"/>
          <a:ext cx="2091055" cy="421005"/>
        </a:xfrm>
        <a:prstGeom prst="rect">
          <a:avLst/>
        </a:prstGeom>
      </xdr:spPr>
    </xdr:pic>
    <xdr:clientData/>
  </xdr:twoCellAnchor>
  <xdr:twoCellAnchor editAs="oneCell">
    <xdr:from>
      <xdr:col>13</xdr:col>
      <xdr:colOff>130810</xdr:colOff>
      <xdr:row>1</xdr:row>
      <xdr:rowOff>373380</xdr:rowOff>
    </xdr:from>
    <xdr:to>
      <xdr:col>27</xdr:col>
      <xdr:colOff>95885</xdr:colOff>
      <xdr:row>6</xdr:row>
      <xdr:rowOff>943610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722735" y="773430"/>
          <a:ext cx="10633075" cy="3827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428625</xdr:colOff>
      <xdr:row>15</xdr:row>
      <xdr:rowOff>101600</xdr:rowOff>
    </xdr:from>
    <xdr:to>
      <xdr:col>5</xdr:col>
      <xdr:colOff>312420</xdr:colOff>
      <xdr:row>20</xdr:row>
      <xdr:rowOff>140335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00125" y="10874375"/>
          <a:ext cx="4589145" cy="108648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685800</xdr:colOff>
      <xdr:row>2</xdr:row>
      <xdr:rowOff>161925</xdr:rowOff>
    </xdr:from>
    <xdr:to>
      <xdr:col>1</xdr:col>
      <xdr:colOff>3810831</xdr:colOff>
      <xdr:row>2</xdr:row>
      <xdr:rowOff>790575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7300" y="866775"/>
          <a:ext cx="3124835" cy="628650"/>
        </a:xfrm>
        <a:prstGeom prst="rect">
          <a:avLst/>
        </a:prstGeom>
      </xdr:spPr>
    </xdr:pic>
    <xdr:clientData/>
  </xdr:twoCellAnchor>
  <xdr:twoCellAnchor editAs="oneCell">
    <xdr:from>
      <xdr:col>1</xdr:col>
      <xdr:colOff>942975</xdr:colOff>
      <xdr:row>17</xdr:row>
      <xdr:rowOff>171450</xdr:rowOff>
    </xdr:from>
    <xdr:to>
      <xdr:col>3</xdr:col>
      <xdr:colOff>160020</xdr:colOff>
      <xdr:row>20</xdr:row>
      <xdr:rowOff>257810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4475" y="9496425"/>
          <a:ext cx="4589145" cy="108648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2</xdr:row>
      <xdr:rowOff>438150</xdr:rowOff>
    </xdr:from>
    <xdr:to>
      <xdr:col>1</xdr:col>
      <xdr:colOff>3258381</xdr:colOff>
      <xdr:row>2</xdr:row>
      <xdr:rowOff>1066800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850" y="1143000"/>
          <a:ext cx="3124835" cy="6286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476250</xdr:colOff>
      <xdr:row>22</xdr:row>
      <xdr:rowOff>76200</xdr:rowOff>
    </xdr:from>
    <xdr:to>
      <xdr:col>2</xdr:col>
      <xdr:colOff>855345</xdr:colOff>
      <xdr:row>26</xdr:row>
      <xdr:rowOff>19685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7750" y="10991850"/>
          <a:ext cx="4589145" cy="108648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V28"/>
  <sheetViews>
    <sheetView showGridLines="0" tabSelected="1" zoomScale="80" zoomScaleNormal="80" workbookViewId="0">
      <selection activeCell="F22" sqref="F22:I27"/>
    </sheetView>
  </sheetViews>
  <sheetFormatPr defaultColWidth="11.375" defaultRowHeight="16.5"/>
  <cols>
    <col min="1" max="1" width="6.375" style="3" customWidth="1"/>
    <col min="2" max="2" width="6.625" style="53" customWidth="1"/>
    <col min="3" max="3" width="69.125" style="4" customWidth="1"/>
    <col min="4" max="4" width="18.625" style="5" customWidth="1"/>
    <col min="5" max="5" width="10.75" style="3" customWidth="1"/>
    <col min="6" max="6" width="2.125" style="3" customWidth="1"/>
    <col min="7" max="7" width="14.125" style="29" customWidth="1"/>
    <col min="8" max="8" width="2" style="3" customWidth="1"/>
    <col min="9" max="9" width="14.625" style="29" customWidth="1"/>
    <col min="10" max="10" width="1.25" style="3" customWidth="1"/>
    <col min="11" max="11" width="14.625" style="3" customWidth="1"/>
    <col min="12" max="12" width="14" style="3" customWidth="1"/>
    <col min="13" max="13" width="14.125" style="3" customWidth="1"/>
    <col min="14" max="14" width="14.625" style="3" customWidth="1"/>
    <col min="15" max="15" width="4.375" style="3" customWidth="1"/>
    <col min="16" max="16" width="15.125" style="3" customWidth="1"/>
    <col min="17" max="18" width="14.375" style="3" customWidth="1"/>
    <col min="19" max="19" width="16.375" style="3" customWidth="1"/>
    <col min="20" max="21" width="11.375" style="3"/>
    <col min="22" max="22" width="12.75" style="3" customWidth="1"/>
    <col min="23" max="16384" width="11.375" style="3"/>
  </cols>
  <sheetData>
    <row r="1" spans="2:22" ht="31.5" customHeight="1">
      <c r="B1" s="72" t="s">
        <v>0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</row>
    <row r="2" spans="2:22" ht="23.25" customHeight="1">
      <c r="B2" s="86"/>
      <c r="C2" s="87"/>
      <c r="D2" s="72" t="s">
        <v>1</v>
      </c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</row>
    <row r="3" spans="2:22" ht="47.25" customHeight="1">
      <c r="B3" s="87"/>
      <c r="C3" s="87"/>
      <c r="D3" s="73" t="s">
        <v>2</v>
      </c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</row>
    <row r="4" spans="2:22" ht="32.25" customHeight="1">
      <c r="B4" s="54"/>
      <c r="C4" s="37"/>
      <c r="D4" s="38"/>
      <c r="E4" s="38"/>
      <c r="F4" s="38"/>
      <c r="G4" s="38"/>
      <c r="I4" s="38"/>
    </row>
    <row r="5" spans="2:22" ht="26.25" customHeight="1">
      <c r="B5" s="54"/>
      <c r="C5" s="37"/>
      <c r="D5" s="38"/>
      <c r="E5" s="38"/>
      <c r="F5" s="38"/>
      <c r="G5" s="38"/>
      <c r="I5" s="38"/>
      <c r="K5" s="74" t="s">
        <v>3</v>
      </c>
      <c r="L5" s="74"/>
      <c r="M5" s="74"/>
      <c r="N5" s="74"/>
    </row>
    <row r="6" spans="2:22" ht="24" customHeight="1">
      <c r="B6" s="54"/>
      <c r="C6" s="37"/>
      <c r="D6" s="38"/>
      <c r="E6" s="38"/>
      <c r="F6" s="38"/>
      <c r="G6" s="38"/>
      <c r="I6" s="38"/>
      <c r="K6" s="74" t="s">
        <v>4</v>
      </c>
      <c r="L6" s="74"/>
      <c r="M6" s="74"/>
      <c r="N6" s="74"/>
    </row>
    <row r="7" spans="2:22" ht="28.5" customHeight="1">
      <c r="B7" s="6"/>
      <c r="C7" s="7"/>
      <c r="E7" s="5"/>
      <c r="F7" s="5"/>
      <c r="G7" s="55"/>
      <c r="I7" s="55"/>
      <c r="J7" s="2"/>
      <c r="K7" s="71" t="s">
        <v>5</v>
      </c>
      <c r="L7" s="71" t="s">
        <v>5</v>
      </c>
      <c r="M7" s="71" t="s">
        <v>5</v>
      </c>
      <c r="N7" s="71" t="s">
        <v>5</v>
      </c>
    </row>
    <row r="8" spans="2:22" s="1" customFormat="1" ht="25.5" customHeight="1">
      <c r="B8" s="66" t="s">
        <v>6</v>
      </c>
      <c r="C8" s="66"/>
      <c r="D8" s="66"/>
      <c r="E8" s="66"/>
      <c r="F8" s="39"/>
      <c r="G8" s="56" t="s">
        <v>7</v>
      </c>
      <c r="I8" s="56" t="s">
        <v>8</v>
      </c>
      <c r="K8" s="71"/>
      <c r="L8" s="71"/>
      <c r="M8" s="71"/>
      <c r="N8" s="71"/>
      <c r="P8" s="67" t="s">
        <v>9</v>
      </c>
      <c r="Q8" s="67"/>
      <c r="R8" s="67"/>
      <c r="S8" s="67"/>
    </row>
    <row r="9" spans="2:22" s="2" customFormat="1" ht="43.5" customHeight="1">
      <c r="B9" s="9" t="s">
        <v>10</v>
      </c>
      <c r="C9" s="9" t="s">
        <v>11</v>
      </c>
      <c r="D9" s="10" t="s">
        <v>12</v>
      </c>
      <c r="E9" s="10" t="s">
        <v>13</v>
      </c>
      <c r="F9" s="11"/>
      <c r="G9" s="36" t="s">
        <v>5</v>
      </c>
      <c r="I9" s="36" t="s">
        <v>5</v>
      </c>
      <c r="K9" s="57" t="s">
        <v>14</v>
      </c>
      <c r="L9" s="57" t="s">
        <v>15</v>
      </c>
      <c r="M9" s="57" t="s">
        <v>16</v>
      </c>
      <c r="N9" s="57" t="s">
        <v>17</v>
      </c>
      <c r="P9" s="36" t="s">
        <v>5</v>
      </c>
      <c r="Q9" s="36" t="s">
        <v>18</v>
      </c>
      <c r="R9" s="36" t="s">
        <v>19</v>
      </c>
      <c r="S9" s="36" t="s">
        <v>20</v>
      </c>
    </row>
    <row r="10" spans="2:22" ht="66">
      <c r="B10" s="18">
        <v>1</v>
      </c>
      <c r="C10" s="19" t="s">
        <v>21</v>
      </c>
      <c r="D10" s="18" t="s">
        <v>22</v>
      </c>
      <c r="E10" s="18">
        <v>1</v>
      </c>
      <c r="F10" s="24"/>
      <c r="G10" s="44">
        <v>70110000</v>
      </c>
      <c r="I10" s="44">
        <v>50886000</v>
      </c>
      <c r="K10" s="58">
        <f>ROUND(MIN(G10,I10),2)</f>
        <v>50886000</v>
      </c>
      <c r="L10" s="58">
        <f>ROUND(MAX(G10,I10),2)</f>
        <v>70110000</v>
      </c>
      <c r="M10" s="58">
        <f>ROUND(AVERAGE(G10,I10),2)</f>
        <v>60498000</v>
      </c>
      <c r="N10" s="58">
        <f>ROUND(AVERAGE(K10,M10),2)</f>
        <v>55692000</v>
      </c>
      <c r="P10" s="59">
        <f>N10</f>
        <v>55692000</v>
      </c>
      <c r="Q10" s="59">
        <f>ROUND(P10*19%,2)</f>
        <v>10581480</v>
      </c>
      <c r="R10" s="59">
        <f>ROUND(P10+Q10,2)</f>
        <v>66273480</v>
      </c>
      <c r="S10" s="59">
        <f>ROUND(R10*$E10,2)</f>
        <v>66273480</v>
      </c>
      <c r="U10" s="26"/>
      <c r="V10" s="26"/>
    </row>
    <row r="11" spans="2:22" ht="74.099999999999994" customHeight="1">
      <c r="B11" s="18">
        <v>2</v>
      </c>
      <c r="C11" s="19" t="s">
        <v>23</v>
      </c>
      <c r="D11" s="18" t="s">
        <v>22</v>
      </c>
      <c r="E11" s="18">
        <v>1</v>
      </c>
      <c r="F11" s="24"/>
      <c r="G11" s="44">
        <v>59655000</v>
      </c>
      <c r="I11" s="44">
        <v>50886000</v>
      </c>
      <c r="K11" s="58">
        <f>ROUND(MIN(G11,I11),2)</f>
        <v>50886000</v>
      </c>
      <c r="L11" s="58">
        <f>ROUND(MAX(G11,I11),2)</f>
        <v>59655000</v>
      </c>
      <c r="M11" s="58">
        <f>ROUND(AVERAGE(G11,I11),2)</f>
        <v>55270500</v>
      </c>
      <c r="N11" s="58">
        <f>ROUND(AVERAGE(K11,M11),2)</f>
        <v>53078250</v>
      </c>
      <c r="P11" s="59">
        <f t="shared" ref="P11:P14" si="0">M11</f>
        <v>55270500</v>
      </c>
      <c r="Q11" s="59">
        <f>ROUND(P11*19%,2)</f>
        <v>10501395</v>
      </c>
      <c r="R11" s="59">
        <f>ROUND(P11+Q11,2)</f>
        <v>65771895</v>
      </c>
      <c r="S11" s="59">
        <f>ROUND(R11*$E11,2)</f>
        <v>65771895</v>
      </c>
      <c r="U11" s="26"/>
      <c r="V11" s="26"/>
    </row>
    <row r="12" spans="2:22" ht="82.5">
      <c r="B12" s="18">
        <v>3</v>
      </c>
      <c r="C12" s="19" t="s">
        <v>24</v>
      </c>
      <c r="D12" s="18" t="s">
        <v>22</v>
      </c>
      <c r="E12" s="18">
        <v>1</v>
      </c>
      <c r="F12" s="24"/>
      <c r="G12" s="44">
        <v>59655000</v>
      </c>
      <c r="I12" s="44">
        <v>50886000</v>
      </c>
      <c r="K12" s="58">
        <f>ROUND(MIN(G12,I12),2)</f>
        <v>50886000</v>
      </c>
      <c r="L12" s="58">
        <f>ROUND(MAX(G12,I12),2)</f>
        <v>59655000</v>
      </c>
      <c r="M12" s="58">
        <f>ROUND(AVERAGE(G12,I12),2)</f>
        <v>55270500</v>
      </c>
      <c r="N12" s="58">
        <f>ROUND(AVERAGE(K12,M12),2)</f>
        <v>53078250</v>
      </c>
      <c r="P12" s="59">
        <f t="shared" si="0"/>
        <v>55270500</v>
      </c>
      <c r="Q12" s="59">
        <f>ROUND(P12*19%,2)</f>
        <v>10501395</v>
      </c>
      <c r="R12" s="59">
        <f>ROUND(P12+Q12,2)</f>
        <v>65771895</v>
      </c>
      <c r="S12" s="59">
        <f>ROUND(R12*$E12,2)</f>
        <v>65771895</v>
      </c>
      <c r="U12" s="26"/>
      <c r="V12" s="26"/>
    </row>
    <row r="13" spans="2:22" ht="33">
      <c r="B13" s="18">
        <v>4</v>
      </c>
      <c r="C13" s="19" t="s">
        <v>25</v>
      </c>
      <c r="D13" s="18" t="s">
        <v>22</v>
      </c>
      <c r="E13" s="18">
        <v>1</v>
      </c>
      <c r="F13" s="24"/>
      <c r="G13" s="44">
        <v>14391000</v>
      </c>
      <c r="I13" s="44">
        <v>12132000</v>
      </c>
      <c r="K13" s="58">
        <f>ROUND(MIN(G13,I13),2)</f>
        <v>12132000</v>
      </c>
      <c r="L13" s="58">
        <f>ROUND(MAX(G13,I13),2)</f>
        <v>14391000</v>
      </c>
      <c r="M13" s="58">
        <f>ROUND(AVERAGE(G13,I13),2)</f>
        <v>13261500</v>
      </c>
      <c r="N13" s="58">
        <f>ROUND(AVERAGE(K13,M13),2)</f>
        <v>12696750</v>
      </c>
      <c r="P13" s="59">
        <f t="shared" si="0"/>
        <v>13261500</v>
      </c>
      <c r="Q13" s="59">
        <f>ROUND(P13*19%,2)</f>
        <v>2519685</v>
      </c>
      <c r="R13" s="59">
        <f>ROUND(P13+Q13,2)</f>
        <v>15781185</v>
      </c>
      <c r="S13" s="59">
        <f>ROUND(R13*$E13,2)</f>
        <v>15781185</v>
      </c>
      <c r="U13" s="26"/>
      <c r="V13" s="26"/>
    </row>
    <row r="14" spans="2:22" ht="33">
      <c r="B14" s="18">
        <v>5</v>
      </c>
      <c r="C14" s="19" t="s">
        <v>26</v>
      </c>
      <c r="D14" s="18" t="s">
        <v>22</v>
      </c>
      <c r="E14" s="18">
        <v>1</v>
      </c>
      <c r="F14" s="24"/>
      <c r="G14" s="44">
        <v>12792000</v>
      </c>
      <c r="I14" s="44">
        <v>10418000</v>
      </c>
      <c r="K14" s="58">
        <f>ROUND(MIN(G14,I14),2)</f>
        <v>10418000</v>
      </c>
      <c r="L14" s="58">
        <f>ROUND(MAX(G14,I14),2)</f>
        <v>12792000</v>
      </c>
      <c r="M14" s="58">
        <f>ROUND(AVERAGE(G14,I14),2)</f>
        <v>11605000</v>
      </c>
      <c r="N14" s="58">
        <f>ROUND(AVERAGE(K14,M14),2)</f>
        <v>11011500</v>
      </c>
      <c r="P14" s="59">
        <f t="shared" si="0"/>
        <v>11605000</v>
      </c>
      <c r="Q14" s="59">
        <f>ROUND(P14*19%,2)</f>
        <v>2204950</v>
      </c>
      <c r="R14" s="59">
        <f>ROUND(P14+Q14,2)</f>
        <v>13809950</v>
      </c>
      <c r="S14" s="59">
        <f>ROUND(R14*$E14,2)</f>
        <v>13809950</v>
      </c>
      <c r="U14" s="26"/>
      <c r="V14" s="26"/>
    </row>
    <row r="15" spans="2:22" ht="13.5" customHeight="1">
      <c r="B15" s="21"/>
      <c r="C15" s="22"/>
      <c r="D15" s="21"/>
      <c r="E15" s="21"/>
      <c r="F15" s="24"/>
      <c r="G15" s="45"/>
      <c r="I15" s="45"/>
      <c r="K15" s="60"/>
      <c r="L15" s="60"/>
      <c r="M15" s="60"/>
      <c r="N15" s="60"/>
      <c r="P15" s="61"/>
      <c r="Q15" s="61"/>
      <c r="R15" s="61"/>
      <c r="S15" s="63"/>
    </row>
    <row r="16" spans="2:22" ht="25.5" customHeight="1">
      <c r="B16" s="68" t="s">
        <v>27</v>
      </c>
      <c r="C16" s="69"/>
      <c r="D16" s="69"/>
      <c r="E16" s="70"/>
      <c r="F16" s="24"/>
      <c r="G16" s="44">
        <f>SUM(G10:G15)</f>
        <v>216603000</v>
      </c>
      <c r="I16" s="44">
        <f>SUM(I10:I15)</f>
        <v>175208000</v>
      </c>
      <c r="K16" s="60"/>
      <c r="L16" s="60"/>
      <c r="M16" s="60"/>
      <c r="N16" s="60"/>
      <c r="P16" s="61"/>
      <c r="Q16" s="61"/>
      <c r="R16" s="61"/>
      <c r="S16" s="64">
        <f>ROUND(SUM(S10:S15),2)</f>
        <v>227408405</v>
      </c>
      <c r="V16" s="26"/>
    </row>
    <row r="17" spans="2:22" ht="15.75" customHeight="1">
      <c r="B17" s="24"/>
      <c r="C17" s="24"/>
      <c r="D17" s="24"/>
      <c r="E17" s="24"/>
      <c r="F17" s="24"/>
      <c r="G17" s="45"/>
      <c r="I17" s="45"/>
      <c r="K17" s="62"/>
      <c r="L17" s="62"/>
      <c r="M17" s="62"/>
      <c r="N17" s="62"/>
      <c r="P17" s="61"/>
      <c r="Q17" s="61"/>
      <c r="R17" s="61"/>
      <c r="S17" s="63"/>
      <c r="V17" s="3" t="s">
        <v>28</v>
      </c>
    </row>
    <row r="18" spans="2:22" ht="25.5" customHeight="1">
      <c r="B18" s="21"/>
      <c r="C18" s="21"/>
      <c r="D18" s="21"/>
      <c r="E18" s="21"/>
      <c r="F18" s="24"/>
      <c r="G18" s="45"/>
      <c r="I18" s="45"/>
      <c r="K18" s="62"/>
      <c r="L18" s="62"/>
      <c r="M18" s="62"/>
      <c r="N18" s="62"/>
      <c r="P18" s="61"/>
      <c r="Q18" s="61"/>
      <c r="R18" s="61"/>
      <c r="S18" s="63"/>
    </row>
    <row r="19" spans="2:22" ht="17.25" customHeight="1">
      <c r="B19" s="25" t="s">
        <v>29</v>
      </c>
    </row>
    <row r="20" spans="2:22">
      <c r="B20" s="25" t="s">
        <v>30</v>
      </c>
      <c r="D20" s="3"/>
      <c r="E20" s="27"/>
      <c r="G20" s="3"/>
      <c r="I20" s="3"/>
    </row>
    <row r="21" spans="2:22">
      <c r="B21" s="25"/>
      <c r="D21" s="3"/>
      <c r="E21" s="27"/>
      <c r="G21" s="3"/>
      <c r="I21" s="3"/>
    </row>
    <row r="22" spans="2:22" ht="26.25" customHeight="1">
      <c r="B22" s="65"/>
      <c r="C22" s="65"/>
      <c r="D22" s="65"/>
      <c r="E22" s="65"/>
      <c r="F22" s="65"/>
      <c r="G22" s="65"/>
      <c r="H22" s="65"/>
      <c r="I22" s="65"/>
    </row>
    <row r="23" spans="2:22" ht="26.25" customHeight="1">
      <c r="B23" s="65"/>
      <c r="C23" s="65"/>
      <c r="D23" s="65"/>
      <c r="E23" s="65"/>
      <c r="F23" s="65"/>
      <c r="G23" s="65"/>
      <c r="H23" s="65"/>
      <c r="I23" s="65"/>
    </row>
    <row r="24" spans="2:22" ht="26.25" customHeight="1">
      <c r="B24" s="65"/>
      <c r="C24" s="65"/>
      <c r="D24" s="65"/>
      <c r="E24" s="65"/>
      <c r="F24" s="65"/>
      <c r="G24" s="65"/>
      <c r="H24" s="65"/>
      <c r="I24" s="65"/>
    </row>
    <row r="25" spans="2:22" ht="26.25" customHeight="1">
      <c r="B25" s="65"/>
      <c r="C25" s="65"/>
      <c r="D25" s="65"/>
      <c r="E25" s="65"/>
      <c r="F25" s="65"/>
      <c r="G25" s="65"/>
      <c r="H25" s="65"/>
      <c r="I25" s="65"/>
    </row>
    <row r="26" spans="2:22" ht="26.25" customHeight="1">
      <c r="B26" s="65"/>
      <c r="C26" s="65"/>
      <c r="D26" s="65"/>
      <c r="E26" s="65"/>
      <c r="F26" s="65"/>
      <c r="G26" s="65"/>
      <c r="H26" s="65"/>
      <c r="I26" s="65"/>
    </row>
    <row r="27" spans="2:22" ht="26.25" customHeight="1">
      <c r="B27" s="65"/>
      <c r="C27" s="65"/>
      <c r="D27" s="65"/>
      <c r="E27" s="65"/>
      <c r="F27" s="65"/>
      <c r="G27" s="65"/>
      <c r="H27" s="65"/>
      <c r="I27" s="65"/>
    </row>
    <row r="28" spans="2:22">
      <c r="B28" s="28"/>
    </row>
  </sheetData>
  <mergeCells count="15">
    <mergeCell ref="B1:S1"/>
    <mergeCell ref="D2:S2"/>
    <mergeCell ref="D3:S3"/>
    <mergeCell ref="K5:N5"/>
    <mergeCell ref="K6:N6"/>
    <mergeCell ref="B2:C3"/>
    <mergeCell ref="B22:E27"/>
    <mergeCell ref="F22:I27"/>
    <mergeCell ref="B8:E8"/>
    <mergeCell ref="P8:S8"/>
    <mergeCell ref="B16:E16"/>
    <mergeCell ref="K7:K8"/>
    <mergeCell ref="L7:L8"/>
    <mergeCell ref="M7:M8"/>
    <mergeCell ref="N7:N8"/>
  </mergeCells>
  <pageMargins left="0.7" right="0.7" top="0.75" bottom="0.75" header="0.3" footer="0.3"/>
  <pageSetup scale="76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1"/>
  <sheetViews>
    <sheetView showGridLines="0" topLeftCell="A9" zoomScale="80" zoomScaleNormal="80" workbookViewId="0">
      <selection activeCell="B15" sqref="B15"/>
    </sheetView>
  </sheetViews>
  <sheetFormatPr defaultColWidth="11.375" defaultRowHeight="16.5"/>
  <cols>
    <col min="1" max="1" width="8.625" style="3" customWidth="1"/>
    <col min="2" max="2" width="41.25" style="4" customWidth="1"/>
    <col min="3" max="3" width="15.75" style="5" customWidth="1"/>
    <col min="4" max="4" width="11.375" style="3"/>
    <col min="5" max="5" width="2.125" style="3" customWidth="1"/>
    <col min="6" max="6" width="20.25" style="29" customWidth="1"/>
    <col min="7" max="7" width="2" style="3" customWidth="1"/>
    <col min="8" max="8" width="11.875" style="29" customWidth="1"/>
    <col min="9" max="9" width="11.75" style="29" customWidth="1"/>
    <col min="10" max="10" width="1.875" style="3" customWidth="1"/>
    <col min="11" max="11" width="17" style="3" customWidth="1"/>
    <col min="12" max="12" width="13" style="3" customWidth="1"/>
    <col min="13" max="13" width="17" style="3" customWidth="1"/>
    <col min="14" max="16384" width="11.375" style="3"/>
  </cols>
  <sheetData>
    <row r="1" spans="1:13" ht="31.5" customHeight="1">
      <c r="A1" s="72" t="s">
        <v>31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13" ht="33" customHeight="1">
      <c r="A2" s="86"/>
      <c r="B2" s="87"/>
      <c r="C2" s="72" t="s">
        <v>32</v>
      </c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13" ht="105" customHeight="1">
      <c r="A3" s="87"/>
      <c r="B3" s="87"/>
      <c r="C3" s="77" t="s">
        <v>2</v>
      </c>
      <c r="D3" s="77"/>
      <c r="E3" s="77"/>
      <c r="F3" s="77"/>
      <c r="G3" s="77"/>
      <c r="H3" s="77"/>
      <c r="I3" s="77"/>
      <c r="J3" s="77"/>
      <c r="K3" s="77"/>
      <c r="L3" s="77"/>
      <c r="M3" s="77"/>
    </row>
    <row r="4" spans="1:13" ht="32.25" customHeight="1">
      <c r="A4"/>
      <c r="B4" s="37"/>
      <c r="C4" s="38"/>
      <c r="D4" s="38"/>
      <c r="E4" s="38"/>
      <c r="F4" s="38"/>
      <c r="H4" s="38"/>
      <c r="I4" s="38"/>
    </row>
    <row r="5" spans="1:13" ht="54" customHeight="1">
      <c r="A5" s="66" t="s">
        <v>6</v>
      </c>
      <c r="B5" s="66"/>
      <c r="C5" s="66"/>
      <c r="D5" s="66"/>
      <c r="E5" s="39"/>
      <c r="F5" s="40" t="s">
        <v>33</v>
      </c>
      <c r="H5" s="41" t="s">
        <v>34</v>
      </c>
      <c r="I5" s="49" t="s">
        <v>35</v>
      </c>
      <c r="K5" s="78" t="s">
        <v>36</v>
      </c>
      <c r="L5" s="79"/>
      <c r="M5" s="79"/>
    </row>
    <row r="6" spans="1:13" ht="32.25" customHeight="1">
      <c r="A6" s="9" t="s">
        <v>10</v>
      </c>
      <c r="B6" s="9" t="s">
        <v>11</v>
      </c>
      <c r="C6" s="10" t="s">
        <v>12</v>
      </c>
      <c r="D6" s="42" t="s">
        <v>37</v>
      </c>
      <c r="E6" s="11"/>
      <c r="F6" s="36" t="s">
        <v>5</v>
      </c>
      <c r="H6" s="43">
        <v>1.5029999999999999</v>
      </c>
      <c r="I6" s="43">
        <v>1.5572999999999999</v>
      </c>
      <c r="K6" s="50" t="s">
        <v>5</v>
      </c>
      <c r="L6" s="50" t="s">
        <v>38</v>
      </c>
      <c r="M6" s="50" t="s">
        <v>20</v>
      </c>
    </row>
    <row r="7" spans="1:13" ht="132">
      <c r="A7" s="18">
        <v>1</v>
      </c>
      <c r="B7" s="19" t="s">
        <v>21</v>
      </c>
      <c r="C7" s="34" t="s">
        <v>22</v>
      </c>
      <c r="D7" s="18">
        <v>1</v>
      </c>
      <c r="E7" s="24"/>
      <c r="F7" s="44">
        <f>23109243.7*2</f>
        <v>46218487.399999999</v>
      </c>
      <c r="H7" s="75">
        <f>ROUND(($I$6/$H$6)*F7,2)</f>
        <v>47888257.100000001</v>
      </c>
      <c r="I7" s="76"/>
      <c r="K7" s="51">
        <f>H7</f>
        <v>47888257.100000001</v>
      </c>
      <c r="L7" s="51">
        <f>ROUND(K7*19%,2)</f>
        <v>9098768.8499999996</v>
      </c>
      <c r="M7" s="51">
        <f>ROUND(K7+L7*D7,2)</f>
        <v>56987025.950000003</v>
      </c>
    </row>
    <row r="8" spans="1:13" ht="132">
      <c r="A8" s="18">
        <v>2</v>
      </c>
      <c r="B8" s="19" t="s">
        <v>23</v>
      </c>
      <c r="C8" s="34" t="s">
        <v>22</v>
      </c>
      <c r="D8" s="18">
        <v>1</v>
      </c>
      <c r="E8" s="24"/>
      <c r="F8" s="44">
        <f>23109243.7*2</f>
        <v>46218487.399999999</v>
      </c>
      <c r="H8" s="75">
        <f t="shared" ref="H8:H11" si="0">ROUND(($I$6/$H$6)*F8,2)</f>
        <v>47888257.100000001</v>
      </c>
      <c r="I8" s="76"/>
      <c r="K8" s="51">
        <f t="shared" ref="K8:K11" si="1">H8</f>
        <v>47888257.100000001</v>
      </c>
      <c r="L8" s="51">
        <f t="shared" ref="L8:L11" si="2">ROUND(K8*19%,2)</f>
        <v>9098768.8499999996</v>
      </c>
      <c r="M8" s="51">
        <f>ROUND(K8+L8*D8,2)</f>
        <v>56987025.950000003</v>
      </c>
    </row>
    <row r="9" spans="1:13" ht="132">
      <c r="A9" s="18">
        <v>3</v>
      </c>
      <c r="B9" s="19" t="s">
        <v>24</v>
      </c>
      <c r="C9" s="34" t="s">
        <v>22</v>
      </c>
      <c r="D9" s="18">
        <v>1</v>
      </c>
      <c r="E9" s="24"/>
      <c r="F9" s="44">
        <f>23109243.7*2</f>
        <v>46218487.399999999</v>
      </c>
      <c r="H9" s="75">
        <f t="shared" si="0"/>
        <v>47888257.100000001</v>
      </c>
      <c r="I9" s="76"/>
      <c r="K9" s="51">
        <f t="shared" ref="K9" si="3">H9</f>
        <v>47888257.100000001</v>
      </c>
      <c r="L9" s="51">
        <f t="shared" ref="L9" si="4">ROUND(K9*19%,2)</f>
        <v>9098768.8499999996</v>
      </c>
      <c r="M9" s="51">
        <f>ROUND(K9+L9*D9,2)</f>
        <v>56987025.950000003</v>
      </c>
    </row>
    <row r="10" spans="1:13" ht="49.5">
      <c r="A10" s="18">
        <v>4</v>
      </c>
      <c r="B10" s="19" t="s">
        <v>25</v>
      </c>
      <c r="C10" s="34" t="s">
        <v>22</v>
      </c>
      <c r="D10" s="18">
        <v>1</v>
      </c>
      <c r="E10" s="24"/>
      <c r="F10" s="44">
        <f>5546218.49*2</f>
        <v>11092436.98</v>
      </c>
      <c r="H10" s="75">
        <f t="shared" si="0"/>
        <v>11493181.710000001</v>
      </c>
      <c r="I10" s="76"/>
      <c r="K10" s="51">
        <f t="shared" si="1"/>
        <v>11493181.710000001</v>
      </c>
      <c r="L10" s="51">
        <f t="shared" si="2"/>
        <v>2183704.52</v>
      </c>
      <c r="M10" s="51">
        <f t="shared" ref="M10:M11" si="5">ROUND(K10+L10*D10,2)</f>
        <v>13676886.23</v>
      </c>
    </row>
    <row r="11" spans="1:13" ht="66">
      <c r="A11" s="18">
        <v>5</v>
      </c>
      <c r="B11" s="19" t="s">
        <v>26</v>
      </c>
      <c r="C11" s="34" t="s">
        <v>22</v>
      </c>
      <c r="D11" s="18">
        <v>1</v>
      </c>
      <c r="E11" s="24"/>
      <c r="F11" s="44">
        <f>4705882.35*2</f>
        <v>9411764.6999999993</v>
      </c>
      <c r="H11" s="75">
        <f t="shared" si="0"/>
        <v>9751790.5299999993</v>
      </c>
      <c r="I11" s="76"/>
      <c r="K11" s="51">
        <f t="shared" si="1"/>
        <v>9751790.5299999993</v>
      </c>
      <c r="L11" s="51">
        <f t="shared" si="2"/>
        <v>1852840.2</v>
      </c>
      <c r="M11" s="51">
        <f t="shared" si="5"/>
        <v>11604630.73</v>
      </c>
    </row>
    <row r="12" spans="1:13" ht="32.25" customHeight="1">
      <c r="A12" s="24"/>
      <c r="B12" s="24"/>
      <c r="C12" s="24"/>
      <c r="D12" s="24"/>
      <c r="E12" s="24"/>
      <c r="F12" s="45"/>
      <c r="H12" s="38"/>
      <c r="I12" s="38"/>
    </row>
    <row r="13" spans="1:13" ht="32.25" customHeight="1">
      <c r="A13" s="21"/>
      <c r="B13" s="46"/>
      <c r="C13" s="46"/>
      <c r="D13" s="46"/>
      <c r="E13" s="24"/>
      <c r="F13" s="47"/>
      <c r="H13" s="48"/>
      <c r="I13" s="48"/>
      <c r="M13" s="52"/>
    </row>
    <row r="14" spans="1:13" ht="17.25" customHeight="1">
      <c r="B14" s="25" t="s">
        <v>29</v>
      </c>
      <c r="C14" s="4"/>
      <c r="D14" s="5"/>
      <c r="F14" s="3"/>
      <c r="G14" s="29"/>
      <c r="H14" s="3"/>
      <c r="K14" s="29"/>
      <c r="L14" s="29"/>
    </row>
    <row r="15" spans="1:13">
      <c r="B15" s="25" t="s">
        <v>30</v>
      </c>
      <c r="C15" s="4"/>
      <c r="E15" s="27"/>
      <c r="F15" s="3"/>
      <c r="H15" s="3"/>
      <c r="I15" s="3"/>
    </row>
    <row r="16" spans="1:13">
      <c r="B16" s="65"/>
      <c r="C16" s="65"/>
      <c r="D16" s="65"/>
      <c r="E16" s="65"/>
    </row>
    <row r="17" spans="2:5">
      <c r="B17" s="65"/>
      <c r="C17" s="65"/>
      <c r="D17" s="65"/>
      <c r="E17" s="65"/>
    </row>
    <row r="18" spans="2:5">
      <c r="B18" s="65"/>
      <c r="C18" s="65"/>
      <c r="D18" s="65"/>
      <c r="E18" s="65"/>
    </row>
    <row r="19" spans="2:5">
      <c r="B19" s="65"/>
      <c r="C19" s="65"/>
      <c r="D19" s="65"/>
      <c r="E19" s="65"/>
    </row>
    <row r="20" spans="2:5">
      <c r="B20" s="65"/>
      <c r="C20" s="65"/>
      <c r="D20" s="65"/>
      <c r="E20" s="65"/>
    </row>
    <row r="21" spans="2:5">
      <c r="B21" s="65"/>
      <c r="C21" s="65"/>
      <c r="D21" s="65"/>
      <c r="E21" s="65"/>
    </row>
  </sheetData>
  <mergeCells count="12">
    <mergeCell ref="A1:M1"/>
    <mergeCell ref="C2:M2"/>
    <mergeCell ref="C3:M3"/>
    <mergeCell ref="A5:D5"/>
    <mergeCell ref="K5:M5"/>
    <mergeCell ref="A2:B3"/>
    <mergeCell ref="B16:E21"/>
    <mergeCell ref="H7:I7"/>
    <mergeCell ref="H8:I8"/>
    <mergeCell ref="H9:I9"/>
    <mergeCell ref="H10:I10"/>
    <mergeCell ref="H11:I11"/>
  </mergeCells>
  <pageMargins left="0.7" right="0.7" top="0.75" bottom="0.75" header="0.3" footer="0.3"/>
  <pageSetup scale="76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showGridLines="0" topLeftCell="A8" workbookViewId="0">
      <selection activeCell="B17" sqref="B17"/>
    </sheetView>
  </sheetViews>
  <sheetFormatPr defaultColWidth="11.375" defaultRowHeight="16.5"/>
  <cols>
    <col min="1" max="1" width="8.625" style="3" customWidth="1"/>
    <col min="2" max="2" width="64.875" style="4" customWidth="1"/>
    <col min="3" max="3" width="15.75" style="5" customWidth="1"/>
    <col min="4" max="4" width="9" style="3" customWidth="1"/>
    <col min="5" max="5" width="2" style="3" customWidth="1"/>
    <col min="6" max="6" width="14" style="26" customWidth="1"/>
    <col min="7" max="7" width="1.75" style="3" customWidth="1"/>
    <col min="8" max="8" width="13.875" style="26" customWidth="1"/>
    <col min="9" max="9" width="1.75" style="3" customWidth="1"/>
    <col min="10" max="10" width="13" style="3" customWidth="1"/>
    <col min="11" max="13" width="14" style="3" customWidth="1"/>
    <col min="14" max="16384" width="11.375" style="3"/>
  </cols>
  <sheetData>
    <row r="1" spans="1:13" ht="31.5" customHeight="1">
      <c r="A1" s="72" t="s">
        <v>39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13" ht="24" customHeight="1">
      <c r="A2" s="88"/>
      <c r="B2" s="89"/>
      <c r="C2" s="72" t="s">
        <v>40</v>
      </c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13" ht="101.25" customHeight="1">
      <c r="A3" s="89"/>
      <c r="B3" s="89"/>
      <c r="C3" s="81" t="s">
        <v>2</v>
      </c>
      <c r="D3" s="82"/>
      <c r="E3" s="82"/>
      <c r="F3" s="82"/>
      <c r="G3" s="82"/>
      <c r="H3" s="82"/>
      <c r="I3" s="82"/>
      <c r="J3" s="82"/>
      <c r="K3" s="82"/>
      <c r="L3" s="82"/>
      <c r="M3" s="83"/>
    </row>
    <row r="4" spans="1:13" ht="24.75" customHeight="1">
      <c r="A4" s="6"/>
      <c r="B4" s="7"/>
      <c r="D4" s="5"/>
      <c r="E4" s="5"/>
      <c r="I4" s="5"/>
    </row>
    <row r="5" spans="1:13" s="1" customFormat="1" ht="39" customHeight="1">
      <c r="A5" s="66" t="s">
        <v>6</v>
      </c>
      <c r="B5" s="66"/>
      <c r="C5" s="66"/>
      <c r="D5" s="66"/>
      <c r="E5" s="8"/>
      <c r="F5" s="31" t="s">
        <v>41</v>
      </c>
      <c r="G5" s="8"/>
      <c r="H5" s="31" t="s">
        <v>42</v>
      </c>
      <c r="I5" s="8"/>
      <c r="J5" s="67" t="s">
        <v>43</v>
      </c>
      <c r="K5" s="67"/>
      <c r="L5" s="67"/>
      <c r="M5" s="67"/>
    </row>
    <row r="6" spans="1:13" s="2" customFormat="1" ht="54.75" customHeight="1">
      <c r="A6" s="9" t="s">
        <v>10</v>
      </c>
      <c r="B6" s="9" t="s">
        <v>11</v>
      </c>
      <c r="C6" s="10" t="s">
        <v>12</v>
      </c>
      <c r="D6" s="10" t="s">
        <v>13</v>
      </c>
      <c r="E6" s="11"/>
      <c r="F6" s="32" t="s">
        <v>5</v>
      </c>
      <c r="G6" s="33"/>
      <c r="H6" s="32" t="s">
        <v>5</v>
      </c>
      <c r="I6" s="11"/>
      <c r="J6" s="36" t="s">
        <v>5</v>
      </c>
      <c r="K6" s="36" t="s">
        <v>18</v>
      </c>
      <c r="L6" s="36" t="s">
        <v>19</v>
      </c>
      <c r="M6" s="36" t="s">
        <v>20</v>
      </c>
    </row>
    <row r="7" spans="1:13" ht="82.5">
      <c r="A7" s="18">
        <v>1</v>
      </c>
      <c r="B7" s="19" t="s">
        <v>21</v>
      </c>
      <c r="C7" s="34" t="s">
        <v>22</v>
      </c>
      <c r="D7" s="18">
        <v>1</v>
      </c>
      <c r="E7" s="16"/>
      <c r="F7" s="20">
        <v>55692000</v>
      </c>
      <c r="G7" s="35"/>
      <c r="H7" s="20">
        <v>47888257.100000001</v>
      </c>
      <c r="I7" s="16"/>
      <c r="J7" s="20">
        <f>ROUND(AVERAGE(F7,H7),2)</f>
        <v>51790128.549999997</v>
      </c>
      <c r="K7" s="20">
        <f>ROUND(J7*19%,2)</f>
        <v>9840124.4199999999</v>
      </c>
      <c r="L7" s="20">
        <f>ROUND(J7+K7,2)</f>
        <v>61630252.969999999</v>
      </c>
      <c r="M7" s="20">
        <f>ROUND(L7*D7,2)</f>
        <v>61630252.969999999</v>
      </c>
    </row>
    <row r="8" spans="1:13" ht="82.5">
      <c r="A8" s="18">
        <v>2</v>
      </c>
      <c r="B8" s="19" t="s">
        <v>23</v>
      </c>
      <c r="C8" s="34" t="s">
        <v>22</v>
      </c>
      <c r="D8" s="18">
        <v>1</v>
      </c>
      <c r="E8" s="16"/>
      <c r="F8" s="20">
        <v>55270500</v>
      </c>
      <c r="G8" s="35"/>
      <c r="H8" s="20">
        <v>47888257.100000001</v>
      </c>
      <c r="I8" s="16"/>
      <c r="J8" s="20">
        <f>ROUND(AVERAGE(F8,H8),2)</f>
        <v>51579378.549999997</v>
      </c>
      <c r="K8" s="20">
        <f>ROUND(J8*19%,2)</f>
        <v>9800081.9199999999</v>
      </c>
      <c r="L8" s="20">
        <f>ROUND(J8+K8,2)</f>
        <v>61379460.469999999</v>
      </c>
      <c r="M8" s="20">
        <f>ROUND(L8*D8,2)</f>
        <v>61379460.469999999</v>
      </c>
    </row>
    <row r="9" spans="1:13" ht="82.5">
      <c r="A9" s="18">
        <v>3</v>
      </c>
      <c r="B9" s="19" t="s">
        <v>24</v>
      </c>
      <c r="C9" s="34" t="s">
        <v>22</v>
      </c>
      <c r="D9" s="18">
        <v>1</v>
      </c>
      <c r="E9" s="16"/>
      <c r="F9" s="20">
        <v>55270500</v>
      </c>
      <c r="G9" s="8"/>
      <c r="H9" s="20">
        <v>47888257.100000001</v>
      </c>
      <c r="I9" s="16"/>
      <c r="J9" s="20">
        <f>ROUND(AVERAGE(F9,H9),2)</f>
        <v>51579378.549999997</v>
      </c>
      <c r="K9" s="20">
        <f>ROUND(J9*19%,2)</f>
        <v>9800081.9199999999</v>
      </c>
      <c r="L9" s="20">
        <f>ROUND(J9+K9,2)</f>
        <v>61379460.469999999</v>
      </c>
      <c r="M9" s="20">
        <f>ROUND(L9*D9,2)</f>
        <v>61379460.469999999</v>
      </c>
    </row>
    <row r="10" spans="1:13" ht="60.75" customHeight="1">
      <c r="A10" s="18">
        <v>4</v>
      </c>
      <c r="B10" s="19" t="s">
        <v>25</v>
      </c>
      <c r="C10" s="34" t="s">
        <v>22</v>
      </c>
      <c r="D10" s="18">
        <v>1</v>
      </c>
      <c r="E10" s="16"/>
      <c r="F10" s="20">
        <v>13261500</v>
      </c>
      <c r="G10" s="33"/>
      <c r="H10" s="20">
        <v>11493181.710000001</v>
      </c>
      <c r="I10" s="16"/>
      <c r="J10" s="20">
        <f>ROUND(AVERAGE(F10,H10),2)</f>
        <v>12377340.859999999</v>
      </c>
      <c r="K10" s="20">
        <f>ROUND(J10*19%,2)</f>
        <v>2351694.7599999998</v>
      </c>
      <c r="L10" s="20">
        <f>ROUND(J10+K10,2)</f>
        <v>14729035.619999999</v>
      </c>
      <c r="M10" s="20">
        <f>ROUND(L10*D10,2)</f>
        <v>14729035.619999999</v>
      </c>
    </row>
    <row r="11" spans="1:13" ht="60.75" customHeight="1">
      <c r="A11" s="18">
        <v>5</v>
      </c>
      <c r="B11" s="19" t="s">
        <v>26</v>
      </c>
      <c r="C11" s="34" t="s">
        <v>22</v>
      </c>
      <c r="D11" s="18">
        <v>1</v>
      </c>
      <c r="E11" s="16"/>
      <c r="F11" s="20">
        <v>11605000</v>
      </c>
      <c r="G11" s="33"/>
      <c r="H11" s="20">
        <v>9751790.5299999993</v>
      </c>
      <c r="I11" s="16"/>
      <c r="J11" s="20">
        <f>ROUND(AVERAGE(F11,H11),2)</f>
        <v>10678395.27</v>
      </c>
      <c r="K11" s="20">
        <f t="shared" ref="K11" si="0">ROUND(J11*19%,2)</f>
        <v>2028895.1</v>
      </c>
      <c r="L11" s="20">
        <f t="shared" ref="L11" si="1">ROUND(J11+K11,2)</f>
        <v>12707290.369999999</v>
      </c>
      <c r="M11" s="20">
        <f>ROUND(L11*D11,2)</f>
        <v>12707290.369999999</v>
      </c>
    </row>
    <row r="12" spans="1:13" ht="7.5" customHeight="1">
      <c r="A12" s="21"/>
      <c r="B12" s="22"/>
      <c r="C12" s="21"/>
      <c r="D12" s="21"/>
    </row>
    <row r="13" spans="1:13">
      <c r="A13" s="68" t="s">
        <v>27</v>
      </c>
      <c r="B13" s="80"/>
      <c r="C13" s="80"/>
      <c r="D13" s="70"/>
      <c r="M13" s="30">
        <f>ROUND(SUM(M7:M11),2)</f>
        <v>211825499.90000001</v>
      </c>
    </row>
    <row r="14" spans="1:13">
      <c r="A14" s="24"/>
      <c r="B14" s="24"/>
      <c r="C14" s="24"/>
      <c r="D14" s="24"/>
    </row>
    <row r="16" spans="1:13">
      <c r="B16" s="25" t="s">
        <v>29</v>
      </c>
    </row>
    <row r="17" spans="2:16">
      <c r="B17" s="25" t="s">
        <v>30</v>
      </c>
      <c r="C17" s="4"/>
      <c r="E17" s="27"/>
      <c r="F17" s="3"/>
      <c r="H17" s="3"/>
    </row>
    <row r="18" spans="2:16" ht="26.25" customHeight="1">
      <c r="B18" s="65"/>
      <c r="C18" s="65"/>
      <c r="D18" s="65"/>
      <c r="E18" s="65"/>
      <c r="F18" s="65"/>
      <c r="G18" s="65"/>
      <c r="H18" s="65"/>
      <c r="I18" s="65"/>
      <c r="K18" s="29"/>
      <c r="L18" s="29"/>
      <c r="M18" s="29"/>
      <c r="N18" s="29"/>
      <c r="O18" s="29"/>
      <c r="P18" s="29"/>
    </row>
    <row r="19" spans="2:16" ht="26.25" customHeight="1">
      <c r="B19" s="65"/>
      <c r="C19" s="65"/>
      <c r="D19" s="65"/>
      <c r="E19" s="65"/>
      <c r="F19" s="65"/>
      <c r="G19" s="65"/>
      <c r="H19" s="65"/>
      <c r="I19" s="65"/>
      <c r="K19" s="29"/>
      <c r="L19" s="29"/>
      <c r="M19" s="29"/>
      <c r="N19" s="29"/>
      <c r="O19" s="29"/>
      <c r="P19" s="29"/>
    </row>
    <row r="20" spans="2:16" ht="26.25" customHeight="1">
      <c r="B20" s="65"/>
      <c r="C20" s="65"/>
      <c r="D20" s="65"/>
      <c r="E20" s="65"/>
      <c r="F20" s="65"/>
      <c r="G20" s="65"/>
      <c r="H20" s="65"/>
      <c r="I20" s="65"/>
      <c r="K20" s="29"/>
      <c r="L20" s="29"/>
      <c r="M20" s="29"/>
      <c r="N20" s="29"/>
      <c r="O20" s="29"/>
      <c r="P20" s="29"/>
    </row>
    <row r="21" spans="2:16" ht="26.25" customHeight="1">
      <c r="B21" s="65"/>
      <c r="C21" s="65"/>
      <c r="D21" s="65"/>
      <c r="E21" s="65"/>
      <c r="F21" s="65"/>
      <c r="G21" s="65"/>
      <c r="H21" s="65"/>
      <c r="I21" s="65"/>
      <c r="K21" s="29"/>
      <c r="L21" s="29"/>
      <c r="M21" s="29"/>
      <c r="N21" s="29"/>
      <c r="O21" s="29"/>
      <c r="P21" s="29"/>
    </row>
    <row r="22" spans="2:16" ht="26.25" customHeight="1">
      <c r="B22" s="65"/>
      <c r="C22" s="65"/>
      <c r="D22" s="65"/>
      <c r="E22" s="65"/>
      <c r="F22" s="65"/>
      <c r="G22" s="65"/>
      <c r="H22" s="65"/>
      <c r="I22" s="65"/>
      <c r="K22" s="29"/>
      <c r="L22" s="29"/>
      <c r="M22" s="29"/>
      <c r="N22" s="29"/>
      <c r="O22" s="29"/>
      <c r="P22" s="29"/>
    </row>
    <row r="23" spans="2:16" ht="26.25" customHeight="1">
      <c r="B23" s="65"/>
      <c r="C23" s="65"/>
      <c r="D23" s="65"/>
      <c r="E23" s="65"/>
      <c r="F23" s="65"/>
      <c r="G23" s="65"/>
      <c r="H23" s="65"/>
      <c r="I23" s="65"/>
      <c r="K23" s="29"/>
      <c r="L23" s="29"/>
      <c r="M23" s="29"/>
      <c r="N23" s="29"/>
      <c r="O23" s="29"/>
      <c r="P23" s="29"/>
    </row>
    <row r="24" spans="2:16">
      <c r="B24" s="28"/>
      <c r="C24" s="4"/>
      <c r="D24" s="5"/>
      <c r="F24" s="3"/>
      <c r="G24" s="29"/>
      <c r="H24" s="3"/>
      <c r="I24" s="29"/>
      <c r="K24" s="29"/>
      <c r="L24" s="29"/>
      <c r="M24" s="29"/>
      <c r="N24" s="29"/>
      <c r="O24" s="29"/>
      <c r="P24" s="29"/>
    </row>
  </sheetData>
  <mergeCells count="9">
    <mergeCell ref="A13:D13"/>
    <mergeCell ref="A2:B3"/>
    <mergeCell ref="B18:E23"/>
    <mergeCell ref="F18:I23"/>
    <mergeCell ref="A1:M1"/>
    <mergeCell ref="C2:M2"/>
    <mergeCell ref="C3:M3"/>
    <mergeCell ref="A5:D5"/>
    <mergeCell ref="J5:M5"/>
  </mergeCells>
  <pageMargins left="0.7" right="0.7" top="0.75" bottom="0.75" header="0.3" footer="0.3"/>
  <pageSetup scale="76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8"/>
  <sheetViews>
    <sheetView showGridLines="0" topLeftCell="A10" workbookViewId="0">
      <selection activeCell="B22" sqref="B22:E27"/>
    </sheetView>
  </sheetViews>
  <sheetFormatPr defaultColWidth="11.375" defaultRowHeight="16.5"/>
  <cols>
    <col min="1" max="1" width="8.625" style="3" customWidth="1"/>
    <col min="2" max="2" width="63.125" style="4" customWidth="1"/>
    <col min="3" max="3" width="13.875" style="5" customWidth="1"/>
    <col min="4" max="4" width="9" style="3" customWidth="1"/>
    <col min="5" max="5" width="2" style="3" customWidth="1"/>
    <col min="6" max="6" width="14.125" style="3" customWidth="1"/>
    <col min="7" max="9" width="14" style="3" customWidth="1"/>
    <col min="10" max="16384" width="11.375" style="3"/>
  </cols>
  <sheetData>
    <row r="1" spans="1:9" ht="31.5" customHeight="1">
      <c r="A1" s="72" t="s">
        <v>44</v>
      </c>
      <c r="B1" s="72"/>
      <c r="C1" s="72"/>
      <c r="D1" s="72"/>
      <c r="E1" s="72"/>
      <c r="F1" s="72"/>
      <c r="G1" s="72"/>
      <c r="H1" s="72"/>
      <c r="I1" s="72"/>
    </row>
    <row r="2" spans="1:9" ht="24" customHeight="1">
      <c r="A2" s="88"/>
      <c r="B2" s="89"/>
      <c r="C2" s="72" t="s">
        <v>45</v>
      </c>
      <c r="D2" s="72"/>
      <c r="E2" s="72"/>
      <c r="F2" s="72"/>
      <c r="G2" s="72"/>
      <c r="H2" s="72"/>
      <c r="I2" s="72"/>
    </row>
    <row r="3" spans="1:9" ht="138" customHeight="1">
      <c r="A3" s="89"/>
      <c r="B3" s="89"/>
      <c r="C3" s="81" t="s">
        <v>2</v>
      </c>
      <c r="D3" s="82"/>
      <c r="E3" s="82"/>
      <c r="F3" s="82"/>
      <c r="G3" s="82"/>
      <c r="H3" s="82"/>
      <c r="I3" s="83"/>
    </row>
    <row r="4" spans="1:9" ht="24.75" customHeight="1">
      <c r="A4" s="6"/>
      <c r="B4" s="7"/>
      <c r="D4" s="5"/>
      <c r="E4" s="5"/>
    </row>
    <row r="5" spans="1:9" s="1" customFormat="1" ht="36" customHeight="1">
      <c r="A5" s="66" t="s">
        <v>6</v>
      </c>
      <c r="B5" s="66"/>
      <c r="C5" s="66"/>
      <c r="D5" s="66"/>
      <c r="E5" s="8"/>
      <c r="F5" s="67" t="s">
        <v>43</v>
      </c>
      <c r="G5" s="67"/>
      <c r="H5" s="67"/>
      <c r="I5" s="67"/>
    </row>
    <row r="6" spans="1:9" s="2" customFormat="1" ht="54.75" customHeight="1">
      <c r="A6" s="9" t="s">
        <v>10</v>
      </c>
      <c r="B6" s="9" t="s">
        <v>11</v>
      </c>
      <c r="C6" s="10" t="s">
        <v>12</v>
      </c>
      <c r="D6" s="10" t="s">
        <v>13</v>
      </c>
      <c r="E6" s="11"/>
      <c r="F6" s="12" t="s">
        <v>5</v>
      </c>
      <c r="G6" s="12" t="s">
        <v>18</v>
      </c>
      <c r="H6" s="12" t="s">
        <v>19</v>
      </c>
      <c r="I6" s="12" t="s">
        <v>20</v>
      </c>
    </row>
    <row r="7" spans="1:9" s="2" customFormat="1" ht="27" customHeight="1">
      <c r="A7" s="84" t="s">
        <v>46</v>
      </c>
      <c r="B7" s="84"/>
      <c r="C7" s="84"/>
      <c r="D7" s="84"/>
      <c r="E7" s="84"/>
      <c r="F7" s="84"/>
      <c r="G7" s="84"/>
      <c r="H7" s="84"/>
      <c r="I7" s="84"/>
    </row>
    <row r="8" spans="1:9" ht="82.5">
      <c r="A8" s="13">
        <v>1</v>
      </c>
      <c r="B8" s="14" t="s">
        <v>21</v>
      </c>
      <c r="C8" s="15" t="s">
        <v>22</v>
      </c>
      <c r="D8" s="13">
        <v>1</v>
      </c>
      <c r="E8" s="16"/>
      <c r="F8" s="17">
        <f>'ANEXO 3'!J7</f>
        <v>51790128.549999997</v>
      </c>
      <c r="G8" s="17">
        <f>ROUND(F8*19%,2)</f>
        <v>9840124.4199999999</v>
      </c>
      <c r="H8" s="17">
        <f>ROUND(F8+G8,2)</f>
        <v>61630252.969999999</v>
      </c>
      <c r="I8" s="17">
        <f>ROUND(H8*D8,2)</f>
        <v>61630252.969999999</v>
      </c>
    </row>
    <row r="9" spans="1:9" s="2" customFormat="1" ht="27" customHeight="1">
      <c r="A9" s="84" t="s">
        <v>47</v>
      </c>
      <c r="B9" s="84"/>
      <c r="C9" s="84"/>
      <c r="D9" s="84"/>
      <c r="E9" s="84"/>
      <c r="F9" s="84"/>
      <c r="G9" s="84"/>
      <c r="H9" s="84"/>
      <c r="I9" s="84"/>
    </row>
    <row r="10" spans="1:9" ht="82.5">
      <c r="A10" s="18">
        <v>2</v>
      </c>
      <c r="B10" s="19" t="s">
        <v>23</v>
      </c>
      <c r="C10" s="18" t="s">
        <v>22</v>
      </c>
      <c r="D10" s="18">
        <v>1</v>
      </c>
      <c r="E10" s="16"/>
      <c r="F10" s="20">
        <f>'ANEXO 3'!J8</f>
        <v>51579378.549999997</v>
      </c>
      <c r="G10" s="20">
        <f>ROUND(F10*19%,2)</f>
        <v>9800081.9199999999</v>
      </c>
      <c r="H10" s="20">
        <f>ROUND(F10+G10,2)</f>
        <v>61379460.469999999</v>
      </c>
      <c r="I10" s="20">
        <f>ROUND(H10*D10,2)</f>
        <v>61379460.469999999</v>
      </c>
    </row>
    <row r="11" spans="1:9" s="2" customFormat="1" ht="27" customHeight="1">
      <c r="A11" s="84" t="s">
        <v>48</v>
      </c>
      <c r="B11" s="84"/>
      <c r="C11" s="84"/>
      <c r="D11" s="84"/>
      <c r="E11" s="84"/>
      <c r="F11" s="84"/>
      <c r="G11" s="84"/>
      <c r="H11" s="84"/>
      <c r="I11" s="84"/>
    </row>
    <row r="12" spans="1:9" ht="82.5">
      <c r="A12" s="18">
        <v>3</v>
      </c>
      <c r="B12" s="19" t="s">
        <v>24</v>
      </c>
      <c r="C12" s="18" t="s">
        <v>22</v>
      </c>
      <c r="D12" s="18">
        <v>1</v>
      </c>
      <c r="E12" s="16"/>
      <c r="F12" s="20">
        <f>'ANEXO 3'!J9</f>
        <v>51579378.549999997</v>
      </c>
      <c r="G12" s="20">
        <f>ROUND(F12*19%,2)</f>
        <v>9800081.9199999999</v>
      </c>
      <c r="H12" s="20">
        <f>ROUND(F12+G12,2)</f>
        <v>61379460.469999999</v>
      </c>
      <c r="I12" s="20">
        <f>ROUND(H12*D12,2)</f>
        <v>61379460.469999999</v>
      </c>
    </row>
    <row r="13" spans="1:9" s="2" customFormat="1" ht="27" customHeight="1">
      <c r="A13" s="84" t="s">
        <v>49</v>
      </c>
      <c r="B13" s="84"/>
      <c r="C13" s="84"/>
      <c r="D13" s="84"/>
      <c r="E13" s="84"/>
      <c r="F13" s="84"/>
      <c r="G13" s="84"/>
      <c r="H13" s="84"/>
      <c r="I13" s="84"/>
    </row>
    <row r="14" spans="1:9" ht="33">
      <c r="A14" s="18">
        <v>4</v>
      </c>
      <c r="B14" s="19" t="s">
        <v>25</v>
      </c>
      <c r="C14" s="18" t="s">
        <v>22</v>
      </c>
      <c r="D14" s="18">
        <v>1</v>
      </c>
      <c r="E14" s="16"/>
      <c r="F14" s="20">
        <f>'ANEXO 3'!J10</f>
        <v>12377340.859999999</v>
      </c>
      <c r="G14" s="20">
        <f t="shared" ref="G14" si="0">ROUND(F14*19%,2)</f>
        <v>2351694.7599999998</v>
      </c>
      <c r="H14" s="20">
        <f t="shared" ref="H14" si="1">ROUND(F14+G14,2)</f>
        <v>14729035.619999999</v>
      </c>
      <c r="I14" s="20">
        <f t="shared" ref="I14" si="2">ROUND(H14*D14,2)</f>
        <v>14729035.619999999</v>
      </c>
    </row>
    <row r="15" spans="1:9" ht="49.5">
      <c r="A15" s="18">
        <v>5</v>
      </c>
      <c r="B15" s="19" t="s">
        <v>26</v>
      </c>
      <c r="C15" s="18" t="s">
        <v>22</v>
      </c>
      <c r="D15" s="18">
        <v>1</v>
      </c>
      <c r="E15" s="16"/>
      <c r="F15" s="20">
        <f>'ANEXO 3'!J11</f>
        <v>10678395.27</v>
      </c>
      <c r="G15" s="20">
        <f>ROUND(F15*19%,2)</f>
        <v>2028895.1</v>
      </c>
      <c r="H15" s="20">
        <f>ROUND(F15+G15,2)</f>
        <v>12707290.369999999</v>
      </c>
      <c r="I15" s="20">
        <f>ROUND(H15*D15,2)</f>
        <v>12707290.369999999</v>
      </c>
    </row>
    <row r="16" spans="1:9" ht="7.5" customHeight="1">
      <c r="A16" s="21"/>
      <c r="B16" s="22"/>
      <c r="C16" s="21"/>
      <c r="D16" s="21"/>
    </row>
    <row r="17" spans="1:16">
      <c r="A17" s="85" t="s">
        <v>27</v>
      </c>
      <c r="B17" s="85"/>
      <c r="C17" s="85"/>
      <c r="D17" s="85"/>
      <c r="F17" s="23"/>
      <c r="I17" s="30">
        <f>SUM(I8:I16)</f>
        <v>211825499.90000001</v>
      </c>
    </row>
    <row r="18" spans="1:16">
      <c r="A18" s="24"/>
      <c r="B18" s="24"/>
      <c r="C18" s="24"/>
      <c r="D18" s="24"/>
    </row>
    <row r="20" spans="1:16">
      <c r="B20" s="25" t="s">
        <v>29</v>
      </c>
      <c r="F20" s="26"/>
      <c r="I20" s="26"/>
    </row>
    <row r="21" spans="1:16">
      <c r="B21" s="25" t="s">
        <v>30</v>
      </c>
      <c r="C21" s="4"/>
      <c r="E21" s="27"/>
    </row>
    <row r="22" spans="1:16" ht="22.5" customHeight="1">
      <c r="B22" s="65"/>
      <c r="C22" s="65"/>
      <c r="D22" s="65"/>
      <c r="E22" s="65"/>
      <c r="F22" s="65"/>
      <c r="G22" s="65"/>
      <c r="H22" s="65"/>
      <c r="I22" s="65"/>
      <c r="J22" s="65"/>
      <c r="L22" s="29"/>
      <c r="M22" s="29"/>
      <c r="N22" s="29"/>
      <c r="O22" s="29"/>
      <c r="P22" s="29"/>
    </row>
    <row r="23" spans="1:16" ht="22.5" customHeight="1">
      <c r="B23" s="65"/>
      <c r="C23" s="65"/>
      <c r="D23" s="65"/>
      <c r="E23" s="65"/>
      <c r="F23" s="65"/>
      <c r="G23" s="65"/>
      <c r="H23" s="65"/>
      <c r="I23" s="65"/>
      <c r="J23" s="65"/>
      <c r="L23" s="29"/>
      <c r="M23" s="29"/>
      <c r="N23" s="29"/>
      <c r="O23" s="29"/>
      <c r="P23" s="29"/>
    </row>
    <row r="24" spans="1:16" ht="22.5" customHeight="1">
      <c r="B24" s="65"/>
      <c r="C24" s="65"/>
      <c r="D24" s="65"/>
      <c r="E24" s="65"/>
      <c r="F24" s="65"/>
      <c r="G24" s="65"/>
      <c r="H24" s="65"/>
      <c r="I24" s="65"/>
      <c r="J24" s="65"/>
      <c r="L24" s="29"/>
      <c r="M24" s="29"/>
      <c r="N24" s="29"/>
      <c r="O24" s="29"/>
      <c r="P24" s="29"/>
    </row>
    <row r="25" spans="1:16" ht="22.5" customHeight="1">
      <c r="B25" s="65"/>
      <c r="C25" s="65"/>
      <c r="D25" s="65"/>
      <c r="E25" s="65"/>
      <c r="F25" s="65"/>
      <c r="G25" s="65"/>
      <c r="H25" s="65"/>
      <c r="I25" s="65"/>
      <c r="J25" s="65"/>
      <c r="L25" s="29"/>
      <c r="M25" s="29"/>
      <c r="N25" s="29"/>
      <c r="O25" s="29"/>
      <c r="P25" s="29"/>
    </row>
    <row r="26" spans="1:16" ht="22.5" customHeight="1">
      <c r="B26" s="65"/>
      <c r="C26" s="65"/>
      <c r="D26" s="65"/>
      <c r="E26" s="65"/>
      <c r="F26" s="65"/>
      <c r="G26" s="65"/>
      <c r="H26" s="65"/>
      <c r="I26" s="65"/>
      <c r="J26" s="65"/>
      <c r="L26" s="29"/>
      <c r="M26" s="29"/>
      <c r="N26" s="29"/>
      <c r="O26" s="29"/>
      <c r="P26" s="29"/>
    </row>
    <row r="27" spans="1:16" ht="22.5" customHeight="1">
      <c r="B27" s="65"/>
      <c r="C27" s="65"/>
      <c r="D27" s="65"/>
      <c r="E27" s="65"/>
      <c r="F27" s="65"/>
      <c r="G27" s="65"/>
      <c r="H27" s="65"/>
      <c r="I27" s="65"/>
      <c r="J27" s="65"/>
      <c r="L27" s="29"/>
      <c r="M27" s="29"/>
      <c r="N27" s="29"/>
      <c r="O27" s="29"/>
      <c r="P27" s="29"/>
    </row>
    <row r="28" spans="1:16">
      <c r="B28" s="28"/>
      <c r="C28" s="4"/>
      <c r="D28" s="5"/>
      <c r="G28" s="29"/>
      <c r="H28" s="29"/>
      <c r="J28" s="29"/>
      <c r="L28" s="29"/>
      <c r="M28" s="29"/>
      <c r="N28" s="29"/>
      <c r="O28" s="29"/>
      <c r="P28" s="29"/>
    </row>
  </sheetData>
  <mergeCells count="13">
    <mergeCell ref="A1:I1"/>
    <mergeCell ref="C2:I2"/>
    <mergeCell ref="C3:I3"/>
    <mergeCell ref="A5:D5"/>
    <mergeCell ref="F5:I5"/>
    <mergeCell ref="A2:B3"/>
    <mergeCell ref="B22:E27"/>
    <mergeCell ref="F22:J27"/>
    <mergeCell ref="A7:I7"/>
    <mergeCell ref="A9:I9"/>
    <mergeCell ref="A11:I11"/>
    <mergeCell ref="A13:I13"/>
    <mergeCell ref="A17:D17"/>
  </mergeCells>
  <pageMargins left="0.7" right="0.7" top="0.75" bottom="0.75" header="0.3" footer="0.3"/>
  <pageSetup scale="76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Rosa Liliana Martinez Contreras</dc:creator>
  <cp:keywords/>
  <dc:description/>
  <cp:lastModifiedBy>Astrid Lorena Santamaria Diaz</cp:lastModifiedBy>
  <cp:revision/>
  <dcterms:created xsi:type="dcterms:W3CDTF">2023-04-11T16:23:00Z</dcterms:created>
  <dcterms:modified xsi:type="dcterms:W3CDTF">2026-03-26T14:18:58Z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E904A9CCB0234299A54EAD646ED0377F_13</vt:lpwstr>
  </property>
  <property fmtid="{D5CDD505-2E9C-101B-9397-08002B2CF9AE}" pid="3" name="KSOProductBuildVer">
    <vt:lpwstr>1033-12.2.0.23196</vt:lpwstr>
  </property>
</Properties>
</file>