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ACER_RYZEN5\Desktop\"/>
    </mc:Choice>
  </mc:AlternateContent>
  <xr:revisionPtr revIDLastSave="0" documentId="13_ncr:1_{CEC9B24F-B822-4527-B89A-5F7B94CEE014}" xr6:coauthVersionLast="47" xr6:coauthVersionMax="47" xr10:uidLastSave="{00000000-0000-0000-0000-000000000000}"/>
  <bookViews>
    <workbookView xWindow="-105" yWindow="0" windowWidth="10455" windowHeight="10905" xr2:uid="{70E396C8-4BAB-482F-98A7-DA09902E2394}"/>
  </bookViews>
  <sheets>
    <sheet name="ACTIVIDADES DOC VANESA" sheetId="1" r:id="rId1"/>
    <sheet name="Hoja3" sheetId="3" r:id="rId2"/>
    <sheet name="Hoja2" sheetId="2" r:id="rId3"/>
  </sheets>
  <definedNames>
    <definedName name="_xlnm._FilterDatabase" localSheetId="0" hidden="1">'ACTIVIDADES DOC VANESA'!$A$6:$Q$30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 i="1" l="1"/>
  <c r="F10" i="1"/>
  <c r="L10" i="1"/>
  <c r="K30" i="1"/>
  <c r="O30" i="1" s="1"/>
  <c r="K29" i="1"/>
  <c r="O29" i="1" s="1"/>
  <c r="P29" i="1" s="1"/>
  <c r="K28" i="1"/>
  <c r="O28" i="1" s="1"/>
  <c r="P28" i="1" s="1"/>
  <c r="K20" i="1"/>
  <c r="K35" i="1"/>
  <c r="L8" i="1"/>
  <c r="M12" i="1"/>
  <c r="H24" i="1"/>
  <c r="I16" i="1"/>
  <c r="H15" i="1"/>
  <c r="J15" i="1"/>
  <c r="J19" i="1"/>
  <c r="I19" i="1"/>
  <c r="H21" i="1"/>
  <c r="I21" i="1"/>
  <c r="G5" i="1"/>
  <c r="J32" i="1"/>
  <c r="H32" i="1"/>
  <c r="J3" i="3"/>
  <c r="I3" i="3"/>
  <c r="K3" i="3" s="1"/>
  <c r="O3" i="3" s="1"/>
  <c r="C22" i="2"/>
  <c r="C23" i="2" s="1"/>
  <c r="E45" i="1"/>
  <c r="J31" i="1"/>
  <c r="I31" i="1"/>
  <c r="H31" i="1"/>
  <c r="I33" i="1"/>
  <c r="K33" i="1" s="1"/>
  <c r="O33" i="1" s="1"/>
  <c r="P33" i="1" s="1"/>
  <c r="J27" i="1"/>
  <c r="H27" i="1"/>
  <c r="K27" i="1" s="1"/>
  <c r="O27" i="1" s="1"/>
  <c r="P27" i="1" s="1"/>
  <c r="L26" i="1"/>
  <c r="L24" i="1"/>
  <c r="I18" i="1"/>
  <c r="K18" i="1" s="1"/>
  <c r="O18" i="1" s="1"/>
  <c r="P18" i="1" s="1"/>
  <c r="J14" i="1"/>
  <c r="H14" i="1"/>
  <c r="K14" i="1" s="1"/>
  <c r="O14" i="1" s="1"/>
  <c r="P14" i="1" s="1"/>
  <c r="L13" i="1"/>
  <c r="J9" i="1"/>
  <c r="I9" i="1"/>
  <c r="K9" i="1" s="1"/>
  <c r="M23" i="1"/>
  <c r="L23" i="1"/>
  <c r="J23" i="1"/>
  <c r="I23" i="1"/>
  <c r="H23" i="1"/>
  <c r="J22" i="1"/>
  <c r="M22" i="1"/>
  <c r="L22" i="1"/>
  <c r="I22" i="1"/>
  <c r="H22" i="1"/>
  <c r="L11" i="1"/>
  <c r="J12" i="1"/>
  <c r="L12" i="1"/>
  <c r="H12" i="1"/>
  <c r="K12" i="1" s="1"/>
  <c r="M10" i="1"/>
  <c r="M8" i="1"/>
  <c r="I8" i="1"/>
  <c r="I11" i="1"/>
  <c r="M9" i="1"/>
  <c r="C8" i="3"/>
  <c r="J8" i="1"/>
  <c r="H7" i="1"/>
  <c r="L27" i="1"/>
  <c r="J26" i="1"/>
  <c r="H26" i="1"/>
  <c r="J25" i="1"/>
  <c r="I25" i="1"/>
  <c r="K25" i="1" s="1"/>
  <c r="O25" i="1" s="1"/>
  <c r="P25" i="1" s="1"/>
  <c r="J24" i="1"/>
  <c r="L21" i="1"/>
  <c r="J21" i="1"/>
  <c r="L19" i="1"/>
  <c r="N20" i="1"/>
  <c r="N5" i="1" s="1"/>
  <c r="I17" i="1"/>
  <c r="I15" i="1"/>
  <c r="E11" i="2"/>
  <c r="E8" i="2"/>
  <c r="G8" i="2" s="1"/>
  <c r="F7" i="2"/>
  <c r="E7" i="2"/>
  <c r="G7" i="2" s="1"/>
  <c r="G6" i="2"/>
  <c r="F6" i="2"/>
  <c r="E6" i="2"/>
  <c r="E5" i="2"/>
  <c r="G5" i="2" s="1"/>
  <c r="J13" i="1"/>
  <c r="I13" i="1"/>
  <c r="H13" i="1"/>
  <c r="K13" i="1" s="1"/>
  <c r="O13" i="1" l="1"/>
  <c r="P13" i="1" s="1"/>
  <c r="K26" i="1"/>
  <c r="O26" i="1" s="1"/>
  <c r="P26" i="1" s="1"/>
  <c r="K8" i="1"/>
  <c r="O8" i="1" s="1"/>
  <c r="P8" i="1" s="1"/>
  <c r="K19" i="1"/>
  <c r="O9" i="1"/>
  <c r="P9" i="1" s="1"/>
  <c r="P30" i="1"/>
  <c r="Q30" i="1" s="1"/>
  <c r="O19" i="1"/>
  <c r="P19" i="1" s="1"/>
  <c r="O20" i="1"/>
  <c r="P20" i="1" s="1"/>
  <c r="K23" i="1"/>
  <c r="O23" i="1" s="1"/>
  <c r="P23" i="1" s="1"/>
  <c r="K32" i="1"/>
  <c r="O32" i="1" s="1"/>
  <c r="P32" i="1" s="1"/>
  <c r="K31" i="1"/>
  <c r="O31" i="1" s="1"/>
  <c r="P31" i="1" s="1"/>
  <c r="K15" i="1"/>
  <c r="O15" i="1" s="1"/>
  <c r="P15" i="1" s="1"/>
  <c r="K22" i="1"/>
  <c r="O22" i="1" s="1"/>
  <c r="P22" i="1" s="1"/>
  <c r="K21" i="1"/>
  <c r="O21" i="1" s="1"/>
  <c r="P21" i="1" s="1"/>
  <c r="H5" i="1"/>
  <c r="M5" i="1"/>
  <c r="Q29" i="1"/>
  <c r="K16" i="1"/>
  <c r="K24" i="1"/>
  <c r="O24" i="1" s="1"/>
  <c r="P24" i="1" s="1"/>
  <c r="K17" i="1"/>
  <c r="Q33" i="1"/>
  <c r="P3" i="3"/>
  <c r="Q3" i="3" s="1"/>
  <c r="Q23" i="1"/>
  <c r="Q28" i="1"/>
  <c r="Q18" i="1"/>
  <c r="Q13" i="1"/>
  <c r="F5" i="2"/>
  <c r="F8" i="2"/>
  <c r="Q20" i="1" l="1"/>
  <c r="Q22" i="1"/>
  <c r="Q31" i="1"/>
  <c r="Q15" i="1"/>
  <c r="O16" i="1"/>
  <c r="P16" i="1" s="1"/>
  <c r="Q32" i="1"/>
  <c r="Q19" i="1"/>
  <c r="O17" i="1"/>
  <c r="P17" i="1" s="1"/>
  <c r="Q27" i="1"/>
  <c r="Q25" i="1"/>
  <c r="Q26" i="1"/>
  <c r="Q24" i="1"/>
  <c r="Q14" i="1"/>
  <c r="Q16" i="1" l="1"/>
  <c r="Q17" i="1"/>
  <c r="Q21" i="1"/>
  <c r="J11" i="1" l="1"/>
  <c r="K11" i="1" s="1"/>
  <c r="O11" i="1" s="1"/>
  <c r="P11" i="1" s="1"/>
  <c r="L7" i="1"/>
  <c r="L5" i="1" s="1"/>
  <c r="J7" i="1"/>
  <c r="K7" i="1" l="1"/>
  <c r="J10" i="1"/>
  <c r="J5" i="1" s="1"/>
  <c r="I10" i="1"/>
  <c r="O12" i="1"/>
  <c r="P12" i="1" s="1"/>
  <c r="Q11" i="1"/>
  <c r="Q9" i="1"/>
  <c r="K10" i="1" l="1"/>
  <c r="O10" i="1" s="1"/>
  <c r="P10" i="1" s="1"/>
  <c r="I5" i="1"/>
  <c r="Q12" i="1"/>
  <c r="O7" i="1"/>
  <c r="Q8" i="1"/>
  <c r="O5" i="1" l="1"/>
  <c r="Q10" i="1"/>
  <c r="K5" i="1"/>
  <c r="P7" i="1"/>
  <c r="P5" i="1" s="1"/>
  <c r="Q4" i="1" l="1"/>
  <c r="Q7" i="1"/>
  <c r="Q5"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ACER_RYZEN5</author>
  </authors>
  <commentList>
    <comment ref="L6" authorId="0" shapeId="0" xr:uid="{2CC3E2A8-FAE4-4E96-8F25-3129B0B96552}">
      <text>
        <r>
          <rPr>
            <b/>
            <sz val="9"/>
            <color indexed="81"/>
            <rFont val="Tahoma"/>
            <family val="2"/>
          </rPr>
          <t>Usuario:</t>
        </r>
        <r>
          <rPr>
            <sz val="9"/>
            <color indexed="81"/>
            <rFont val="Tahoma"/>
            <family val="2"/>
          </rPr>
          <t xml:space="preserve">
papeleria, </t>
        </r>
      </text>
    </comment>
    <comment ref="E11" authorId="1" shapeId="0" xr:uid="{8AF4F79C-1EAC-4727-883D-C49E81885029}">
      <text>
        <r>
          <rPr>
            <b/>
            <sz val="9"/>
            <color indexed="81"/>
            <rFont val="Tahoma"/>
            <family val="2"/>
          </rPr>
          <t>ACER_RYZEN5:</t>
        </r>
        <r>
          <rPr>
            <sz val="9"/>
            <color indexed="81"/>
            <rFont val="Tahoma"/>
            <family val="2"/>
          </rPr>
          <t xml:space="preserve">
prevencion de violencia intrafamiliar</t>
        </r>
      </text>
    </comment>
    <comment ref="E21" authorId="1" shapeId="0" xr:uid="{62641BF5-8F0D-49B9-94E7-4C6FDF011BB1}">
      <text>
        <r>
          <rPr>
            <b/>
            <sz val="9"/>
            <color indexed="81"/>
            <rFont val="Tahoma"/>
            <family val="2"/>
          </rPr>
          <t>ACER_RYZEN5:</t>
        </r>
        <r>
          <rPr>
            <sz val="9"/>
            <color indexed="81"/>
            <rFont val="Tahoma"/>
            <family val="2"/>
          </rPr>
          <t xml:space="preserve">
verificar .</t>
        </r>
      </text>
    </comment>
  </commentList>
</comments>
</file>

<file path=xl/sharedStrings.xml><?xml version="1.0" encoding="utf-8"?>
<sst xmlns="http://schemas.openxmlformats.org/spreadsheetml/2006/main" count="142" uniqueCount="76">
  <si>
    <t>segundo convenio minima cuantia:</t>
  </si>
  <si>
    <t>Enfermera</t>
  </si>
  <si>
    <t>Psicologa</t>
  </si>
  <si>
    <t>Auxiliar</t>
  </si>
  <si>
    <t>Numero</t>
  </si>
  <si>
    <t>Dimensión PDSP</t>
  </si>
  <si>
    <t>EJE ESTRATEGICO ACORDE AL PDSP</t>
  </si>
  <si>
    <t>LINEA OPERATIVA</t>
  </si>
  <si>
    <t xml:space="preserve">2. Descripcion de la actividad </t>
  </si>
  <si>
    <t>TOTAL PROGRAMADO ADICION</t>
  </si>
  <si>
    <t>odontologo /medico/nutricionista/bacteriologa</t>
  </si>
  <si>
    <t>talento humano enfermera profesional</t>
  </si>
  <si>
    <t>talento humano psicologa</t>
  </si>
  <si>
    <t>talento humano auxiliar</t>
  </si>
  <si>
    <t xml:space="preserve">total de talento humano </t>
  </si>
  <si>
    <t>costos indirectos  PAPELERIA</t>
  </si>
  <si>
    <t xml:space="preserve"> Transporte</t>
  </si>
  <si>
    <t>costos directos Emisora, perifoneo</t>
  </si>
  <si>
    <t>subtotal valor actividad</t>
  </si>
  <si>
    <t>valor 13% administración y plan de cuidado el 14%</t>
  </si>
  <si>
    <t>valor total actividad</t>
  </si>
  <si>
    <t>VIDA SALUDABLE Y ENFERMEDADES TRANSMISIBLES</t>
  </si>
  <si>
    <t>Eje estratégico 4: Atención Primaria en Salud</t>
  </si>
  <si>
    <t>III. Cuidado de la Salud en el territorio</t>
  </si>
  <si>
    <t>CONVIVENCIA_SOCIAL_Y_SALUD_MENTAL</t>
  </si>
  <si>
    <t>VIDA  SALUDABLE Y CONDICIONES NO TRANSMISIBLES</t>
  </si>
  <si>
    <t>SEXUALIDAD DERECHOS SEXUALES Y REPRODUCTIVOS</t>
  </si>
  <si>
    <t>PROFESIONAL</t>
  </si>
  <si>
    <t xml:space="preserve">VALOR PROYECTADO MES </t>
  </si>
  <si>
    <t>TOTAL HORASA A TRABAJAR MES</t>
  </si>
  <si>
    <t>VALOR HORA</t>
  </si>
  <si>
    <t>PICF RURAL</t>
  </si>
  <si>
    <t>PICF URBANO</t>
  </si>
  <si>
    <t>ENFERMERA</t>
  </si>
  <si>
    <t>PSICOLOGIA</t>
  </si>
  <si>
    <t>AUXILIAR</t>
  </si>
  <si>
    <t>VALOR DIA</t>
  </si>
  <si>
    <t>NUMERO DE VISITAS</t>
  </si>
  <si>
    <t>DESPLAZAMIENTO DUPLA</t>
  </si>
  <si>
    <t>COSTOS INDIRECTOS POR FAMILIA</t>
  </si>
  <si>
    <t>COSTOS INDIRECTOS CICLO EDUCATIVO CON CIERRE</t>
  </si>
  <si>
    <t xml:space="preserve">COSTOS INDIRECTOS INFORMACION EN SALUD TALLER </t>
  </si>
  <si>
    <t>GESTION DIFERENCIAL DE LAS POBLACIONES VULNERABLES</t>
  </si>
  <si>
    <t xml:space="preserve">Odontologo </t>
  </si>
  <si>
    <t xml:space="preserve">ASIGNACION SICODIS </t>
  </si>
  <si>
    <t xml:space="preserve">POR ASIGNAR </t>
  </si>
  <si>
    <t>ABRIL A JUNIO DE 2026</t>
  </si>
  <si>
    <t xml:space="preserve">Fecha de diligenciamiento : </t>
  </si>
  <si>
    <t>Realizar un programa radial  de 30 minutos duración para brindar información sobre la prevención de afecciones de origen bucal, promoción de hábitos higiénicos saludables, alimentación adecuada, derechos y deberes en salud bucal, identificación de signos de alarma para consultar al servicio de odontología.</t>
  </si>
  <si>
    <r>
      <t>Realizar</t>
    </r>
    <r>
      <rPr>
        <b/>
        <sz val="10"/>
        <rFont val="Aptos Narrow"/>
        <family val="2"/>
        <scheme val="minor"/>
      </rPr>
      <t xml:space="preserve"> 1 ciclo educativo  en prevención del suicidio de 6 sesiones</t>
    </r>
    <r>
      <rPr>
        <sz val="10"/>
        <rFont val="Aptos Narrow"/>
        <family val="2"/>
        <scheme val="minor"/>
      </rPr>
      <t xml:space="preserve"> cada ciclo, dirigidos a 2  grupos de jóvenes de 15-19 años,  de la IE SAN PEDRO CLAVER SEDE  MOTAVITA, cada grupo de mínimo 15 máximo 25 jóvenes que serán los mismos en todas las sesiones, cada sesión tendrá una duración de  2 horas, aplicando la metodología "</t>
    </r>
    <r>
      <rPr>
        <b/>
        <sz val="10"/>
        <rFont val="Aptos Narrow"/>
        <family val="2"/>
        <scheme val="minor"/>
      </rPr>
      <t>VIDA CON SENTIDO"</t>
    </r>
    <r>
      <rPr>
        <sz val="10"/>
        <rFont val="Aptos Narrow"/>
        <family val="2"/>
        <scheme val="minor"/>
      </rPr>
      <t xml:space="preserve"> ( Diligenciar base datos notificación actividad).</t>
    </r>
  </si>
  <si>
    <t>Desarrollar 2  taller  de información en salud de 1 hora de duración cada sesión en la modalidad de taller,  en la estrategia Saber vivir, saber beber, dirigido a grupos de 15 personas cada uno (1 sesión por grupo) del área rural  para el segundo trimestre  Diligenciar base datos notificación actividad).</t>
  </si>
  <si>
    <r>
      <t>Realizar 15  tamizajes  para la detección de trastorno mental, aplicando la escala SQR, con intervención breve y seguimiento en ruta de atención integral en salud mental, según corresponda a través del programa MhGAP o el programa de salud mental en atención primaria vigente de la ESE dirigido a Población mayor de 14 años q</t>
    </r>
    <r>
      <rPr>
        <b/>
        <u/>
        <sz val="14"/>
        <rFont val="Arial Narrow"/>
        <family val="2"/>
      </rPr>
      <t>ue cumpla criterios de riesgo</t>
    </r>
    <r>
      <rPr>
        <sz val="14"/>
        <rFont val="Arial Narrow"/>
        <family val="2"/>
      </rPr>
      <t xml:space="preserve"> del área urbana y rural del municipio de chitaraque ( Diligenciar base datos notificación actividad) Desarrollado por talento humano certificado</t>
    </r>
  </si>
  <si>
    <r>
      <t xml:space="preserve">Realizar información en salud a través de la  difusión de 20 cuñas radiales de 5 minutos  de duración,la cuales se realizaran 5 para el segundo trimestre. para brindar información en salud a los padres y adolescentes sobre estrategias de apoyo: </t>
    </r>
    <r>
      <rPr>
        <b/>
        <sz val="14"/>
        <rFont val="Arial Narrow"/>
        <family val="2"/>
      </rPr>
      <t xml:space="preserve"> 7 SAAJ Servicios de Salud Amigables para adolescentes y jóvenes , 6 ZOE zonas de orientación escolar y 7 centro  de Escucha. dirigido a la población general en la Emisora comunitaria o con cobertura en el municipio. </t>
    </r>
  </si>
  <si>
    <t xml:space="preserve">Desarrollar 3 sesiones para cumplimiento de  ciclo educativo con un mínimo de 10 y máximo de 15 agentes comunitarios (madres comunitarias de ICBF y/o Madres FAMI y/o  líderes de los programas de DPS de acuerdo  a la estructura metodológica de la guía operativa comunitaria  del Programa de Prevención, Manejo y Control de la IRA/EDA: incluye  planeación de la réplica, réplica por cada agente comunitario y seguimiento a través de la matriz establecida por MINSALUD. Del área urbana y o rural del municipio *Hacer uso de los Kits del niño Sano, entregado por SESALUB en vigencias 2020-2025, garantizando la reposición de los elementos de uso. </t>
  </si>
  <si>
    <r>
      <t>Realizar Plan Integral de Cuidado Familiar</t>
    </r>
    <r>
      <rPr>
        <sz val="11"/>
        <color theme="1"/>
        <rFont val="Arial Narrow"/>
        <family val="2"/>
      </rPr>
      <t xml:space="preserve"> por equipo de salud conformado por dupla: Profesional de  Enfermería o Psicología,  y auxiliar de enfermería y/o salud pública (Preferiblemente entrenados en PICF) </t>
    </r>
    <r>
      <rPr>
        <b/>
        <i/>
        <sz val="11"/>
        <color theme="1"/>
        <rFont val="Arial Narrow"/>
        <family val="2"/>
      </rPr>
      <t>a 11  familias</t>
    </r>
    <r>
      <rPr>
        <sz val="11"/>
        <color theme="1"/>
        <rFont val="Arial Narrow"/>
        <family val="2"/>
      </rPr>
      <t xml:space="preserve">, con pacientes con riesgo de salud mental o diagnóstico de enfermedad mental , identificados en SIBACOM, historia clínica , sivigila a través de 1 visita domiciliaria presencial,  con un intervalo mínimo de 20 días de la visita numero 3, esto con el fin de realizar cumplimiento total a la actividad.    incluye: actividades de caracterización y/o actualización de información, valoración,  información y educación para la salud , tamizajes, rehabilitación basada en comunidad y seguimiento y  monitoreo de logros trazadores e intermedios en salud (a través del software SIBACOM PLUS - con sistema de georreferenciacion); esta actividad incluye desarrollo previo de unidades de análisis por  equipo básico  de salud (Medicina, Enfermería, psicología). </t>
    </r>
  </si>
  <si>
    <r>
      <t xml:space="preserve">Continuar </t>
    </r>
    <r>
      <rPr>
        <b/>
        <i/>
        <sz val="11"/>
        <color theme="1"/>
        <rFont val="Arial Narrow"/>
        <family val="2"/>
      </rPr>
      <t xml:space="preserve">centro de escucha comunitario para la prevención y gestión del riesgo en salud mental y la promoción de factores protectores, dirigido a  población general   del área URBANA y RURAL </t>
    </r>
    <r>
      <rPr>
        <sz val="11"/>
        <color theme="1"/>
        <rFont val="Arial Narrow"/>
        <family val="2"/>
      </rPr>
      <t xml:space="preserve">, incluye las siguientes fases de desarrollo: 1. Alistamiento: identificación de usuarios, información y sensibilización a la comunidad y lideres de opinión, generación de acuerdos con comunidad y conformación de equipo de trabajo 2. Construcción del proyecto de intervención para operar el centro de escucha. 3. Identificación y consolidación de la red operativa. 4 Implementación: se deben ofertar servicios de escucha activa, acogida, mediación, organización, orientación, acompañamiento, capacitación, canalización y derivación de las personas, desarrollo de grupo de apoyo como estrategia comunitaria.  se realiza  mediante  jornadas  de servicios de centro de escucha de  4 horas cada una:  se desarrollan 3 jornadas  veredas y 2 en urbano </t>
    </r>
    <r>
      <rPr>
        <b/>
        <i/>
        <u/>
        <sz val="11"/>
        <color theme="1"/>
        <rFont val="Arial Narrow"/>
        <family val="2"/>
      </rPr>
      <t xml:space="preserve">(5 Para este segundo  trimestre) </t>
    </r>
    <r>
      <rPr>
        <sz val="11"/>
        <color theme="1"/>
        <rFont val="Arial Narrow"/>
        <family val="2"/>
      </rPr>
      <t>teniendo en cuenta el lineamiento. Seguimiento, evaluación y sistematización. (las jornadas serán proyectadas para los demás trimestres según cronograma.)</t>
    </r>
  </si>
  <si>
    <r>
      <t>Realizar Plan Integral de Cuidado Familiar</t>
    </r>
    <r>
      <rPr>
        <sz val="11"/>
        <color theme="1"/>
        <rFont val="Arial Narrow"/>
        <family val="2"/>
      </rPr>
      <t xml:space="preserve"> por equipo de salud conformado por dupla: Profesional de Enfermería o psicología  y auxiliar de enfermería y/o salud pública (Preferiblemente entrenados en PICF) </t>
    </r>
    <r>
      <rPr>
        <b/>
        <sz val="11"/>
        <color theme="1"/>
        <rFont val="Arial Narrow"/>
        <family val="2"/>
      </rPr>
      <t>a  6 familias</t>
    </r>
    <r>
      <rPr>
        <sz val="11"/>
        <color theme="1"/>
        <rFont val="Arial Narrow"/>
        <family val="2"/>
      </rPr>
      <t xml:space="preserve">, con pacientes con riesgo o diagnostico de enfermedad transmisible, identificados en SIBACOM, historia clínica , sivigila a través de 1 visitas domiciliarias presenciales,  con un intervalo mínimo de 20 días  de la tercera visita, las cuales incluyen: actividades de caracterización y/o actualización de información, valoración,  información y educación para la salud , tamizajes, rehabilitación basada en comunidad y seguimiento y  monitoreo de logros trazadores e intermedios en salud (a través del software SIBACOM PLUS - con sistema de georreferenciación); esta actividad incluye desarrollo previo de unidades de análisis por  equipo básico  de salud (Medicina, Enfermería, psicología).  </t>
    </r>
  </si>
  <si>
    <r>
      <t xml:space="preserve">Desarrollar 3 sesiones  para ciclo educativo cada una de 90 minutos,  (tener en cuenta que ya se realizo 2 sesiones) con  grupos de 15 personas . aplicando  del programa convive: </t>
    </r>
    <r>
      <rPr>
        <b/>
        <i/>
        <sz val="11"/>
        <color theme="1"/>
        <rFont val="Arial Narrow"/>
        <family val="2"/>
      </rPr>
      <t>Boyacá en familia</t>
    </r>
    <r>
      <rPr>
        <sz val="11"/>
        <color theme="1"/>
        <rFont val="Arial Narrow"/>
        <family val="2"/>
      </rPr>
      <t xml:space="preserve">  ( * tener en cuenta la guía de promoción salud mental , vamos derecho pal convite, "No más violencia en las familias"  Autoprotección . se realizarán 3 sesiones para cumplimiento del ciclo educativo. </t>
    </r>
  </si>
  <si>
    <t>Realizar 1 taller de información en  salud de 45 minutos de duración en la  instituciones educativas IE san pedro Claver y o jardines infantiles,  del área  rural  del municipio de Chitaraque  a cargo de profesional de enfermería dirigido a docentes y padres de familia sobre la identificación de alteraciones visuales en menores entre 2 y  8 años  y auditivas en menores de 12 años, con la participación mínimo de 20 personas y con orientación a servicios de salud.</t>
  </si>
  <si>
    <t>Divulgar información en salud para promover el cuidado y acompañamiento a las gestantes  en el reconocimiento de la Ruta Integral de Atención Materno Perinatal, la identificación de señales de alarma y el fortalecimiento de redes comunitarias; a través de  3  talleres cada uno de 2 horas dirigidos a 20 personas de cada uno de los 10  grupos poblacionales  del Municipio de Chitaraque incluye el seguimiento y monitoreo de la actividad acorde a los lineamientos de la secretaria de salud de Boyacá.   Realizar encuentros en zona rural</t>
  </si>
  <si>
    <t xml:space="preserve">Realizar 20 tamizajes a personas mayores de 18 años que cumplan criterios de riesgo del microteritorio centro 1  para la detección de consumo de alcohol, aplicando la escala AUDIT con intervención breve y seguimiento de los casos, según corresponda (Diligenciar base datos notificación actividad) </t>
  </si>
  <si>
    <t>Realizar 15 tamizajes a niños/as de 10 - 14 años que cumplan criterios de riesgo del área rural del municipio de Chitaraque. para la detección de trastorno mental, aplicando la escala RQC, con intervención breve y seguimiento en ruta de atención integral en salud mental ,  según corresponda a través del programa MhGAP o el programa de salud mental en atención primaria vigente de la ESE Desarrollado por talento humano certificado</t>
  </si>
  <si>
    <t xml:space="preserve">fortalecer una red social y comunitaria de apoyo para personas con discapacidad, sus cuidadores y familias, promoviendo la inclusión y participación social de las personas con discapacidad en el Municipio; mediante la implementación de la tecnología de redes sociales y comunitarias, evidenciando los 7 pasos para su ejecución, a través de (10 sesiones presenciales de mínimo 2 horas cada una, dirigidas a un grupo mínimo de 10 personas, que participaran de manera continua en las sesiones que se desarrollaran  del área rural y urbana; esta actividad será desarrollada por dos profesionales del área de la salud de diferentes disciplinas con conocimientos en discapacidad. y para el segundo trimestre se realizaran 3 sesiones. Es un grupo Diferente a las personas que participan en la Estrategia de Rehabilitación Basada en Comunidad </t>
  </si>
  <si>
    <t xml:space="preserve">Realizar  1  jornada en salud en entornos comunitarios de mayor dispersión rural en las veredas de Santa Barbara, tume chico y o guayacán y peña , integrando los servicios del Plan Obligatorio de Salud con las tecnología del PIC, información en salud, orientada a promocionar  la Salud mental,  Prevención del consumo de sustancias Psicoactivas y alcohol,  prevención de las violencias Intrafamiliar, de género Y  sexual, información sobre rutas de violencia, abuso, sustancias psicoactivas y drogas; realizando mínimo 20 atenciones ( tamizajes aplicando el instrumento RQC (Cuestionario de reporte para Niños) salud mental, instrumento substance involvement screening test (ASSIST)  SPA, aplicando el instrumento (AUDIT ) alcohol, se debe concertar con la alcaldía y la EAPB las fechas de la actividad ya que esta constituye una actividad complementaria al POS SOPORTE mínimo 20 personas, registro fotográfico, registro de asistencia, material educativo, y especificar las personas que estuvieron involucradas en cada actividad </t>
  </si>
  <si>
    <t xml:space="preserve">Realizar  1  jornada en salud en entornos comunitarios de mayor dispersión rural en las veredas de  Santo Domingo, Potrero grande , integrando los servicios del Plan Obligatorio de Salud con las tecnología del PIC, información en salud, donde se llevara a cada una de las veredas información en estilos de vida saludable, ejercicio, prevención y control de las enfermedades nutricionales, crónicas y las alteraciones bucales, visuales y auditivas, prácticas de cuidado a lo largo de toda la vida, prevención y control de las enfermedades transmisibles, VIH, Tuberculosis, dengue, IRA - covid-19,  con equipo interdisciplinario para garantizar el acceso de la población a los servicios de salud colectivos. (Actividad que se concentra en un espacio de tiempo definido y que implica el despliegue de un equipo interdisciplinario para garantizar el acceso de la población a los servicios de salud). se debe presentar un informe de las acciones y atenciones realizadas, registro fotográfico y actas de asistencia. se debe concertar con la alcaldía y la EAPB las fechas de la actividad ya que esta constituye una actividad complementaria al POS SOPORTE mínimo 20 personas, registro fotográfico, registro de asistencia, material educativo, y especificar las personas que estuvieron involucradas en cada actividad </t>
  </si>
  <si>
    <t>Implementar, monitorear y evaluar ZONA DE ORIENTACIÓN ESCOLAR en la institución educativa san pedro claver   del área rural o urbana incluye las siguientes fases de desarrollo: 1. Alistamiento: identificación de usuarios, información y sensibilización a la comunidad y lideres de opinión, generación de acuerdos con comunidad y conformación de equipo de trabajo 2. Construcción del proyecto de intervención para operar la ZOE, se debe definir cronograma de acción concertado con la comunidad educativa. 3. Identificación y consolidación de la red operativa. 4 Implementación: se deben ofertar servicios de escucha activa, acogida, mediación, organización, orientación, acompañamiento, capacitación, canalización y derivación de las personas a otros servicios sectoriales e intersectoriales, desarrollo de grupo de apoyo como estrategia comunitaria. 5. Seguimiento, evaluación y sistematización de la ZOE. para esta vigencia se debe tener en cuenta que se realizara la fase 4, ya que se ha venido trabajando anualmente.  (para el segundo trimestre se desarrollará 1)</t>
  </si>
  <si>
    <t xml:space="preserve">Realizar 3 estrategias de información del Programa Ampliado de Inmunizaciones PAI antes de cada jornada nacional o departamental   a través de (15 horas de perifoneo mensuales , carteles para el día de las jornadas, 1 afiches para cada escuela rural y urbana, entrega de folletos , emisiones de 5 cuñas radiales semanales de 25 segundos de duración y grabar y emitir 1 programa radial mensual  de  20 minutos de duración  en emisora comunitaria o con cobertura municipal.  para crear conciencia social y confianza en los biológicos del PAI.  </t>
  </si>
  <si>
    <t xml:space="preserve">Realizar 1 Ciclo de Educación (para el segundo  trimestre se realizaran 5 sesiones ) en salud para orientar a las familias en la selección y consumos de alimentos saludables que contribuyan al bienestar nutricional y a la prevención de enfermedades relacionadas con la alimentación mediante las Guías alimentarias basada en alimentos - GABAS- para la población colombiana menor de dos años a través de 9 sesiones presenciales, de mínimo 2 horas de duración, dirigido a gestantes, lactantes y padres de familia de menores de 2 años, grupo de mínimo 20 personas que serán las mismas durante las 9 sesiones, del área urbana, desarrollando la metodología establecida por la Secretaria de Salud de Boyacá. </t>
  </si>
  <si>
    <t xml:space="preserve">Realizar Una estrategia de información en salud con cobertura en todo el territorio municipal para el ciclo de vacunación antirrábica, 20 días antes de la jornada. Esto incluye: (15 horas de perifoneo mensuales , cartel para el día central de vacunación (centro ), 1 afiche en cada escuela y o punto de vacunación, entrega de folletos , emisiones de 5 cuñas radiales semanales de 25 segundos de duración y grabar y emitir 1 programa radial mensual de 20 minutos de duración en emisora comunitaria o con cobertura municipal . Dirigidas a población general y en estas jornadas involucrar estos temas: prevención de la rabia , lesiones por agresión o contacto con un animal potencialmente transmisor de la rabia y la necesidad de la vacunación de caninos y felinos (perros y gatos) y manejo responsable de los mismos </t>
  </si>
  <si>
    <t>Desarrollar una estrategia de información en salud bucal (4 cuñas semanales , 2 programas radiales, 10 horas de perifoneo, 20 afiches en las escuelas del municipio) para apoyar la promoción y difusión de mensajes clave en el marco de las jornadas soy generación más sonriente según programación departamental</t>
  </si>
  <si>
    <t>Realizar 1 ciclo de educación para la salud, en el entorno comunitario, a través del desarrollo de 5 sesiones educativas, de dos (2) horas cada una para el segundo trimestre, dirigidas a grupos de mínimo 10 personas con discapacidad, cuidadores o familiares de personas con discapacidad, que serán las mismas durante todo el proceso, de la zona  del área rural y /o urbana; abordando temas de interés para esta población como conceptos clave sobre discapacidad, proceso de certificación, registro de cuidadores, acceso a servicios de salud y apoyos disponibles, con el propósito de fortalecer el conocimiento, la participación activa y el ejercicio de derechos en el contexto local. Esta actividad será ejecutada por dos profesionales del área de la salud de diferentes disciplinas con conocimientos en discapacidad</t>
  </si>
  <si>
    <t xml:space="preserve">Conformación  de Red Comunitaria para la Promoción del Derecho Humano a la Alimentación 4 sesiones durante el mes de junio, Generando conciencia en organizaciones de la sociedad civil sobre cómo las acciones del sector salud contribuyen directamente a la realización del derecho humano a la alimentación, promoviendo una mirada integral de los derechos humanos , grupos de mínimo de 8 personas en un Ciclo de 8 sesiones de 2 horas de duración con una frecuencia  mínima de cada 8 días  del área rural. </t>
  </si>
  <si>
    <r>
      <t xml:space="preserve">
Realizar ciclo de educación para la salud en derechos sexuales y reproductivos programada a través de cinco  (5) sesiones de dos (2) horas cada una, dirigido a adolescentes y jóvenes, grupos de 15 personas que serán las mismas durante todo el proceso educativo en vereda Motavita incluye el seguimiento y monitoreo de la actividad acorde a los lineamientos de la secretaria de salud de Boyacá.
</t>
    </r>
    <r>
      <rPr>
        <b/>
        <i/>
        <u/>
        <sz val="14"/>
        <rFont val="Arial Narrow"/>
        <family val="2"/>
      </rPr>
      <t xml:space="preserve">
</t>
    </r>
  </si>
  <si>
    <t xml:space="preserve">Tamizar a 10 personas  para  VIH, Sífilis, Hepatitis B y Hepatitis C,  dirigido a  población clave (hombres que tienen sexo con hombres, personas transgénero,  personas que se inyectan drogas, habitantes de calle, trabajadores sexuales, indígenas,   personas privadas de la libertad) y  trabajadores de la economía informal (actividad minera), según perfil de riesgo y en articulación con las EAPB en caso de activar rutas de atención integral,  según resolución 1314 de 2020 y lineamientos departamentales, incluye seguimiento a través de ruta de atención de ser necesario. a desarrollar en el area urbana y rural del Municipio. </t>
  </si>
  <si>
    <r>
      <t>Realizar la caracterización  de factores de riesgo (Instrumento caracterización actualizado en el  2024) a 20 (</t>
    </r>
    <r>
      <rPr>
        <b/>
        <u/>
        <sz val="14"/>
        <rFont val="Arial Narrow"/>
        <family val="2"/>
      </rPr>
      <t>ver anexo de población priorizada por municipio)</t>
    </r>
    <r>
      <rPr>
        <sz val="14"/>
        <rFont val="Arial Narrow"/>
        <family val="2"/>
      </rPr>
      <t xml:space="preserve"> de los trabajadores informales de los diferentes sectores de la economia informal,   estableciendo informe, plan de acción  a los factores de riesgo</t>
    </r>
    <r>
      <rPr>
        <b/>
        <sz val="14"/>
        <rFont val="Arial Narrow"/>
        <family val="2"/>
      </rPr>
      <t>.</t>
    </r>
  </si>
  <si>
    <t xml:space="preserve"> actualizar* (cuantificar el número de estas unidades) Unidades de Atención Comunitarias de enfermedades respiratorias y diarreicas agudas  (UROCS-UAIRACS) ubicada(s) en el área rural del municipio, garantizando el cumplimiento de los lineamientos establecidos en el "MANUAL PARA EL VOLUNTARIO" y la funcionalidad de la misma. Incluye censo, entrenamiento (Mínimo 3  sesiones de entrenamiento) y seguimiento mensual posterior al entrenamiento, contempla actualización trimestral del inventario de unidades departamental con el registro de las acciones de educación a padres efectuada y entrega de material educativo de acuerdo al lineamiento técnico.
*Para su programación debe tenerse en cuenta el inventario de unidades creadas en 2020 -2025 con recursos del PIC departamental y/ó municipal  para garantizar su continuidad. Se adjunta enlace para verificar existencia de las unidades: 
https://docs.google.com/spreadsheets/d/1_rUegG-icoGLePtcXrCL0HSSF7y3vaZH/edit?gid=1981700017#gid=1981700017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</si>
</sst>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quot;\ #,##0.00;[Red]\-&quot;$&quot;\ #,##0.00"/>
    <numFmt numFmtId="41" formatCode="_-* #,##0_-;\-* #,##0_-;_-* &quot;-&quot;_-;_-@_-"/>
    <numFmt numFmtId="44" formatCode="_-&quot;$&quot;\ * #,##0.00_-;\-&quot;$&quot;\ * #,##0.00_-;_-&quot;$&quot;\ * &quot;-&quot;??_-;_-@_-"/>
    <numFmt numFmtId="164" formatCode="_-[$$-240A]\ * #,##0.00_-;\-[$$-240A]\ * #,##0.00_-;_-[$$-240A]\ * &quot;-&quot;??_-;_-@_-"/>
    <numFmt numFmtId="165" formatCode="_-* #,##0.00_-;\-* #,##0.00_-;_-* &quot;-&quot;_-;_-@_-"/>
    <numFmt numFmtId="166" formatCode="&quot;$&quot;\ #,##0"/>
    <numFmt numFmtId="167" formatCode="&quot;$&quot;\ #,##0.00"/>
  </numFmts>
  <fonts count="41" x14ac:knownFonts="1">
    <font>
      <sz val="11"/>
      <color theme="1"/>
      <name val="Aptos Narrow"/>
      <family val="2"/>
      <scheme val="minor"/>
    </font>
    <font>
      <sz val="11"/>
      <color theme="1"/>
      <name val="Aptos Narrow"/>
      <family val="2"/>
      <scheme val="minor"/>
    </font>
    <font>
      <b/>
      <sz val="11"/>
      <color theme="1"/>
      <name val="Aptos Narrow"/>
      <family val="2"/>
      <scheme val="minor"/>
    </font>
    <font>
      <sz val="12"/>
      <color theme="1"/>
      <name val="Arial"/>
      <family val="2"/>
    </font>
    <font>
      <b/>
      <sz val="16"/>
      <color theme="1"/>
      <name val="Arial"/>
      <family val="2"/>
    </font>
    <font>
      <b/>
      <sz val="18"/>
      <color theme="1"/>
      <name val="Arial"/>
      <family val="2"/>
    </font>
    <font>
      <b/>
      <sz val="9"/>
      <color indexed="81"/>
      <name val="Tahoma"/>
      <family val="2"/>
    </font>
    <font>
      <sz val="9"/>
      <color indexed="81"/>
      <name val="Tahoma"/>
      <family val="2"/>
    </font>
    <font>
      <sz val="10"/>
      <name val="Aptos Narrow"/>
      <family val="2"/>
      <scheme val="minor"/>
    </font>
    <font>
      <b/>
      <sz val="10"/>
      <name val="Aptos Narrow"/>
      <family val="2"/>
      <scheme val="minor"/>
    </font>
    <font>
      <sz val="12"/>
      <name val="Aptos Narrow"/>
      <family val="2"/>
      <scheme val="minor"/>
    </font>
    <font>
      <sz val="10"/>
      <color rgb="FF000000"/>
      <name val="Arial"/>
      <family val="2"/>
    </font>
    <font>
      <sz val="11"/>
      <color theme="1"/>
      <name val="Calibri"/>
      <family val="2"/>
    </font>
    <font>
      <sz val="16"/>
      <color theme="1"/>
      <name val="Aptos Narrow"/>
      <family val="2"/>
      <scheme val="minor"/>
    </font>
    <font>
      <sz val="14"/>
      <color theme="1"/>
      <name val="Aptos Narrow"/>
      <family val="2"/>
      <scheme val="minor"/>
    </font>
    <font>
      <b/>
      <sz val="12"/>
      <color theme="1"/>
      <name val="Arial Narrow"/>
      <family val="2"/>
    </font>
    <font>
      <sz val="11"/>
      <color theme="1"/>
      <name val="Arial Narrow"/>
      <family val="2"/>
    </font>
    <font>
      <b/>
      <sz val="18"/>
      <color theme="1"/>
      <name val="Arial Narrow"/>
      <family val="2"/>
    </font>
    <font>
      <sz val="18"/>
      <color theme="1"/>
      <name val="Arial Narrow"/>
      <family val="2"/>
    </font>
    <font>
      <sz val="12"/>
      <color theme="1"/>
      <name val="Arial Narrow"/>
      <family val="2"/>
    </font>
    <font>
      <sz val="22"/>
      <color theme="1"/>
      <name val="Arial Narrow"/>
      <family val="2"/>
    </font>
    <font>
      <b/>
      <sz val="14"/>
      <color theme="1"/>
      <name val="Arial Narrow"/>
      <family val="2"/>
    </font>
    <font>
      <b/>
      <sz val="14"/>
      <color rgb="FFFF0000"/>
      <name val="Arial Narrow"/>
      <family val="2"/>
    </font>
    <font>
      <b/>
      <sz val="16"/>
      <color theme="1"/>
      <name val="Arial Narrow"/>
      <family val="2"/>
    </font>
    <font>
      <b/>
      <sz val="16"/>
      <name val="Arial Narrow"/>
      <family val="2"/>
    </font>
    <font>
      <b/>
      <sz val="18"/>
      <name val="Arial Narrow"/>
      <family val="2"/>
    </font>
    <font>
      <sz val="16"/>
      <name val="Arial Narrow"/>
      <family val="2"/>
    </font>
    <font>
      <sz val="14"/>
      <color rgb="FF000000"/>
      <name val="Arial Narrow"/>
      <family val="2"/>
    </font>
    <font>
      <b/>
      <sz val="11"/>
      <color theme="1"/>
      <name val="Arial Narrow"/>
      <family val="2"/>
    </font>
    <font>
      <sz val="14"/>
      <name val="Arial Narrow"/>
      <family val="2"/>
    </font>
    <font>
      <b/>
      <sz val="14"/>
      <name val="Arial Narrow"/>
      <family val="2"/>
    </font>
    <font>
      <b/>
      <i/>
      <u/>
      <sz val="14"/>
      <name val="Arial Narrow"/>
      <family val="2"/>
    </font>
    <font>
      <sz val="16"/>
      <color theme="1"/>
      <name val="Arial Narrow"/>
      <family val="2"/>
    </font>
    <font>
      <b/>
      <sz val="20"/>
      <color theme="1"/>
      <name val="Arial Narrow"/>
      <family val="2"/>
    </font>
    <font>
      <sz val="14"/>
      <color theme="1"/>
      <name val="Arial Narrow"/>
      <family val="2"/>
    </font>
    <font>
      <b/>
      <u/>
      <sz val="14"/>
      <name val="Arial Narrow"/>
      <family val="2"/>
    </font>
    <font>
      <b/>
      <sz val="11"/>
      <name val="Arial Narrow"/>
      <family val="2"/>
    </font>
    <font>
      <sz val="12"/>
      <name val="Arial Narrow"/>
      <family val="2"/>
    </font>
    <font>
      <sz val="14"/>
      <color rgb="FF201F1E"/>
      <name val="Arial Narrow"/>
      <family val="2"/>
    </font>
    <font>
      <b/>
      <i/>
      <sz val="11"/>
      <color theme="1"/>
      <name val="Arial Narrow"/>
      <family val="2"/>
    </font>
    <font>
      <b/>
      <i/>
      <u/>
      <sz val="11"/>
      <color theme="1"/>
      <name val="Arial Narrow"/>
      <family val="2"/>
    </font>
  </fonts>
  <fills count="25">
    <fill>
      <patternFill patternType="none"/>
    </fill>
    <fill>
      <patternFill patternType="gray125"/>
    </fill>
    <fill>
      <patternFill patternType="solid">
        <fgColor theme="8" tint="0.79998168889431442"/>
        <bgColor indexed="64"/>
      </patternFill>
    </fill>
    <fill>
      <patternFill patternType="solid">
        <fgColor theme="5" tint="0.59999389629810485"/>
        <bgColor indexed="64"/>
      </patternFill>
    </fill>
    <fill>
      <patternFill patternType="solid">
        <fgColor rgb="FFFFC000"/>
        <bgColor indexed="64"/>
      </patternFill>
    </fill>
    <fill>
      <patternFill patternType="solid">
        <fgColor theme="0"/>
        <bgColor indexed="64"/>
      </patternFill>
    </fill>
    <fill>
      <patternFill patternType="solid">
        <fgColor theme="2"/>
        <bgColor indexed="64"/>
      </patternFill>
    </fill>
    <fill>
      <patternFill patternType="solid">
        <fgColor theme="2"/>
        <bgColor rgb="FFFBE4D5"/>
      </patternFill>
    </fill>
    <fill>
      <patternFill patternType="solid">
        <fgColor theme="5" tint="0.59999389629810485"/>
        <bgColor rgb="FFFBE4D5"/>
      </patternFill>
    </fill>
    <fill>
      <patternFill patternType="solid">
        <fgColor rgb="FFFFC000"/>
        <bgColor rgb="FFFBE4D5"/>
      </patternFill>
    </fill>
    <fill>
      <patternFill patternType="solid">
        <fgColor theme="0"/>
        <bgColor theme="0"/>
      </patternFill>
    </fill>
    <fill>
      <patternFill patternType="solid">
        <fgColor theme="0"/>
        <bgColor rgb="FFD6E3BC"/>
      </patternFill>
    </fill>
    <fill>
      <patternFill patternType="solid">
        <fgColor theme="4" tint="0.59999389629810485"/>
        <bgColor indexed="64"/>
      </patternFill>
    </fill>
    <fill>
      <patternFill patternType="solid">
        <fgColor theme="0"/>
        <bgColor rgb="FF92D050"/>
      </patternFill>
    </fill>
    <fill>
      <patternFill patternType="solid">
        <fgColor theme="5" tint="0.39997558519241921"/>
        <bgColor indexed="64"/>
      </patternFill>
    </fill>
    <fill>
      <patternFill patternType="solid">
        <fgColor theme="7" tint="0.59999389629810485"/>
        <bgColor indexed="64"/>
      </patternFill>
    </fill>
    <fill>
      <patternFill patternType="solid">
        <fgColor theme="0" tint="-4.9989318521683403E-2"/>
        <bgColor indexed="64"/>
      </patternFill>
    </fill>
    <fill>
      <patternFill patternType="solid">
        <fgColor theme="0" tint="-4.9989318521683403E-2"/>
        <bgColor rgb="FFFBE4D5"/>
      </patternFill>
    </fill>
    <fill>
      <patternFill patternType="solid">
        <fgColor theme="6" tint="0.39997558519241921"/>
        <bgColor indexed="64"/>
      </patternFill>
    </fill>
    <fill>
      <patternFill patternType="solid">
        <fgColor rgb="FF92D050"/>
        <bgColor indexed="64"/>
      </patternFill>
    </fill>
    <fill>
      <patternFill patternType="solid">
        <fgColor rgb="FF92D050"/>
        <bgColor rgb="FFFBE4D5"/>
      </patternFill>
    </fill>
    <fill>
      <patternFill patternType="solid">
        <fgColor theme="8" tint="0.59999389629810485"/>
        <bgColor indexed="64"/>
      </patternFill>
    </fill>
    <fill>
      <patternFill patternType="solid">
        <fgColor theme="8" tint="0.59999389629810485"/>
        <bgColor rgb="FFFBE4D5"/>
      </patternFill>
    </fill>
    <fill>
      <patternFill patternType="solid">
        <fgColor theme="4" tint="0.79998168889431442"/>
        <bgColor indexed="64"/>
      </patternFill>
    </fill>
    <fill>
      <patternFill patternType="solid">
        <fgColor theme="4" tint="0.79998168889431442"/>
        <bgColor rgb="FFFBE4D5"/>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s>
  <cellStyleXfs count="6">
    <xf numFmtId="0" fontId="0" fillId="0" borderId="0"/>
    <xf numFmtId="41" fontId="1" fillId="0" borderId="0" applyFont="0" applyFill="0" applyBorder="0" applyAlignment="0" applyProtection="0"/>
    <xf numFmtId="44" fontId="1" fillId="0" borderId="0" applyFont="0" applyFill="0" applyBorder="0" applyAlignment="0" applyProtection="0"/>
    <xf numFmtId="0" fontId="1" fillId="0" borderId="0"/>
    <xf numFmtId="0" fontId="11" fillId="0" borderId="0"/>
    <xf numFmtId="0" fontId="11" fillId="0" borderId="0"/>
  </cellStyleXfs>
  <cellXfs count="181">
    <xf numFmtId="0" fontId="0" fillId="0" borderId="0" xfId="0"/>
    <xf numFmtId="164" fontId="3" fillId="5" borderId="1" xfId="2" applyNumberFormat="1" applyFont="1" applyFill="1" applyBorder="1" applyAlignment="1">
      <alignment horizontal="center" vertical="center"/>
    </xf>
    <xf numFmtId="0" fontId="0" fillId="5" borderId="0" xfId="0" applyFill="1"/>
    <xf numFmtId="0" fontId="0" fillId="0" borderId="1" xfId="0" applyBorder="1"/>
    <xf numFmtId="166" fontId="12" fillId="5" borderId="1" xfId="1" applyNumberFormat="1" applyFont="1" applyFill="1" applyBorder="1" applyAlignment="1" applyProtection="1">
      <alignment vertical="center"/>
    </xf>
    <xf numFmtId="0" fontId="0" fillId="12" borderId="1" xfId="0" applyFill="1" applyBorder="1" applyProtection="1">
      <protection locked="0"/>
    </xf>
    <xf numFmtId="0" fontId="0" fillId="12" borderId="1" xfId="0" applyFill="1" applyBorder="1" applyAlignment="1" applyProtection="1">
      <alignment wrapText="1"/>
      <protection locked="0"/>
    </xf>
    <xf numFmtId="0" fontId="1" fillId="12" borderId="1" xfId="0" applyFont="1" applyFill="1" applyBorder="1" applyAlignment="1">
      <alignment wrapText="1"/>
    </xf>
    <xf numFmtId="166" fontId="0" fillId="12" borderId="1" xfId="0" applyNumberFormat="1" applyFill="1" applyBorder="1" applyAlignment="1">
      <alignment wrapText="1"/>
    </xf>
    <xf numFmtId="0" fontId="1" fillId="12" borderId="1" xfId="0" applyFont="1" applyFill="1" applyBorder="1"/>
    <xf numFmtId="0" fontId="0" fillId="0" borderId="0" xfId="0" applyProtection="1">
      <protection locked="0"/>
    </xf>
    <xf numFmtId="166" fontId="0" fillId="0" borderId="1" xfId="0" applyNumberFormat="1" applyBorder="1" applyProtection="1">
      <protection locked="0"/>
    </xf>
    <xf numFmtId="166" fontId="0" fillId="0" borderId="1" xfId="0" applyNumberFormat="1" applyBorder="1"/>
    <xf numFmtId="0" fontId="0" fillId="0" borderId="1" xfId="0" applyBorder="1" applyProtection="1">
      <protection locked="0"/>
    </xf>
    <xf numFmtId="166" fontId="0" fillId="0" borderId="0" xfId="0" applyNumberFormat="1"/>
    <xf numFmtId="0" fontId="1" fillId="12" borderId="1" xfId="0" applyFont="1" applyFill="1" applyBorder="1" applyProtection="1">
      <protection locked="0"/>
    </xf>
    <xf numFmtId="166" fontId="1" fillId="0" borderId="1" xfId="0" applyNumberFormat="1" applyFont="1" applyBorder="1"/>
    <xf numFmtId="0" fontId="1" fillId="0" borderId="1" xfId="0" applyFont="1" applyBorder="1" applyAlignment="1" applyProtection="1">
      <alignment wrapText="1"/>
      <protection locked="0"/>
    </xf>
    <xf numFmtId="0" fontId="1" fillId="0" borderId="0" xfId="0" applyFont="1" applyAlignment="1" applyProtection="1">
      <alignment wrapText="1"/>
      <protection locked="0"/>
    </xf>
    <xf numFmtId="0" fontId="10" fillId="5" borderId="2" xfId="3" applyFont="1" applyFill="1" applyBorder="1" applyAlignment="1" applyProtection="1">
      <alignment horizontal="center" vertical="center" wrapText="1"/>
      <protection locked="0"/>
    </xf>
    <xf numFmtId="0" fontId="10" fillId="5" borderId="2" xfId="0" applyFont="1" applyFill="1" applyBorder="1" applyAlignment="1" applyProtection="1">
      <alignment horizontal="center" vertical="center" wrapText="1"/>
      <protection locked="0"/>
    </xf>
    <xf numFmtId="44" fontId="0" fillId="0" borderId="1" xfId="2" applyFont="1" applyBorder="1" applyAlignment="1">
      <alignment horizontal="center" vertical="center"/>
    </xf>
    <xf numFmtId="0" fontId="4" fillId="5" borderId="1" xfId="0" applyFont="1" applyFill="1" applyBorder="1" applyAlignment="1">
      <alignment horizontal="center" vertical="center"/>
    </xf>
    <xf numFmtId="44" fontId="0" fillId="0" borderId="0" xfId="2" applyFont="1"/>
    <xf numFmtId="44" fontId="0" fillId="0" borderId="0" xfId="0" applyNumberFormat="1"/>
    <xf numFmtId="0" fontId="2" fillId="0" borderId="0" xfId="0" applyFont="1" applyAlignment="1">
      <alignment horizontal="center" vertical="center"/>
    </xf>
    <xf numFmtId="14" fontId="14" fillId="0" borderId="0" xfId="0" applyNumberFormat="1" applyFont="1"/>
    <xf numFmtId="17" fontId="14" fillId="0" borderId="0" xfId="0" applyNumberFormat="1" applyFont="1"/>
    <xf numFmtId="8" fontId="0" fillId="15" borderId="0" xfId="0" applyNumberFormat="1" applyFill="1" applyAlignment="1" applyProtection="1">
      <alignment horizontal="center" vertical="center"/>
      <protection locked="0"/>
    </xf>
    <xf numFmtId="8" fontId="0" fillId="0" borderId="0" xfId="0" applyNumberFormat="1"/>
    <xf numFmtId="164" fontId="0" fillId="0" borderId="1" xfId="0" applyNumberFormat="1" applyBorder="1" applyAlignment="1">
      <alignment horizontal="center" vertical="center"/>
    </xf>
    <xf numFmtId="8" fontId="0" fillId="15" borderId="3" xfId="2" applyNumberFormat="1" applyFont="1" applyFill="1" applyBorder="1" applyAlignment="1" applyProtection="1">
      <alignment horizontal="center" vertical="center"/>
      <protection locked="0"/>
    </xf>
    <xf numFmtId="0" fontId="8" fillId="10" borderId="1" xfId="0" applyFont="1" applyFill="1" applyBorder="1" applyAlignment="1" applyProtection="1">
      <alignment horizontal="center" vertical="center" wrapText="1"/>
      <protection locked="0"/>
    </xf>
    <xf numFmtId="0" fontId="2" fillId="0" borderId="1" xfId="0" applyFont="1" applyBorder="1" applyAlignment="1">
      <alignment horizontal="center" vertical="center"/>
    </xf>
    <xf numFmtId="0" fontId="15" fillId="5" borderId="1" xfId="0" applyFont="1" applyFill="1" applyBorder="1" applyAlignment="1">
      <alignment horizontal="center" vertical="center" wrapText="1"/>
    </xf>
    <xf numFmtId="0" fontId="0" fillId="16" borderId="0" xfId="0" applyFill="1"/>
    <xf numFmtId="166" fontId="12" fillId="16" borderId="1" xfId="1" applyNumberFormat="1" applyFont="1" applyFill="1" applyBorder="1" applyAlignment="1" applyProtection="1">
      <alignment vertical="center"/>
    </xf>
    <xf numFmtId="164" fontId="0" fillId="16" borderId="1" xfId="0" applyNumberFormat="1" applyFill="1" applyBorder="1" applyAlignment="1">
      <alignment horizontal="center" vertical="center"/>
    </xf>
    <xf numFmtId="8" fontId="0" fillId="18" borderId="0" xfId="0" applyNumberFormat="1" applyFill="1"/>
    <xf numFmtId="0" fontId="16" fillId="0" borderId="0" xfId="0" applyFont="1"/>
    <xf numFmtId="0" fontId="16" fillId="0" borderId="0" xfId="0" applyFont="1" applyAlignment="1">
      <alignment horizontal="center" vertical="center"/>
    </xf>
    <xf numFmtId="0" fontId="19" fillId="5" borderId="0" xfId="0" applyFont="1" applyFill="1"/>
    <xf numFmtId="0" fontId="19" fillId="16" borderId="0" xfId="0" applyFont="1" applyFill="1"/>
    <xf numFmtId="0" fontId="16" fillId="5" borderId="0" xfId="0" applyFont="1" applyFill="1"/>
    <xf numFmtId="0" fontId="20" fillId="0" borderId="0" xfId="0" applyFont="1"/>
    <xf numFmtId="0" fontId="20" fillId="0" borderId="0" xfId="0" applyFont="1" applyAlignment="1">
      <alignment horizontal="center" vertical="center"/>
    </xf>
    <xf numFmtId="164" fontId="21" fillId="2" borderId="1" xfId="0" applyNumberFormat="1" applyFont="1" applyFill="1" applyBorder="1" applyAlignment="1">
      <alignment horizontal="center" vertical="center"/>
    </xf>
    <xf numFmtId="164" fontId="22" fillId="16" borderId="1" xfId="0" applyNumberFormat="1" applyFont="1" applyFill="1" applyBorder="1" applyAlignment="1">
      <alignment horizontal="center" vertical="center"/>
    </xf>
    <xf numFmtId="0" fontId="23" fillId="6" borderId="1" xfId="0" applyFont="1" applyFill="1" applyBorder="1" applyAlignment="1">
      <alignment horizontal="center" vertical="center"/>
    </xf>
    <xf numFmtId="0" fontId="24" fillId="6" borderId="1" xfId="0" applyFont="1" applyFill="1" applyBorder="1" applyAlignment="1">
      <alignment horizontal="center" vertical="center" wrapText="1"/>
    </xf>
    <xf numFmtId="0" fontId="25" fillId="6" borderId="1" xfId="0" applyFont="1" applyFill="1" applyBorder="1" applyAlignment="1">
      <alignment horizontal="center" vertical="center" wrapText="1"/>
    </xf>
    <xf numFmtId="165" fontId="23" fillId="7" borderId="1" xfId="1" applyNumberFormat="1" applyFont="1" applyFill="1" applyBorder="1" applyAlignment="1" applyProtection="1">
      <alignment horizontal="center" vertical="center" wrapText="1"/>
    </xf>
    <xf numFmtId="165" fontId="15" fillId="8" borderId="1" xfId="1" applyNumberFormat="1" applyFont="1" applyFill="1" applyBorder="1" applyAlignment="1" applyProtection="1">
      <alignment horizontal="center" vertical="center" wrapText="1"/>
    </xf>
    <xf numFmtId="165" fontId="15" fillId="7" borderId="1" xfId="1" applyNumberFormat="1" applyFont="1" applyFill="1" applyBorder="1" applyAlignment="1" applyProtection="1">
      <alignment horizontal="center" vertical="center" wrapText="1"/>
    </xf>
    <xf numFmtId="165" fontId="15" fillId="17" borderId="1" xfId="1" applyNumberFormat="1" applyFont="1" applyFill="1" applyBorder="1" applyAlignment="1" applyProtection="1">
      <alignment horizontal="center" vertical="center" wrapText="1"/>
    </xf>
    <xf numFmtId="165" fontId="23" fillId="17" borderId="1" xfId="1" applyNumberFormat="1" applyFont="1" applyFill="1" applyBorder="1" applyAlignment="1" applyProtection="1">
      <alignment horizontal="center" vertical="center" wrapText="1"/>
    </xf>
    <xf numFmtId="0" fontId="23" fillId="5" borderId="1" xfId="0" applyFont="1" applyFill="1" applyBorder="1" applyAlignment="1">
      <alignment horizontal="center" vertical="center"/>
    </xf>
    <xf numFmtId="0" fontId="26" fillId="5" borderId="1" xfId="3" applyFont="1" applyFill="1" applyBorder="1" applyAlignment="1">
      <alignment horizontal="center" vertical="center" wrapText="1"/>
    </xf>
    <xf numFmtId="0" fontId="26" fillId="5" borderId="1" xfId="0" applyFont="1" applyFill="1" applyBorder="1" applyAlignment="1">
      <alignment horizontal="center" vertical="center" wrapText="1"/>
    </xf>
    <xf numFmtId="0" fontId="17" fillId="5" borderId="1" xfId="0" applyFont="1" applyFill="1" applyBorder="1" applyAlignment="1">
      <alignment horizontal="center" vertical="center"/>
    </xf>
    <xf numFmtId="164" fontId="16" fillId="5" borderId="1" xfId="2" applyNumberFormat="1" applyFont="1" applyFill="1" applyBorder="1" applyAlignment="1" applyProtection="1">
      <alignment horizontal="center" vertical="center" wrapText="1"/>
      <protection locked="0"/>
    </xf>
    <xf numFmtId="164" fontId="19" fillId="5" borderId="1" xfId="1" applyNumberFormat="1" applyFont="1" applyFill="1" applyBorder="1" applyAlignment="1" applyProtection="1">
      <alignment vertical="center"/>
    </xf>
    <xf numFmtId="164" fontId="15" fillId="16" borderId="1" xfId="0" applyNumberFormat="1" applyFont="1" applyFill="1" applyBorder="1" applyAlignment="1">
      <alignment vertical="center" wrapText="1"/>
    </xf>
    <xf numFmtId="164" fontId="16" fillId="5" borderId="1" xfId="1" applyNumberFormat="1" applyFont="1" applyFill="1" applyBorder="1" applyAlignment="1" applyProtection="1">
      <alignment horizontal="center" vertical="center"/>
    </xf>
    <xf numFmtId="164" fontId="16" fillId="5" borderId="1" xfId="1" applyNumberFormat="1" applyFont="1" applyFill="1" applyBorder="1" applyAlignment="1" applyProtection="1">
      <alignment vertical="center"/>
    </xf>
    <xf numFmtId="164" fontId="17" fillId="16" borderId="1" xfId="1" applyNumberFormat="1" applyFont="1" applyFill="1" applyBorder="1" applyAlignment="1" applyProtection="1">
      <alignment vertical="center"/>
    </xf>
    <xf numFmtId="0" fontId="26" fillId="5" borderId="1" xfId="0" applyFont="1" applyFill="1" applyBorder="1" applyAlignment="1" applyProtection="1">
      <alignment horizontal="left" vertical="center" wrapText="1"/>
      <protection locked="0"/>
    </xf>
    <xf numFmtId="0" fontId="26" fillId="5" borderId="1" xfId="3" applyFont="1" applyFill="1" applyBorder="1" applyAlignment="1" applyProtection="1">
      <alignment horizontal="center" vertical="center" wrapText="1"/>
      <protection locked="0"/>
    </xf>
    <xf numFmtId="0" fontId="26" fillId="5" borderId="1" xfId="0" applyFont="1" applyFill="1" applyBorder="1" applyAlignment="1" applyProtection="1">
      <alignment horizontal="center" vertical="center" wrapText="1"/>
      <protection locked="0"/>
    </xf>
    <xf numFmtId="0" fontId="25" fillId="5" borderId="1" xfId="0" applyFont="1" applyFill="1" applyBorder="1" applyAlignment="1">
      <alignment horizontal="center" vertical="center"/>
    </xf>
    <xf numFmtId="164" fontId="16" fillId="5" borderId="1" xfId="2" applyNumberFormat="1" applyFont="1" applyFill="1" applyBorder="1" applyAlignment="1">
      <alignment horizontal="center" vertical="center"/>
    </xf>
    <xf numFmtId="0" fontId="29" fillId="10" borderId="1" xfId="0" applyFont="1" applyFill="1" applyBorder="1" applyAlignment="1" applyProtection="1">
      <alignment vertical="center" wrapText="1"/>
      <protection locked="0"/>
    </xf>
    <xf numFmtId="0" fontId="17" fillId="5" borderId="1" xfId="0" applyFont="1" applyFill="1" applyBorder="1" applyAlignment="1">
      <alignment horizontal="center" vertical="center" wrapText="1"/>
    </xf>
    <xf numFmtId="0" fontId="32" fillId="5" borderId="1" xfId="0" applyFont="1" applyFill="1" applyBorder="1"/>
    <xf numFmtId="0" fontId="29" fillId="11" borderId="1" xfId="0" applyFont="1" applyFill="1" applyBorder="1" applyAlignment="1">
      <alignment horizontal="center" vertical="center" wrapText="1"/>
    </xf>
    <xf numFmtId="164" fontId="19" fillId="5" borderId="1" xfId="2" applyNumberFormat="1" applyFont="1" applyFill="1" applyBorder="1" applyAlignment="1">
      <alignment horizontal="center" vertical="center"/>
    </xf>
    <xf numFmtId="0" fontId="29" fillId="5" borderId="1" xfId="3" applyFont="1" applyFill="1" applyBorder="1" applyAlignment="1" applyProtection="1">
      <alignment horizontal="center" vertical="center" wrapText="1"/>
      <protection locked="0"/>
    </xf>
    <xf numFmtId="0" fontId="28" fillId="0" borderId="1" xfId="0" applyFont="1" applyBorder="1" applyAlignment="1">
      <alignment horizontal="center" vertical="center"/>
    </xf>
    <xf numFmtId="166" fontId="28" fillId="16" borderId="1" xfId="0" applyNumberFormat="1" applyFont="1" applyFill="1" applyBorder="1" applyAlignment="1">
      <alignment vertical="center" wrapText="1"/>
    </xf>
    <xf numFmtId="44" fontId="33" fillId="16" borderId="1" xfId="2" applyFont="1" applyFill="1" applyBorder="1" applyAlignment="1" applyProtection="1">
      <alignment vertical="center"/>
    </xf>
    <xf numFmtId="0" fontId="23" fillId="0" borderId="1" xfId="0" applyFont="1" applyBorder="1" applyAlignment="1">
      <alignment horizontal="center" vertical="center"/>
    </xf>
    <xf numFmtId="0" fontId="29" fillId="11" borderId="1" xfId="0" applyFont="1" applyFill="1" applyBorder="1" applyAlignment="1" applyProtection="1">
      <alignment horizontal="center" vertical="center" wrapText="1"/>
      <protection locked="0"/>
    </xf>
    <xf numFmtId="164" fontId="21" fillId="16" borderId="1" xfId="1" applyNumberFormat="1" applyFont="1" applyFill="1" applyBorder="1" applyAlignment="1" applyProtection="1">
      <alignment vertical="center"/>
    </xf>
    <xf numFmtId="0" fontId="34" fillId="5" borderId="1" xfId="0" applyFont="1" applyFill="1" applyBorder="1" applyAlignment="1">
      <alignment horizontal="center" vertical="center" wrapText="1"/>
    </xf>
    <xf numFmtId="0" fontId="28" fillId="0" borderId="1" xfId="0" applyFont="1" applyFill="1" applyBorder="1" applyAlignment="1">
      <alignment horizontal="center" vertical="center"/>
    </xf>
    <xf numFmtId="44" fontId="28" fillId="16" borderId="1" xfId="2" applyFont="1" applyFill="1" applyBorder="1" applyAlignment="1">
      <alignment vertical="center" wrapText="1"/>
    </xf>
    <xf numFmtId="0" fontId="29" fillId="13" borderId="1" xfId="0" applyFont="1" applyFill="1" applyBorder="1" applyAlignment="1" applyProtection="1">
      <alignment horizontal="left" vertical="center" wrapText="1"/>
      <protection locked="0"/>
    </xf>
    <xf numFmtId="0" fontId="29" fillId="10" borderId="1" xfId="0" applyFont="1" applyFill="1" applyBorder="1" applyAlignment="1" applyProtection="1">
      <alignment horizontal="left" vertical="center" wrapText="1"/>
      <protection locked="0"/>
    </xf>
    <xf numFmtId="0" fontId="32" fillId="5" borderId="1" xfId="0" applyFont="1" applyFill="1" applyBorder="1" applyAlignment="1" applyProtection="1">
      <alignment horizontal="center" vertical="center" wrapText="1"/>
      <protection locked="0"/>
    </xf>
    <xf numFmtId="0" fontId="29" fillId="5" borderId="1" xfId="3" applyFont="1" applyFill="1" applyBorder="1" applyAlignment="1" applyProtection="1">
      <alignment horizontal="left" vertical="center" wrapText="1"/>
      <protection locked="0"/>
    </xf>
    <xf numFmtId="0" fontId="36" fillId="5" borderId="1" xfId="3" applyFont="1" applyFill="1" applyBorder="1" applyAlignment="1">
      <alignment horizontal="center" vertical="center" wrapText="1"/>
    </xf>
    <xf numFmtId="0" fontId="37" fillId="5" borderId="1" xfId="0" applyFont="1" applyFill="1" applyBorder="1" applyAlignment="1" applyProtection="1">
      <alignment horizontal="left" vertical="center" wrapText="1"/>
      <protection locked="0"/>
    </xf>
    <xf numFmtId="0" fontId="37" fillId="5" borderId="2" xfId="3" applyFont="1" applyFill="1" applyBorder="1" applyAlignment="1" applyProtection="1">
      <alignment horizontal="center" vertical="center" wrapText="1"/>
      <protection locked="0"/>
    </xf>
    <xf numFmtId="0" fontId="37" fillId="5" borderId="2" xfId="0" applyFont="1" applyFill="1" applyBorder="1" applyAlignment="1" applyProtection="1">
      <alignment horizontal="center" vertical="center" wrapText="1"/>
      <protection locked="0"/>
    </xf>
    <xf numFmtId="0" fontId="38" fillId="5" borderId="2" xfId="0" applyFont="1" applyFill="1" applyBorder="1" applyAlignment="1">
      <alignment vertical="top" wrapText="1"/>
    </xf>
    <xf numFmtId="0" fontId="19" fillId="5" borderId="1" xfId="0" applyFont="1" applyFill="1" applyBorder="1"/>
    <xf numFmtId="166" fontId="21" fillId="16" borderId="1" xfId="1" applyNumberFormat="1" applyFont="1" applyFill="1" applyBorder="1" applyAlignment="1" applyProtection="1">
      <alignment vertical="center"/>
    </xf>
    <xf numFmtId="0" fontId="38" fillId="5" borderId="1" xfId="0" applyFont="1" applyFill="1" applyBorder="1" applyAlignment="1">
      <alignment vertical="top" wrapText="1"/>
    </xf>
    <xf numFmtId="0" fontId="28" fillId="5" borderId="1" xfId="0" applyFont="1" applyFill="1" applyBorder="1" applyAlignment="1" applyProtection="1">
      <alignment horizontal="center" vertical="center"/>
      <protection locked="0"/>
    </xf>
    <xf numFmtId="0" fontId="16" fillId="14" borderId="1" xfId="0" applyFont="1" applyFill="1" applyBorder="1"/>
    <xf numFmtId="0" fontId="37" fillId="5" borderId="1" xfId="3" applyFont="1" applyFill="1" applyBorder="1" applyAlignment="1" applyProtection="1">
      <alignment horizontal="center" vertical="center" wrapText="1"/>
      <protection locked="0"/>
    </xf>
    <xf numFmtId="0" fontId="37" fillId="5" borderId="1" xfId="0" applyFont="1" applyFill="1" applyBorder="1" applyAlignment="1" applyProtection="1">
      <alignment horizontal="center" vertical="center" wrapText="1"/>
      <protection locked="0"/>
    </xf>
    <xf numFmtId="0" fontId="36" fillId="5" borderId="1" xfId="0" applyFont="1" applyFill="1" applyBorder="1" applyAlignment="1">
      <alignment horizontal="center" vertical="center" wrapText="1"/>
    </xf>
    <xf numFmtId="166" fontId="28" fillId="16" borderId="1" xfId="1" applyNumberFormat="1" applyFont="1" applyFill="1" applyBorder="1" applyAlignment="1" applyProtection="1">
      <alignment vertical="center"/>
    </xf>
    <xf numFmtId="0" fontId="16" fillId="5" borderId="1" xfId="3" applyFont="1" applyFill="1" applyBorder="1" applyAlignment="1" applyProtection="1">
      <alignment horizontal="center" vertical="center" wrapText="1"/>
      <protection locked="0"/>
    </xf>
    <xf numFmtId="0" fontId="16" fillId="5" borderId="1" xfId="0" applyFont="1" applyFill="1" applyBorder="1" applyAlignment="1" applyProtection="1">
      <alignment horizontal="center" vertical="center"/>
      <protection locked="0"/>
    </xf>
    <xf numFmtId="0" fontId="34" fillId="5" borderId="1" xfId="3" applyFont="1" applyFill="1" applyBorder="1" applyAlignment="1" applyProtection="1">
      <alignment horizontal="left" vertical="center" wrapText="1"/>
      <protection locked="0"/>
    </xf>
    <xf numFmtId="0" fontId="28" fillId="5" borderId="1" xfId="3" applyFont="1" applyFill="1" applyBorder="1" applyAlignment="1">
      <alignment horizontal="center" vertical="center" wrapText="1"/>
    </xf>
    <xf numFmtId="0" fontId="16" fillId="0" borderId="1" xfId="0" applyFont="1" applyBorder="1"/>
    <xf numFmtId="44" fontId="16" fillId="14" borderId="1" xfId="2" applyFont="1" applyFill="1" applyBorder="1" applyAlignment="1" applyProtection="1">
      <alignment vertical="center" wrapText="1"/>
      <protection locked="0"/>
    </xf>
    <xf numFmtId="167" fontId="29" fillId="16" borderId="1" xfId="3" applyNumberFormat="1" applyFont="1" applyFill="1" applyBorder="1" applyAlignment="1" applyProtection="1">
      <alignment horizontal="left" vertical="center" wrapText="1"/>
      <protection locked="0"/>
    </xf>
    <xf numFmtId="0" fontId="29" fillId="12" borderId="1" xfId="3" applyFont="1" applyFill="1" applyBorder="1" applyAlignment="1" applyProtection="1">
      <alignment horizontal="left" vertical="center" wrapText="1"/>
      <protection locked="0"/>
    </xf>
    <xf numFmtId="166" fontId="16" fillId="16" borderId="1" xfId="1" applyNumberFormat="1" applyFont="1" applyFill="1" applyBorder="1" applyAlignment="1" applyProtection="1">
      <alignment vertical="center"/>
    </xf>
    <xf numFmtId="167" fontId="29" fillId="16" borderId="1" xfId="3" applyNumberFormat="1" applyFont="1" applyFill="1" applyBorder="1" applyAlignment="1" applyProtection="1">
      <alignment horizontal="center" vertical="center" wrapText="1"/>
      <protection locked="0"/>
    </xf>
    <xf numFmtId="0" fontId="34" fillId="5" borderId="1" xfId="0" applyFont="1" applyFill="1" applyBorder="1" applyAlignment="1" applyProtection="1">
      <alignment horizontal="center" vertical="center" wrapText="1"/>
      <protection locked="0"/>
    </xf>
    <xf numFmtId="164" fontId="16" fillId="16" borderId="1" xfId="0" applyNumberFormat="1" applyFont="1" applyFill="1" applyBorder="1" applyAlignment="1">
      <alignment horizontal="center" vertical="center"/>
    </xf>
    <xf numFmtId="0" fontId="27" fillId="5" borderId="1" xfId="0" applyFont="1" applyFill="1" applyBorder="1" applyAlignment="1" applyProtection="1">
      <alignment horizontal="center" vertical="center" wrapText="1"/>
      <protection locked="0"/>
    </xf>
    <xf numFmtId="0" fontId="0" fillId="19" borderId="0" xfId="0" applyFill="1"/>
    <xf numFmtId="0" fontId="16" fillId="19" borderId="0" xfId="0" applyFont="1" applyFill="1"/>
    <xf numFmtId="164" fontId="21" fillId="19" borderId="1" xfId="0" applyNumberFormat="1" applyFont="1" applyFill="1" applyBorder="1" applyAlignment="1">
      <alignment horizontal="center" vertical="center"/>
    </xf>
    <xf numFmtId="165" fontId="23" fillId="20" borderId="1" xfId="1" applyNumberFormat="1" applyFont="1" applyFill="1" applyBorder="1" applyAlignment="1" applyProtection="1">
      <alignment horizontal="center" vertical="center" wrapText="1"/>
    </xf>
    <xf numFmtId="164" fontId="16" fillId="19" borderId="1" xfId="1" applyNumberFormat="1" applyFont="1" applyFill="1" applyBorder="1" applyAlignment="1" applyProtection="1">
      <alignment horizontal="center" vertical="center"/>
    </xf>
    <xf numFmtId="164" fontId="16" fillId="19" borderId="1" xfId="1" applyNumberFormat="1" applyFont="1" applyFill="1" applyBorder="1" applyAlignment="1" applyProtection="1">
      <alignment vertical="center"/>
    </xf>
    <xf numFmtId="164" fontId="28" fillId="19" borderId="1" xfId="0" applyNumberFormat="1" applyFont="1" applyFill="1" applyBorder="1" applyAlignment="1">
      <alignment vertical="center" wrapText="1"/>
    </xf>
    <xf numFmtId="44" fontId="28" fillId="19" borderId="1" xfId="2" applyFont="1" applyFill="1" applyBorder="1" applyAlignment="1">
      <alignment vertical="center" wrapText="1"/>
    </xf>
    <xf numFmtId="44" fontId="16" fillId="19" borderId="1" xfId="2" applyFont="1" applyFill="1" applyBorder="1" applyAlignment="1">
      <alignment horizontal="center" vertical="center"/>
    </xf>
    <xf numFmtId="166" fontId="16" fillId="19" borderId="1" xfId="1" applyNumberFormat="1" applyFont="1" applyFill="1" applyBorder="1" applyAlignment="1" applyProtection="1">
      <alignment vertical="center"/>
    </xf>
    <xf numFmtId="44" fontId="16" fillId="19" borderId="1" xfId="2" applyFont="1" applyFill="1" applyBorder="1" applyAlignment="1" applyProtection="1">
      <alignment horizontal="center" vertical="center"/>
      <protection locked="0"/>
    </xf>
    <xf numFmtId="0" fontId="0" fillId="4" borderId="0" xfId="0" applyFill="1"/>
    <xf numFmtId="0" fontId="16" fillId="4" borderId="0" xfId="0" applyFont="1" applyFill="1"/>
    <xf numFmtId="164" fontId="21" fillId="4" borderId="1" xfId="0" applyNumberFormat="1" applyFont="1" applyFill="1" applyBorder="1" applyAlignment="1">
      <alignment horizontal="center" vertical="center"/>
    </xf>
    <xf numFmtId="165" fontId="23" fillId="9" borderId="1" xfId="1" applyNumberFormat="1" applyFont="1" applyFill="1" applyBorder="1" applyAlignment="1" applyProtection="1">
      <alignment horizontal="center" vertical="center" wrapText="1"/>
    </xf>
    <xf numFmtId="164" fontId="28" fillId="4" borderId="1" xfId="0" applyNumberFormat="1" applyFont="1" applyFill="1" applyBorder="1" applyAlignment="1">
      <alignment horizontal="center" vertical="center" wrapText="1"/>
    </xf>
    <xf numFmtId="164" fontId="28" fillId="4" borderId="1" xfId="0" applyNumberFormat="1" applyFont="1" applyFill="1" applyBorder="1" applyAlignment="1">
      <alignment vertical="center" wrapText="1"/>
    </xf>
    <xf numFmtId="166" fontId="28" fillId="4" borderId="1" xfId="0" applyNumberFormat="1" applyFont="1" applyFill="1" applyBorder="1" applyAlignment="1">
      <alignment vertical="center" wrapText="1"/>
    </xf>
    <xf numFmtId="164" fontId="16" fillId="4" borderId="1" xfId="1" applyNumberFormat="1" applyFont="1" applyFill="1" applyBorder="1" applyAlignment="1" applyProtection="1">
      <alignment horizontal="center" vertical="center"/>
    </xf>
    <xf numFmtId="44" fontId="28" fillId="4" borderId="1" xfId="2" applyFont="1" applyFill="1" applyBorder="1" applyAlignment="1">
      <alignment vertical="center" wrapText="1"/>
    </xf>
    <xf numFmtId="44" fontId="16" fillId="4" borderId="1" xfId="2" applyFont="1" applyFill="1" applyBorder="1" applyAlignment="1" applyProtection="1">
      <alignment vertical="center"/>
    </xf>
    <xf numFmtId="164" fontId="21" fillId="21" borderId="1" xfId="0" applyNumberFormat="1" applyFont="1" applyFill="1" applyBorder="1" applyAlignment="1">
      <alignment horizontal="center" vertical="center"/>
    </xf>
    <xf numFmtId="165" fontId="15" fillId="22" borderId="1" xfId="1" applyNumberFormat="1" applyFont="1" applyFill="1" applyBorder="1" applyAlignment="1" applyProtection="1">
      <alignment horizontal="center" vertical="center" wrapText="1"/>
    </xf>
    <xf numFmtId="164" fontId="19" fillId="21" borderId="1" xfId="1" applyNumberFormat="1" applyFont="1" applyFill="1" applyBorder="1" applyAlignment="1" applyProtection="1">
      <alignment horizontal="center" vertical="center"/>
    </xf>
    <xf numFmtId="164" fontId="19" fillId="21" borderId="1" xfId="2" applyNumberFormat="1" applyFont="1" applyFill="1" applyBorder="1" applyAlignment="1" applyProtection="1">
      <alignment vertical="center" wrapText="1"/>
      <protection locked="0"/>
    </xf>
    <xf numFmtId="164" fontId="19" fillId="21" borderId="1" xfId="1" applyNumberFormat="1" applyFont="1" applyFill="1" applyBorder="1" applyAlignment="1" applyProtection="1">
      <alignment vertical="center"/>
    </xf>
    <xf numFmtId="166" fontId="16" fillId="21" borderId="1" xfId="1" applyNumberFormat="1" applyFont="1" applyFill="1" applyBorder="1" applyAlignment="1" applyProtection="1">
      <alignment vertical="center"/>
    </xf>
    <xf numFmtId="44" fontId="16" fillId="21" borderId="1" xfId="2" applyFont="1" applyFill="1" applyBorder="1" applyAlignment="1" applyProtection="1">
      <alignment vertical="center"/>
    </xf>
    <xf numFmtId="164" fontId="19" fillId="21" borderId="1" xfId="2" applyNumberFormat="1" applyFont="1" applyFill="1" applyBorder="1" applyAlignment="1">
      <alignment horizontal="center" vertical="center"/>
    </xf>
    <xf numFmtId="44" fontId="16" fillId="21" borderId="1" xfId="2" applyFont="1" applyFill="1" applyBorder="1" applyAlignment="1">
      <alignment horizontal="center" vertical="center"/>
    </xf>
    <xf numFmtId="44" fontId="19" fillId="21" borderId="1" xfId="2" applyFont="1" applyFill="1" applyBorder="1" applyAlignment="1">
      <alignment horizontal="center" vertical="center"/>
    </xf>
    <xf numFmtId="164" fontId="21" fillId="3" borderId="1" xfId="0" applyNumberFormat="1" applyFont="1" applyFill="1" applyBorder="1" applyAlignment="1">
      <alignment horizontal="center" vertical="center"/>
    </xf>
    <xf numFmtId="164" fontId="19" fillId="3" borderId="1" xfId="1" applyNumberFormat="1" applyFont="1" applyFill="1" applyBorder="1" applyAlignment="1" applyProtection="1">
      <alignment horizontal="center" vertical="center"/>
    </xf>
    <xf numFmtId="164" fontId="19" fillId="3" borderId="1" xfId="2" applyNumberFormat="1" applyFont="1" applyFill="1" applyBorder="1" applyAlignment="1" applyProtection="1">
      <alignment vertical="center" wrapText="1"/>
      <protection locked="0"/>
    </xf>
    <xf numFmtId="164" fontId="19" fillId="3" borderId="1" xfId="1" applyNumberFormat="1" applyFont="1" applyFill="1" applyBorder="1" applyAlignment="1" applyProtection="1">
      <alignment vertical="center"/>
    </xf>
    <xf numFmtId="166" fontId="16" fillId="3" borderId="1" xfId="1" applyNumberFormat="1" applyFont="1" applyFill="1" applyBorder="1" applyAlignment="1" applyProtection="1">
      <alignment vertical="center"/>
    </xf>
    <xf numFmtId="44" fontId="16" fillId="3" borderId="1" xfId="2" applyFont="1" applyFill="1" applyBorder="1" applyAlignment="1" applyProtection="1">
      <alignment vertical="center"/>
      <protection locked="0"/>
    </xf>
    <xf numFmtId="44" fontId="16" fillId="3" borderId="1" xfId="2" applyFont="1" applyFill="1" applyBorder="1" applyAlignment="1" applyProtection="1">
      <alignment vertical="center"/>
    </xf>
    <xf numFmtId="44" fontId="16" fillId="3" borderId="1" xfId="2" applyFont="1" applyFill="1" applyBorder="1" applyAlignment="1">
      <alignment horizontal="center" vertical="center"/>
    </xf>
    <xf numFmtId="164" fontId="19" fillId="3" borderId="1" xfId="2" applyNumberFormat="1" applyFont="1" applyFill="1" applyBorder="1" applyAlignment="1">
      <alignment horizontal="center" vertical="center"/>
    </xf>
    <xf numFmtId="164" fontId="21" fillId="23" borderId="1" xfId="0" applyNumberFormat="1" applyFont="1" applyFill="1" applyBorder="1" applyAlignment="1">
      <alignment horizontal="center" vertical="center"/>
    </xf>
    <xf numFmtId="165" fontId="15" fillId="24" borderId="1" xfId="1" applyNumberFormat="1" applyFont="1" applyFill="1" applyBorder="1" applyAlignment="1" applyProtection="1">
      <alignment horizontal="center" vertical="center" wrapText="1"/>
    </xf>
    <xf numFmtId="164" fontId="19" fillId="23" borderId="1" xfId="1" applyNumberFormat="1" applyFont="1" applyFill="1" applyBorder="1" applyAlignment="1" applyProtection="1">
      <alignment horizontal="center" vertical="center"/>
    </xf>
    <xf numFmtId="164" fontId="19" fillId="23" borderId="1" xfId="2" applyNumberFormat="1" applyFont="1" applyFill="1" applyBorder="1" applyAlignment="1" applyProtection="1">
      <alignment vertical="center" wrapText="1"/>
      <protection locked="0"/>
    </xf>
    <xf numFmtId="164" fontId="19" fillId="23" borderId="1" xfId="1" applyNumberFormat="1" applyFont="1" applyFill="1" applyBorder="1" applyAlignment="1" applyProtection="1">
      <alignment vertical="center"/>
    </xf>
    <xf numFmtId="44" fontId="16" fillId="23" borderId="1" xfId="2" applyFont="1" applyFill="1" applyBorder="1" applyAlignment="1" applyProtection="1">
      <alignment vertical="center"/>
    </xf>
    <xf numFmtId="166" fontId="16" fillId="23" borderId="1" xfId="1" applyNumberFormat="1" applyFont="1" applyFill="1" applyBorder="1" applyAlignment="1" applyProtection="1">
      <alignment vertical="center"/>
    </xf>
    <xf numFmtId="0" fontId="16" fillId="23" borderId="1" xfId="0" applyFont="1" applyFill="1" applyBorder="1" applyAlignment="1" applyProtection="1">
      <alignment vertical="center"/>
      <protection locked="0"/>
    </xf>
    <xf numFmtId="44" fontId="16" fillId="23" borderId="1" xfId="2" applyFont="1" applyFill="1" applyBorder="1" applyAlignment="1">
      <alignment horizontal="center" vertical="center"/>
    </xf>
    <xf numFmtId="164" fontId="16" fillId="23" borderId="1" xfId="1" applyNumberFormat="1" applyFont="1" applyFill="1" applyBorder="1" applyAlignment="1" applyProtection="1">
      <alignment horizontal="center" vertical="center"/>
    </xf>
    <xf numFmtId="0" fontId="17" fillId="0" borderId="1" xfId="0" applyFont="1" applyBorder="1" applyAlignment="1">
      <alignment horizontal="center" vertical="center"/>
    </xf>
    <xf numFmtId="0" fontId="18" fillId="21" borderId="1" xfId="0" applyFont="1" applyFill="1" applyBorder="1" applyAlignment="1">
      <alignment horizontal="center" vertical="center"/>
    </xf>
    <xf numFmtId="0" fontId="18" fillId="3" borderId="1" xfId="0" applyFont="1" applyFill="1" applyBorder="1" applyAlignment="1">
      <alignment horizontal="center" vertical="center"/>
    </xf>
    <xf numFmtId="0" fontId="18" fillId="23" borderId="1" xfId="0" applyFont="1" applyFill="1" applyBorder="1" applyAlignment="1">
      <alignment horizontal="center" vertical="center"/>
    </xf>
    <xf numFmtId="164" fontId="5" fillId="5" borderId="0" xfId="1" applyNumberFormat="1" applyFont="1" applyFill="1" applyBorder="1" applyAlignment="1" applyProtection="1">
      <alignment vertical="center"/>
    </xf>
    <xf numFmtId="8" fontId="0" fillId="16" borderId="0" xfId="0" applyNumberFormat="1" applyFill="1"/>
    <xf numFmtId="8" fontId="0" fillId="4" borderId="0" xfId="0" applyNumberFormat="1" applyFill="1"/>
    <xf numFmtId="8" fontId="0" fillId="19" borderId="0" xfId="0" applyNumberFormat="1" applyFill="1"/>
    <xf numFmtId="164" fontId="16" fillId="16" borderId="0" xfId="0" applyNumberFormat="1" applyFont="1" applyFill="1"/>
    <xf numFmtId="0" fontId="13" fillId="0" borderId="0" xfId="0" applyFont="1" applyAlignment="1">
      <alignment horizontal="center" vertical="center"/>
    </xf>
    <xf numFmtId="0" fontId="16" fillId="0" borderId="4" xfId="0" applyFont="1" applyBorder="1" applyAlignment="1">
      <alignment horizontal="justify" vertical="center" wrapText="1"/>
    </xf>
    <xf numFmtId="0" fontId="39" fillId="0" borderId="4" xfId="0" applyFont="1" applyBorder="1" applyAlignment="1">
      <alignment horizontal="justify" vertical="center" wrapText="1"/>
    </xf>
    <xf numFmtId="0" fontId="28" fillId="0" borderId="0" xfId="0" applyFont="1" applyAlignment="1">
      <alignment horizontal="center" vertical="center" wrapText="1"/>
    </xf>
    <xf numFmtId="0" fontId="16" fillId="0" borderId="0" xfId="0" applyFont="1" applyAlignment="1">
      <alignment horizontal="center" vertical="center" wrapText="1"/>
    </xf>
  </cellXfs>
  <cellStyles count="6">
    <cellStyle name="Millares [0]" xfId="1" builtinId="6"/>
    <cellStyle name="Moneda" xfId="2" builtinId="4"/>
    <cellStyle name="Normal" xfId="0" builtinId="0"/>
    <cellStyle name="Normal 2" xfId="5" xr:uid="{53414CD5-F639-446D-8588-658C8F081778}"/>
    <cellStyle name="Normal 3" xfId="4" xr:uid="{DFAAAF0C-E4CA-46E6-AF11-47F09D4913AB}"/>
    <cellStyle name="Normal 6" xfId="3" xr:uid="{F9BB6C17-874F-401B-AF52-58D2C6EA45D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92D02-804B-4307-92A2-76F0E5CDDF0D}">
  <dimension ref="A1:Q59"/>
  <sheetViews>
    <sheetView tabSelected="1" topLeftCell="A32" zoomScale="60" zoomScaleNormal="60" workbookViewId="0">
      <selection activeCell="E33" sqref="E33"/>
    </sheetView>
  </sheetViews>
  <sheetFormatPr baseColWidth="10" defaultRowHeight="15" x14ac:dyDescent="0.25"/>
  <cols>
    <col min="1" max="1" width="20.5703125" customWidth="1"/>
    <col min="2" max="2" width="35.7109375" hidden="1" customWidth="1"/>
    <col min="3" max="3" width="31" hidden="1" customWidth="1"/>
    <col min="4" max="4" width="26.140625" hidden="1" customWidth="1"/>
    <col min="5" max="5" width="95.7109375" customWidth="1"/>
    <col min="6" max="6" width="33.28515625" customWidth="1"/>
    <col min="7" max="7" width="36.85546875" customWidth="1"/>
    <col min="8" max="8" width="38" customWidth="1"/>
    <col min="9" max="9" width="29.85546875" customWidth="1"/>
    <col min="10" max="10" width="33.28515625" customWidth="1"/>
    <col min="11" max="11" width="33.42578125" customWidth="1"/>
    <col min="12" max="12" width="38.42578125" style="35" customWidth="1"/>
    <col min="13" max="13" width="34.42578125" style="128" customWidth="1"/>
    <col min="14" max="14" width="35.7109375" style="117" customWidth="1"/>
    <col min="15" max="15" width="37.7109375" customWidth="1"/>
    <col min="16" max="16" width="38.42578125" customWidth="1"/>
    <col min="17" max="17" width="47.140625" style="35" customWidth="1"/>
  </cols>
  <sheetData>
    <row r="1" spans="1:17" ht="37.5" customHeight="1" x14ac:dyDescent="0.3">
      <c r="A1" s="176" t="s">
        <v>47</v>
      </c>
      <c r="B1" s="176"/>
      <c r="C1" s="26">
        <v>46126</v>
      </c>
    </row>
    <row r="2" spans="1:17" ht="39" customHeight="1" x14ac:dyDescent="0.3">
      <c r="A2" s="176" t="s">
        <v>0</v>
      </c>
      <c r="B2" s="176"/>
      <c r="C2" s="27">
        <v>46113</v>
      </c>
      <c r="E2" s="25" t="s">
        <v>46</v>
      </c>
    </row>
    <row r="4" spans="1:17" ht="23.25" x14ac:dyDescent="0.3">
      <c r="A4" s="39"/>
      <c r="B4" s="39"/>
      <c r="C4" s="39"/>
      <c r="D4" s="40"/>
      <c r="E4" s="39"/>
      <c r="F4" s="39"/>
      <c r="G4" s="167" t="s">
        <v>43</v>
      </c>
      <c r="H4" s="168" t="s">
        <v>1</v>
      </c>
      <c r="I4" s="169" t="s">
        <v>2</v>
      </c>
      <c r="J4" s="170" t="s">
        <v>3</v>
      </c>
      <c r="K4" s="41"/>
      <c r="L4" s="42"/>
      <c r="M4" s="129"/>
      <c r="N4" s="118"/>
      <c r="O4" s="43"/>
      <c r="P4" s="43"/>
      <c r="Q4" s="175">
        <f>O5+P5</f>
        <v>41342300</v>
      </c>
    </row>
    <row r="5" spans="1:17" ht="27" x14ac:dyDescent="0.35">
      <c r="A5" s="44"/>
      <c r="B5" s="44"/>
      <c r="C5" s="44"/>
      <c r="D5" s="45"/>
      <c r="E5" s="44"/>
      <c r="F5" s="44"/>
      <c r="G5" s="46">
        <f t="shared" ref="G5:L5" si="0">G7+G8+G9+G10+G11+G12+G13+G14+G15+G16+G17+G18+G19+G20+G21+G22+G23+G24+G25+G26+G27+G28+G29+G30+G31+G32+G33</f>
        <v>320000</v>
      </c>
      <c r="H5" s="138">
        <f t="shared" si="0"/>
        <v>8280000</v>
      </c>
      <c r="I5" s="148">
        <f t="shared" si="0"/>
        <v>8080000</v>
      </c>
      <c r="J5" s="157">
        <f t="shared" si="0"/>
        <v>5490000</v>
      </c>
      <c r="K5" s="46">
        <f t="shared" si="0"/>
        <v>22170000</v>
      </c>
      <c r="L5" s="46">
        <f t="shared" si="0"/>
        <v>4155000</v>
      </c>
      <c r="M5" s="130">
        <f>M7+M8+M9+M10+M11+M12+M13+M14+M15+M16+M17+M18+M19+M20+N21+M22+M23+M24+M25+M26+M27+M28+M29+M30+M31+M32+M33</f>
        <v>4120000</v>
      </c>
      <c r="N5" s="119">
        <f>N7+N8+N9+N10+N11+N12+N13+N14+N15+N16+N17+N18+N19+N20+N21+N22+N23+N24+N25+N26+N27+N28+N29+N30+N31+N32+N33</f>
        <v>6110000</v>
      </c>
      <c r="O5" s="46">
        <f>O7+O8+O9+O10+O11+O12+O13+O14+O15+O16+O17+O18+O19+O20+O21+O22+O23+O24+O25+O26+O27+O28+O29+O30+O31+O32+O33</f>
        <v>36555000</v>
      </c>
      <c r="P5" s="46">
        <f>P7+P8+P9+P10+P11+P12+P13+P14+P15+P16+P17+P18+P19+P20+P21+P22+P23+P24+P25+P26+P27+P28+P29+P30+P31+P32+P33</f>
        <v>4787300</v>
      </c>
      <c r="Q5" s="47">
        <f>Q7+Q8+Q9+Q10+Q11+Q12+Q13+Q14+Q15+Q16+Q17+Q18+Q19+Q20+Q21+Q22+Q23+Q24+Q25+Q26+Q27+Q28+Q29+Q30+Q31+Q32+Q33</f>
        <v>41342300</v>
      </c>
    </row>
    <row r="6" spans="1:17" ht="60.75" x14ac:dyDescent="0.25">
      <c r="A6" s="48" t="s">
        <v>4</v>
      </c>
      <c r="B6" s="49" t="s">
        <v>5</v>
      </c>
      <c r="C6" s="49" t="s">
        <v>6</v>
      </c>
      <c r="D6" s="49" t="s">
        <v>7</v>
      </c>
      <c r="E6" s="49" t="s">
        <v>8</v>
      </c>
      <c r="F6" s="50" t="s">
        <v>9</v>
      </c>
      <c r="G6" s="51" t="s">
        <v>10</v>
      </c>
      <c r="H6" s="139" t="s">
        <v>11</v>
      </c>
      <c r="I6" s="52" t="s">
        <v>12</v>
      </c>
      <c r="J6" s="158" t="s">
        <v>13</v>
      </c>
      <c r="K6" s="53" t="s">
        <v>14</v>
      </c>
      <c r="L6" s="54" t="s">
        <v>15</v>
      </c>
      <c r="M6" s="131" t="s">
        <v>16</v>
      </c>
      <c r="N6" s="120" t="s">
        <v>17</v>
      </c>
      <c r="O6" s="51" t="s">
        <v>18</v>
      </c>
      <c r="P6" s="51" t="s">
        <v>19</v>
      </c>
      <c r="Q6" s="55" t="s">
        <v>20</v>
      </c>
    </row>
    <row r="7" spans="1:17" s="2" customFormat="1" ht="228" customHeight="1" thickBot="1" x14ac:dyDescent="0.3">
      <c r="A7" s="56">
        <v>1</v>
      </c>
      <c r="B7" s="57" t="s">
        <v>21</v>
      </c>
      <c r="C7" s="57" t="s">
        <v>22</v>
      </c>
      <c r="D7" s="58" t="s">
        <v>23</v>
      </c>
      <c r="E7" s="177" t="s">
        <v>53</v>
      </c>
      <c r="F7" s="59">
        <v>3</v>
      </c>
      <c r="G7" s="60">
        <v>0</v>
      </c>
      <c r="H7" s="140">
        <f>180000*3</f>
        <v>540000</v>
      </c>
      <c r="I7" s="149">
        <v>0</v>
      </c>
      <c r="J7" s="159">
        <f>60000*3</f>
        <v>180000</v>
      </c>
      <c r="K7" s="61">
        <f t="shared" ref="K7:K33" si="1">G7+H7+I7+J7</f>
        <v>720000</v>
      </c>
      <c r="L7" s="62">
        <f>20000*3</f>
        <v>60000</v>
      </c>
      <c r="M7" s="132">
        <v>0</v>
      </c>
      <c r="N7" s="121">
        <v>0</v>
      </c>
      <c r="O7" s="64">
        <f t="shared" ref="O7:O33" si="2">K7+L7+M7+N7</f>
        <v>780000</v>
      </c>
      <c r="P7" s="64">
        <f>INT(O7*13/100)</f>
        <v>101400</v>
      </c>
      <c r="Q7" s="65">
        <f t="shared" ref="Q7:Q23" si="3">O7+P7</f>
        <v>881400</v>
      </c>
    </row>
    <row r="8" spans="1:17" s="2" customFormat="1" ht="268.5" customHeight="1" thickBot="1" x14ac:dyDescent="0.3">
      <c r="A8" s="56">
        <v>2</v>
      </c>
      <c r="B8" s="66" t="s">
        <v>24</v>
      </c>
      <c r="C8" s="67" t="s">
        <v>22</v>
      </c>
      <c r="D8" s="68" t="s">
        <v>23</v>
      </c>
      <c r="E8" s="178" t="s">
        <v>54</v>
      </c>
      <c r="F8" s="69">
        <f>11*1</f>
        <v>11</v>
      </c>
      <c r="G8" s="70">
        <v>0</v>
      </c>
      <c r="H8" s="141"/>
      <c r="I8" s="150">
        <f>70000*11</f>
        <v>770000</v>
      </c>
      <c r="J8" s="160">
        <f>60000*11</f>
        <v>660000</v>
      </c>
      <c r="K8" s="61">
        <f t="shared" si="1"/>
        <v>1430000</v>
      </c>
      <c r="L8" s="62">
        <f>5000*11</f>
        <v>55000</v>
      </c>
      <c r="M8" s="133">
        <f>70000*11</f>
        <v>770000</v>
      </c>
      <c r="N8" s="122">
        <v>0</v>
      </c>
      <c r="O8" s="64">
        <f t="shared" si="2"/>
        <v>2255000</v>
      </c>
      <c r="P8" s="64">
        <f>INT(O8*14/100)</f>
        <v>315700</v>
      </c>
      <c r="Q8" s="65">
        <f t="shared" si="3"/>
        <v>2570700</v>
      </c>
    </row>
    <row r="9" spans="1:17" s="2" customFormat="1" ht="303" customHeight="1" thickBot="1" x14ac:dyDescent="0.3">
      <c r="A9" s="56">
        <v>3</v>
      </c>
      <c r="B9" s="66" t="s">
        <v>24</v>
      </c>
      <c r="C9" s="67" t="s">
        <v>22</v>
      </c>
      <c r="D9" s="68" t="s">
        <v>23</v>
      </c>
      <c r="E9" s="177" t="s">
        <v>55</v>
      </c>
      <c r="F9" s="72">
        <v>5</v>
      </c>
      <c r="G9" s="64">
        <v>0</v>
      </c>
      <c r="H9" s="142">
        <v>0</v>
      </c>
      <c r="I9" s="151">
        <f>80000*20</f>
        <v>1600000</v>
      </c>
      <c r="J9" s="161">
        <f>30000*20</f>
        <v>600000</v>
      </c>
      <c r="K9" s="61">
        <f t="shared" si="1"/>
        <v>2200000</v>
      </c>
      <c r="L9" s="62">
        <v>100000</v>
      </c>
      <c r="M9" s="133">
        <f>50000*3</f>
        <v>150000</v>
      </c>
      <c r="N9" s="123">
        <v>0</v>
      </c>
      <c r="O9" s="64">
        <f t="shared" si="2"/>
        <v>2450000</v>
      </c>
      <c r="P9" s="64">
        <f>INT(O9*13/100)</f>
        <v>318500</v>
      </c>
      <c r="Q9" s="65">
        <f t="shared" si="3"/>
        <v>2768500</v>
      </c>
    </row>
    <row r="10" spans="1:17" s="2" customFormat="1" ht="237.75" customHeight="1" x14ac:dyDescent="0.3">
      <c r="A10" s="56">
        <v>4</v>
      </c>
      <c r="B10" s="73"/>
      <c r="C10" s="57" t="s">
        <v>22</v>
      </c>
      <c r="D10" s="58" t="s">
        <v>23</v>
      </c>
      <c r="E10" s="179" t="s">
        <v>56</v>
      </c>
      <c r="F10" s="72">
        <f>6*1</f>
        <v>6</v>
      </c>
      <c r="G10" s="70">
        <v>0</v>
      </c>
      <c r="H10" s="141"/>
      <c r="I10" s="150">
        <f>70000*F10</f>
        <v>420000</v>
      </c>
      <c r="J10" s="160">
        <f>60000*F10</f>
        <v>360000</v>
      </c>
      <c r="K10" s="61">
        <f t="shared" si="1"/>
        <v>780000</v>
      </c>
      <c r="L10" s="62">
        <f>10000*6</f>
        <v>60000</v>
      </c>
      <c r="M10" s="133">
        <f>70000*6</f>
        <v>420000</v>
      </c>
      <c r="N10" s="122">
        <v>0</v>
      </c>
      <c r="O10" s="64">
        <f t="shared" si="2"/>
        <v>1260000</v>
      </c>
      <c r="P10" s="64">
        <f>INT(O10*14/100)</f>
        <v>176400</v>
      </c>
      <c r="Q10" s="65">
        <f t="shared" si="3"/>
        <v>1436400</v>
      </c>
    </row>
    <row r="11" spans="1:17" s="2" customFormat="1" ht="159.75" customHeight="1" x14ac:dyDescent="0.3">
      <c r="A11" s="56">
        <v>5</v>
      </c>
      <c r="B11" s="73"/>
      <c r="C11" s="57" t="s">
        <v>22</v>
      </c>
      <c r="D11" s="58" t="s">
        <v>23</v>
      </c>
      <c r="E11" s="180" t="s">
        <v>57</v>
      </c>
      <c r="F11" s="59">
        <v>3</v>
      </c>
      <c r="G11" s="70"/>
      <c r="H11" s="140">
        <v>0</v>
      </c>
      <c r="I11" s="151">
        <f>180000*3</f>
        <v>540000</v>
      </c>
      <c r="J11" s="161">
        <f>60000*3</f>
        <v>180000</v>
      </c>
      <c r="K11" s="61">
        <f t="shared" si="1"/>
        <v>720000</v>
      </c>
      <c r="L11" s="62">
        <f>10000*3</f>
        <v>30000</v>
      </c>
      <c r="M11" s="133">
        <v>0</v>
      </c>
      <c r="N11" s="123">
        <v>0</v>
      </c>
      <c r="O11" s="64">
        <f t="shared" si="2"/>
        <v>750000</v>
      </c>
      <c r="P11" s="64">
        <f t="shared" ref="P11:P33" si="4">INT(O11*13/100)</f>
        <v>97500</v>
      </c>
      <c r="Q11" s="65">
        <f t="shared" si="3"/>
        <v>847500</v>
      </c>
    </row>
    <row r="12" spans="1:17" ht="170.25" customHeight="1" x14ac:dyDescent="0.3">
      <c r="A12" s="56">
        <v>6</v>
      </c>
      <c r="B12" s="73"/>
      <c r="C12" s="57" t="s">
        <v>22</v>
      </c>
      <c r="D12" s="58" t="s">
        <v>23</v>
      </c>
      <c r="E12" s="74" t="s">
        <v>72</v>
      </c>
      <c r="F12" s="72">
        <v>5</v>
      </c>
      <c r="G12" s="75">
        <v>0</v>
      </c>
      <c r="H12" s="142">
        <f>180000*5</f>
        <v>900000</v>
      </c>
      <c r="I12" s="151"/>
      <c r="J12" s="161">
        <f>60000*5</f>
        <v>300000</v>
      </c>
      <c r="K12" s="61">
        <f t="shared" si="1"/>
        <v>1200000</v>
      </c>
      <c r="L12" s="62">
        <f>10000*5</f>
        <v>50000</v>
      </c>
      <c r="M12" s="133">
        <f>100000*5</f>
        <v>500000</v>
      </c>
      <c r="N12" s="122"/>
      <c r="O12" s="64">
        <f t="shared" si="2"/>
        <v>1750000</v>
      </c>
      <c r="P12" s="64">
        <f t="shared" si="4"/>
        <v>227500</v>
      </c>
      <c r="Q12" s="65">
        <f t="shared" si="3"/>
        <v>1977500</v>
      </c>
    </row>
    <row r="13" spans="1:17" ht="144.75" customHeight="1" x14ac:dyDescent="0.25">
      <c r="A13" s="56">
        <v>7</v>
      </c>
      <c r="B13" s="67" t="s">
        <v>25</v>
      </c>
      <c r="C13" s="67" t="s">
        <v>22</v>
      </c>
      <c r="D13" s="68" t="s">
        <v>23</v>
      </c>
      <c r="E13" s="76" t="s">
        <v>58</v>
      </c>
      <c r="F13" s="77">
        <v>1</v>
      </c>
      <c r="G13" s="75">
        <v>0</v>
      </c>
      <c r="H13" s="143">
        <f>200000*1</f>
        <v>200000</v>
      </c>
      <c r="I13" s="152">
        <f>+I12/2</f>
        <v>0</v>
      </c>
      <c r="J13" s="162">
        <f>70000*1</f>
        <v>70000</v>
      </c>
      <c r="K13" s="61">
        <f t="shared" si="1"/>
        <v>270000</v>
      </c>
      <c r="L13" s="78">
        <f>20000*1</f>
        <v>20000</v>
      </c>
      <c r="M13" s="134">
        <v>150000</v>
      </c>
      <c r="N13" s="121">
        <v>0</v>
      </c>
      <c r="O13" s="64">
        <f t="shared" si="2"/>
        <v>440000</v>
      </c>
      <c r="P13" s="64">
        <f t="shared" si="4"/>
        <v>57200</v>
      </c>
      <c r="Q13" s="79">
        <f t="shared" si="3"/>
        <v>497200</v>
      </c>
    </row>
    <row r="14" spans="1:17" ht="139.5" customHeight="1" x14ac:dyDescent="0.25">
      <c r="A14" s="80">
        <v>8</v>
      </c>
      <c r="B14" s="58" t="s">
        <v>26</v>
      </c>
      <c r="C14" s="67" t="s">
        <v>22</v>
      </c>
      <c r="D14" s="68" t="s">
        <v>23</v>
      </c>
      <c r="E14" s="81" t="s">
        <v>59</v>
      </c>
      <c r="F14" s="77">
        <v>3</v>
      </c>
      <c r="G14" s="75">
        <v>0</v>
      </c>
      <c r="H14" s="143">
        <f>180000*3</f>
        <v>540000</v>
      </c>
      <c r="I14" s="152">
        <v>0</v>
      </c>
      <c r="J14" s="162">
        <f>60000*3</f>
        <v>180000</v>
      </c>
      <c r="K14" s="61">
        <f t="shared" si="1"/>
        <v>720000</v>
      </c>
      <c r="L14" s="78"/>
      <c r="M14" s="134">
        <v>200000</v>
      </c>
      <c r="N14" s="121">
        <v>0</v>
      </c>
      <c r="O14" s="64">
        <f t="shared" si="2"/>
        <v>920000</v>
      </c>
      <c r="P14" s="64">
        <f t="shared" si="4"/>
        <v>119600</v>
      </c>
      <c r="Q14" s="82">
        <f t="shared" si="3"/>
        <v>1039600</v>
      </c>
    </row>
    <row r="15" spans="1:17" ht="180" customHeight="1" x14ac:dyDescent="0.25">
      <c r="A15" s="56">
        <v>9</v>
      </c>
      <c r="B15" s="68" t="s">
        <v>26</v>
      </c>
      <c r="C15" s="67" t="s">
        <v>22</v>
      </c>
      <c r="D15" s="68" t="s">
        <v>23</v>
      </c>
      <c r="E15" s="180" t="s">
        <v>73</v>
      </c>
      <c r="F15" s="77">
        <v>10</v>
      </c>
      <c r="G15" s="75">
        <v>0</v>
      </c>
      <c r="H15" s="144">
        <f>52000*10</f>
        <v>520000</v>
      </c>
      <c r="I15" s="152">
        <f>+I14/2</f>
        <v>0</v>
      </c>
      <c r="J15" s="162">
        <f>30000*20</f>
        <v>600000</v>
      </c>
      <c r="K15" s="61">
        <f t="shared" si="1"/>
        <v>1120000</v>
      </c>
      <c r="L15" s="63">
        <v>0</v>
      </c>
      <c r="M15" s="135">
        <v>0</v>
      </c>
      <c r="N15" s="121">
        <v>0</v>
      </c>
      <c r="O15" s="64">
        <f t="shared" si="2"/>
        <v>1120000</v>
      </c>
      <c r="P15" s="64">
        <f t="shared" si="4"/>
        <v>145600</v>
      </c>
      <c r="Q15" s="82">
        <f t="shared" si="3"/>
        <v>1265600</v>
      </c>
    </row>
    <row r="16" spans="1:17" ht="156.75" customHeight="1" x14ac:dyDescent="0.25">
      <c r="A16" s="56">
        <v>10</v>
      </c>
      <c r="B16" s="66" t="s">
        <v>24</v>
      </c>
      <c r="C16" s="67" t="s">
        <v>22</v>
      </c>
      <c r="D16" s="68" t="s">
        <v>23</v>
      </c>
      <c r="E16" s="83" t="s">
        <v>60</v>
      </c>
      <c r="F16" s="84">
        <v>20</v>
      </c>
      <c r="G16" s="75">
        <v>0</v>
      </c>
      <c r="H16" s="145">
        <v>0</v>
      </c>
      <c r="I16" s="152">
        <f>30000*15</f>
        <v>450000</v>
      </c>
      <c r="J16" s="163">
        <v>0</v>
      </c>
      <c r="K16" s="61">
        <f t="shared" si="1"/>
        <v>450000</v>
      </c>
      <c r="L16" s="85">
        <v>50000</v>
      </c>
      <c r="M16" s="135">
        <v>0</v>
      </c>
      <c r="N16" s="121">
        <v>0</v>
      </c>
      <c r="O16" s="64">
        <f t="shared" si="2"/>
        <v>500000</v>
      </c>
      <c r="P16" s="64">
        <f t="shared" si="4"/>
        <v>65000</v>
      </c>
      <c r="Q16" s="82">
        <f t="shared" si="3"/>
        <v>565000</v>
      </c>
    </row>
    <row r="17" spans="1:17" ht="133.5" customHeight="1" x14ac:dyDescent="0.25">
      <c r="A17" s="56">
        <v>11</v>
      </c>
      <c r="B17" s="66" t="s">
        <v>24</v>
      </c>
      <c r="C17" s="67" t="s">
        <v>22</v>
      </c>
      <c r="D17" s="68" t="s">
        <v>23</v>
      </c>
      <c r="E17" s="180" t="s">
        <v>61</v>
      </c>
      <c r="F17" s="34">
        <v>15</v>
      </c>
      <c r="G17" s="75">
        <v>0</v>
      </c>
      <c r="H17" s="145">
        <v>0</v>
      </c>
      <c r="I17" s="152">
        <f>30000*10</f>
        <v>300000</v>
      </c>
      <c r="J17" s="163">
        <v>0</v>
      </c>
      <c r="K17" s="61">
        <f t="shared" si="1"/>
        <v>300000</v>
      </c>
      <c r="L17" s="78">
        <v>150000</v>
      </c>
      <c r="M17" s="135">
        <v>0</v>
      </c>
      <c r="N17" s="121">
        <v>0</v>
      </c>
      <c r="O17" s="64">
        <f t="shared" si="2"/>
        <v>450000</v>
      </c>
      <c r="P17" s="64">
        <f t="shared" si="4"/>
        <v>58500</v>
      </c>
      <c r="Q17" s="82">
        <f t="shared" si="3"/>
        <v>508500</v>
      </c>
    </row>
    <row r="18" spans="1:17" ht="130.5" customHeight="1" x14ac:dyDescent="0.25">
      <c r="A18" s="56">
        <v>12</v>
      </c>
      <c r="B18" s="66" t="s">
        <v>24</v>
      </c>
      <c r="C18" s="67" t="s">
        <v>22</v>
      </c>
      <c r="D18" s="68" t="s">
        <v>23</v>
      </c>
      <c r="E18" s="86" t="s">
        <v>51</v>
      </c>
      <c r="F18" s="34">
        <v>15</v>
      </c>
      <c r="G18" s="75">
        <v>0</v>
      </c>
      <c r="H18" s="145">
        <v>0</v>
      </c>
      <c r="I18" s="152">
        <f>30000*10</f>
        <v>300000</v>
      </c>
      <c r="J18" s="163">
        <v>0</v>
      </c>
      <c r="K18" s="61">
        <f t="shared" si="1"/>
        <v>300000</v>
      </c>
      <c r="L18" s="78">
        <v>150000</v>
      </c>
      <c r="M18" s="135">
        <v>0</v>
      </c>
      <c r="N18" s="121">
        <v>0</v>
      </c>
      <c r="O18" s="64">
        <f t="shared" si="2"/>
        <v>450000</v>
      </c>
      <c r="P18" s="64">
        <f t="shared" si="4"/>
        <v>58500</v>
      </c>
      <c r="Q18" s="82">
        <f t="shared" si="3"/>
        <v>508500</v>
      </c>
    </row>
    <row r="19" spans="1:17" ht="138" customHeight="1" x14ac:dyDescent="0.25">
      <c r="A19" s="56">
        <v>13</v>
      </c>
      <c r="B19" s="66" t="s">
        <v>24</v>
      </c>
      <c r="C19" s="67" t="s">
        <v>22</v>
      </c>
      <c r="D19" s="68" t="s">
        <v>23</v>
      </c>
      <c r="E19" s="87" t="s">
        <v>50</v>
      </c>
      <c r="F19" s="84">
        <v>2</v>
      </c>
      <c r="G19" s="75">
        <v>0</v>
      </c>
      <c r="H19" s="145">
        <v>0</v>
      </c>
      <c r="I19" s="152">
        <f>180000*2</f>
        <v>360000</v>
      </c>
      <c r="J19" s="163">
        <f>70000*2</f>
        <v>140000</v>
      </c>
      <c r="K19" s="61">
        <f t="shared" si="1"/>
        <v>500000</v>
      </c>
      <c r="L19" s="78">
        <f>80000*F19</f>
        <v>160000</v>
      </c>
      <c r="M19" s="135">
        <v>0</v>
      </c>
      <c r="N19" s="121">
        <v>0</v>
      </c>
      <c r="O19" s="64">
        <f t="shared" si="2"/>
        <v>660000</v>
      </c>
      <c r="P19" s="64">
        <f t="shared" si="4"/>
        <v>85800</v>
      </c>
      <c r="Q19" s="82">
        <f t="shared" si="3"/>
        <v>745800</v>
      </c>
    </row>
    <row r="20" spans="1:17" ht="192.75" customHeight="1" x14ac:dyDescent="0.25">
      <c r="A20" s="56">
        <v>14</v>
      </c>
      <c r="B20" s="66" t="s">
        <v>24</v>
      </c>
      <c r="C20" s="67" t="s">
        <v>22</v>
      </c>
      <c r="D20" s="68" t="s">
        <v>23</v>
      </c>
      <c r="E20" s="87" t="s">
        <v>52</v>
      </c>
      <c r="F20" s="84">
        <v>5</v>
      </c>
      <c r="G20" s="75">
        <v>0</v>
      </c>
      <c r="H20" s="145">
        <v>0</v>
      </c>
      <c r="I20" s="153">
        <v>400000</v>
      </c>
      <c r="J20" s="164">
        <v>0</v>
      </c>
      <c r="K20" s="61">
        <f t="shared" si="1"/>
        <v>400000</v>
      </c>
      <c r="L20" s="63">
        <v>0</v>
      </c>
      <c r="M20" s="135">
        <v>0</v>
      </c>
      <c r="N20" s="124">
        <f>15000*20</f>
        <v>300000</v>
      </c>
      <c r="O20" s="64">
        <f t="shared" si="2"/>
        <v>700000</v>
      </c>
      <c r="P20" s="64">
        <f t="shared" si="4"/>
        <v>91000</v>
      </c>
      <c r="Q20" s="82">
        <f t="shared" si="3"/>
        <v>791000</v>
      </c>
    </row>
    <row r="21" spans="1:17" ht="237" customHeight="1" x14ac:dyDescent="0.25">
      <c r="A21" s="56">
        <v>15</v>
      </c>
      <c r="B21" s="67" t="s">
        <v>42</v>
      </c>
      <c r="C21" s="67" t="s">
        <v>22</v>
      </c>
      <c r="D21" s="88" t="s">
        <v>23</v>
      </c>
      <c r="E21" s="89" t="s">
        <v>62</v>
      </c>
      <c r="F21" s="90">
        <v>3</v>
      </c>
      <c r="G21" s="75">
        <v>0</v>
      </c>
      <c r="H21" s="144">
        <f>180000*F21</f>
        <v>540000</v>
      </c>
      <c r="I21" s="154">
        <f>180000*F21</f>
        <v>540000</v>
      </c>
      <c r="J21" s="162">
        <f>70000*F21</f>
        <v>210000</v>
      </c>
      <c r="K21" s="61">
        <f t="shared" si="1"/>
        <v>1290000</v>
      </c>
      <c r="L21" s="78">
        <f>80000*F21</f>
        <v>240000</v>
      </c>
      <c r="M21" s="135">
        <v>0</v>
      </c>
      <c r="N21" s="121">
        <v>0</v>
      </c>
      <c r="O21" s="64">
        <f t="shared" si="2"/>
        <v>1530000</v>
      </c>
      <c r="P21" s="64">
        <f t="shared" si="4"/>
        <v>198900</v>
      </c>
      <c r="Q21" s="82">
        <f t="shared" si="3"/>
        <v>1728900</v>
      </c>
    </row>
    <row r="22" spans="1:17" ht="237" customHeight="1" x14ac:dyDescent="0.25">
      <c r="A22" s="56">
        <v>16</v>
      </c>
      <c r="B22" s="91" t="s">
        <v>24</v>
      </c>
      <c r="C22" s="92" t="s">
        <v>22</v>
      </c>
      <c r="D22" s="93" t="s">
        <v>23</v>
      </c>
      <c r="E22" s="94" t="s">
        <v>63</v>
      </c>
      <c r="F22" s="77">
        <v>2</v>
      </c>
      <c r="G22" s="95"/>
      <c r="H22" s="146">
        <f>250000*2</f>
        <v>500000</v>
      </c>
      <c r="I22" s="155">
        <f>180000*2</f>
        <v>360000</v>
      </c>
      <c r="J22" s="162">
        <f>70000*2</f>
        <v>140000</v>
      </c>
      <c r="K22" s="61">
        <f t="shared" si="1"/>
        <v>1000000</v>
      </c>
      <c r="L22" s="85">
        <f>500000*2</f>
        <v>1000000</v>
      </c>
      <c r="M22" s="136">
        <f>420000*2</f>
        <v>840000</v>
      </c>
      <c r="N22" s="121">
        <v>0</v>
      </c>
      <c r="O22" s="64">
        <f t="shared" si="2"/>
        <v>2840000</v>
      </c>
      <c r="P22" s="64">
        <f t="shared" si="4"/>
        <v>369200</v>
      </c>
      <c r="Q22" s="96">
        <f t="shared" si="3"/>
        <v>3209200</v>
      </c>
    </row>
    <row r="23" spans="1:17" ht="275.25" customHeight="1" x14ac:dyDescent="0.25">
      <c r="A23" s="56">
        <v>17</v>
      </c>
      <c r="B23" s="66" t="s">
        <v>24</v>
      </c>
      <c r="C23" s="67" t="s">
        <v>22</v>
      </c>
      <c r="D23" s="68" t="s">
        <v>23</v>
      </c>
      <c r="E23" s="97" t="s">
        <v>64</v>
      </c>
      <c r="F23" s="77">
        <v>2</v>
      </c>
      <c r="G23" s="95"/>
      <c r="H23" s="146">
        <f>250000*2</f>
        <v>500000</v>
      </c>
      <c r="I23" s="155">
        <f>180000*2</f>
        <v>360000</v>
      </c>
      <c r="J23" s="162">
        <f>70000*2</f>
        <v>140000</v>
      </c>
      <c r="K23" s="61">
        <f t="shared" si="1"/>
        <v>1000000</v>
      </c>
      <c r="L23" s="85">
        <f>500000*2</f>
        <v>1000000</v>
      </c>
      <c r="M23" s="136">
        <f>420000*2</f>
        <v>840000</v>
      </c>
      <c r="N23" s="121">
        <v>0</v>
      </c>
      <c r="O23" s="64">
        <f t="shared" si="2"/>
        <v>2840000</v>
      </c>
      <c r="P23" s="64">
        <f t="shared" si="4"/>
        <v>369200</v>
      </c>
      <c r="Q23" s="96">
        <f t="shared" si="3"/>
        <v>3209200</v>
      </c>
    </row>
    <row r="24" spans="1:17" ht="180" customHeight="1" x14ac:dyDescent="0.3">
      <c r="A24" s="56">
        <v>18</v>
      </c>
      <c r="B24" s="67" t="s">
        <v>21</v>
      </c>
      <c r="C24" s="67" t="s">
        <v>22</v>
      </c>
      <c r="D24" s="88" t="s">
        <v>23</v>
      </c>
      <c r="E24" s="76" t="s">
        <v>74</v>
      </c>
      <c r="F24" s="98">
        <v>20</v>
      </c>
      <c r="G24" s="99"/>
      <c r="H24" s="143">
        <f>50000*20</f>
        <v>1000000</v>
      </c>
      <c r="I24" s="152">
        <v>0</v>
      </c>
      <c r="J24" s="163">
        <f>25000*F24</f>
        <v>500000</v>
      </c>
      <c r="K24" s="61">
        <f t="shared" si="1"/>
        <v>1500000</v>
      </c>
      <c r="L24" s="85">
        <f>10000*20</f>
        <v>200000</v>
      </c>
      <c r="M24" s="134">
        <v>100000</v>
      </c>
      <c r="N24" s="121">
        <v>0</v>
      </c>
      <c r="O24" s="64">
        <f t="shared" si="2"/>
        <v>1800000</v>
      </c>
      <c r="P24" s="64">
        <f t="shared" si="4"/>
        <v>234000</v>
      </c>
      <c r="Q24" s="82">
        <f>O24+P24</f>
        <v>2034000</v>
      </c>
    </row>
    <row r="25" spans="1:17" ht="315" customHeight="1" x14ac:dyDescent="0.3">
      <c r="A25" s="56">
        <v>19</v>
      </c>
      <c r="B25" s="91" t="s">
        <v>24</v>
      </c>
      <c r="C25" s="100" t="s">
        <v>22</v>
      </c>
      <c r="D25" s="101" t="s">
        <v>23</v>
      </c>
      <c r="E25" s="71" t="s">
        <v>65</v>
      </c>
      <c r="F25" s="102">
        <v>1</v>
      </c>
      <c r="G25" s="99"/>
      <c r="H25" s="145">
        <v>0</v>
      </c>
      <c r="I25" s="152">
        <f>550000*1</f>
        <v>550000</v>
      </c>
      <c r="J25" s="163">
        <f>100000*1</f>
        <v>100000</v>
      </c>
      <c r="K25" s="61">
        <f t="shared" si="1"/>
        <v>650000</v>
      </c>
      <c r="L25" s="85">
        <v>450000</v>
      </c>
      <c r="M25" s="135">
        <v>0</v>
      </c>
      <c r="N25" s="121">
        <v>0</v>
      </c>
      <c r="O25" s="64">
        <f t="shared" si="2"/>
        <v>1100000</v>
      </c>
      <c r="P25" s="64">
        <f t="shared" si="4"/>
        <v>143000</v>
      </c>
      <c r="Q25" s="103">
        <f>O25+P25</f>
        <v>1243000</v>
      </c>
    </row>
    <row r="26" spans="1:17" ht="193.5" customHeight="1" x14ac:dyDescent="0.3">
      <c r="A26" s="56">
        <v>20</v>
      </c>
      <c r="B26" s="104" t="s">
        <v>21</v>
      </c>
      <c r="C26" s="104" t="s">
        <v>22</v>
      </c>
      <c r="D26" s="105" t="s">
        <v>23</v>
      </c>
      <c r="E26" s="106" t="s">
        <v>66</v>
      </c>
      <c r="F26" s="107">
        <v>3</v>
      </c>
      <c r="G26" s="99"/>
      <c r="H26" s="144">
        <f>180000*3</f>
        <v>540000</v>
      </c>
      <c r="I26" s="152">
        <v>0</v>
      </c>
      <c r="J26" s="163">
        <f>100000*3</f>
        <v>300000</v>
      </c>
      <c r="K26" s="61">
        <f t="shared" si="1"/>
        <v>840000</v>
      </c>
      <c r="L26" s="85">
        <f>20000*3</f>
        <v>60000</v>
      </c>
      <c r="M26" s="135">
        <v>0</v>
      </c>
      <c r="N26" s="125">
        <v>3180000</v>
      </c>
      <c r="O26" s="64">
        <f t="shared" si="2"/>
        <v>4080000</v>
      </c>
      <c r="P26" s="64">
        <f t="shared" si="4"/>
        <v>530400</v>
      </c>
      <c r="Q26" s="96">
        <f>O26+P26</f>
        <v>4610400</v>
      </c>
    </row>
    <row r="27" spans="1:17" ht="213" customHeight="1" x14ac:dyDescent="0.3">
      <c r="A27" s="56">
        <v>21</v>
      </c>
      <c r="B27" s="108"/>
      <c r="C27" s="92" t="s">
        <v>22</v>
      </c>
      <c r="D27" s="93" t="s">
        <v>23</v>
      </c>
      <c r="E27" s="76" t="s">
        <v>67</v>
      </c>
      <c r="F27" s="90">
        <v>5</v>
      </c>
      <c r="G27" s="109">
        <v>0</v>
      </c>
      <c r="H27" s="144">
        <f>180000*5</f>
        <v>900000</v>
      </c>
      <c r="I27" s="152">
        <v>0</v>
      </c>
      <c r="J27" s="163">
        <f>70000*5</f>
        <v>350000</v>
      </c>
      <c r="K27" s="61">
        <f t="shared" si="1"/>
        <v>1250000</v>
      </c>
      <c r="L27" s="85">
        <f>80000*4</f>
        <v>320000</v>
      </c>
      <c r="M27" s="135">
        <v>0</v>
      </c>
      <c r="N27" s="126">
        <v>0</v>
      </c>
      <c r="O27" s="64">
        <f t="shared" si="2"/>
        <v>1570000</v>
      </c>
      <c r="P27" s="64">
        <f t="shared" si="4"/>
        <v>204100</v>
      </c>
      <c r="Q27" s="110">
        <f>O27+P27</f>
        <v>1774100</v>
      </c>
    </row>
    <row r="28" spans="1:17" ht="202.5" customHeight="1" x14ac:dyDescent="0.3">
      <c r="A28" s="56">
        <v>22</v>
      </c>
      <c r="B28" s="108"/>
      <c r="C28" s="92" t="s">
        <v>22</v>
      </c>
      <c r="D28" s="93" t="s">
        <v>23</v>
      </c>
      <c r="E28" s="111" t="s">
        <v>68</v>
      </c>
      <c r="F28" s="77">
        <v>1</v>
      </c>
      <c r="G28" s="75">
        <v>0</v>
      </c>
      <c r="H28" s="145">
        <v>0</v>
      </c>
      <c r="I28" s="156">
        <v>350000</v>
      </c>
      <c r="J28" s="163">
        <v>0</v>
      </c>
      <c r="K28" s="61">
        <f t="shared" si="1"/>
        <v>350000</v>
      </c>
      <c r="L28" s="112">
        <v>0</v>
      </c>
      <c r="M28" s="135">
        <v>0</v>
      </c>
      <c r="N28" s="125">
        <v>1580000</v>
      </c>
      <c r="O28" s="64">
        <f t="shared" si="2"/>
        <v>1930000</v>
      </c>
      <c r="P28" s="64">
        <f t="shared" si="4"/>
        <v>250900</v>
      </c>
      <c r="Q28" s="113">
        <f t="shared" ref="Q28:Q33" si="5">O28+P28</f>
        <v>2180900</v>
      </c>
    </row>
    <row r="29" spans="1:17" ht="156" customHeight="1" x14ac:dyDescent="0.3">
      <c r="A29" s="56">
        <v>23</v>
      </c>
      <c r="B29" s="108"/>
      <c r="C29" s="92" t="s">
        <v>22</v>
      </c>
      <c r="D29" s="93" t="s">
        <v>23</v>
      </c>
      <c r="E29" s="114" t="s">
        <v>69</v>
      </c>
      <c r="F29" s="77">
        <v>1</v>
      </c>
      <c r="G29" s="75">
        <v>160000</v>
      </c>
      <c r="H29" s="145">
        <v>0</v>
      </c>
      <c r="I29" s="152">
        <v>0</v>
      </c>
      <c r="J29" s="163">
        <v>0</v>
      </c>
      <c r="K29" s="61">
        <f t="shared" si="1"/>
        <v>160000</v>
      </c>
      <c r="L29" s="112">
        <v>0</v>
      </c>
      <c r="M29" s="135">
        <v>0</v>
      </c>
      <c r="N29" s="127">
        <v>550000</v>
      </c>
      <c r="O29" s="64">
        <f t="shared" si="2"/>
        <v>710000</v>
      </c>
      <c r="P29" s="64">
        <f t="shared" si="4"/>
        <v>92300</v>
      </c>
      <c r="Q29" s="115">
        <f t="shared" si="5"/>
        <v>802300</v>
      </c>
    </row>
    <row r="30" spans="1:17" ht="107.25" customHeight="1" x14ac:dyDescent="0.3">
      <c r="A30" s="56">
        <v>24</v>
      </c>
      <c r="B30" s="108"/>
      <c r="C30" s="92" t="s">
        <v>22</v>
      </c>
      <c r="D30" s="93" t="s">
        <v>23</v>
      </c>
      <c r="E30" s="116" t="s">
        <v>48</v>
      </c>
      <c r="F30" s="98">
        <v>1</v>
      </c>
      <c r="G30" s="75">
        <v>160000</v>
      </c>
      <c r="H30" s="145">
        <v>0</v>
      </c>
      <c r="I30" s="152">
        <v>0</v>
      </c>
      <c r="J30" s="163">
        <v>0</v>
      </c>
      <c r="K30" s="61">
        <f t="shared" si="1"/>
        <v>160000</v>
      </c>
      <c r="L30" s="112">
        <v>0</v>
      </c>
      <c r="M30" s="135">
        <v>0</v>
      </c>
      <c r="N30" s="127">
        <v>500000</v>
      </c>
      <c r="O30" s="64">
        <f t="shared" si="2"/>
        <v>660000</v>
      </c>
      <c r="P30" s="64">
        <f t="shared" si="4"/>
        <v>85800</v>
      </c>
      <c r="Q30" s="115">
        <f t="shared" si="5"/>
        <v>745800</v>
      </c>
    </row>
    <row r="31" spans="1:17" ht="168.75" customHeight="1" x14ac:dyDescent="0.3">
      <c r="A31" s="56">
        <v>25</v>
      </c>
      <c r="B31" s="108"/>
      <c r="C31" s="92" t="s">
        <v>22</v>
      </c>
      <c r="D31" s="93" t="s">
        <v>23</v>
      </c>
      <c r="E31" s="100" t="s">
        <v>70</v>
      </c>
      <c r="F31" s="77">
        <v>5</v>
      </c>
      <c r="G31" s="75">
        <v>0</v>
      </c>
      <c r="H31" s="146">
        <f>180000*4</f>
        <v>720000</v>
      </c>
      <c r="I31" s="155">
        <f>180000*4</f>
        <v>720000</v>
      </c>
      <c r="J31" s="165">
        <f>60000*4</f>
        <v>240000</v>
      </c>
      <c r="K31" s="61">
        <f t="shared" si="1"/>
        <v>1680000</v>
      </c>
      <c r="L31" s="112">
        <v>0</v>
      </c>
      <c r="M31" s="135">
        <v>0</v>
      </c>
      <c r="N31" s="121">
        <v>0</v>
      </c>
      <c r="O31" s="64">
        <f t="shared" si="2"/>
        <v>1680000</v>
      </c>
      <c r="P31" s="64">
        <f t="shared" si="4"/>
        <v>218400</v>
      </c>
      <c r="Q31" s="115">
        <f t="shared" si="5"/>
        <v>1898400</v>
      </c>
    </row>
    <row r="32" spans="1:17" ht="123.75" customHeight="1" x14ac:dyDescent="0.3">
      <c r="A32" s="56">
        <v>26</v>
      </c>
      <c r="B32" s="108"/>
      <c r="C32" s="92" t="s">
        <v>22</v>
      </c>
      <c r="D32" s="93" t="s">
        <v>23</v>
      </c>
      <c r="E32" s="100" t="s">
        <v>71</v>
      </c>
      <c r="F32" s="77">
        <v>4</v>
      </c>
      <c r="G32" s="75">
        <v>0</v>
      </c>
      <c r="H32" s="146">
        <f>180000*4</f>
        <v>720000</v>
      </c>
      <c r="I32" s="152">
        <v>0</v>
      </c>
      <c r="J32" s="165">
        <f>60000*4</f>
        <v>240000</v>
      </c>
      <c r="K32" s="61">
        <f t="shared" si="1"/>
        <v>960000</v>
      </c>
      <c r="L32" s="112">
        <v>0</v>
      </c>
      <c r="M32" s="135">
        <v>0</v>
      </c>
      <c r="N32" s="121">
        <v>0</v>
      </c>
      <c r="O32" s="64">
        <f t="shared" si="2"/>
        <v>960000</v>
      </c>
      <c r="P32" s="64">
        <f t="shared" si="4"/>
        <v>124800</v>
      </c>
      <c r="Q32" s="115">
        <f t="shared" si="5"/>
        <v>1084800</v>
      </c>
    </row>
    <row r="33" spans="1:17" ht="279" customHeight="1" x14ac:dyDescent="0.3">
      <c r="A33" s="56">
        <v>27</v>
      </c>
      <c r="B33" s="108"/>
      <c r="C33" s="92" t="s">
        <v>22</v>
      </c>
      <c r="D33" s="93" t="s">
        <v>23</v>
      </c>
      <c r="E33" s="100" t="s">
        <v>75</v>
      </c>
      <c r="F33" s="77">
        <v>1</v>
      </c>
      <c r="G33" s="75">
        <v>0</v>
      </c>
      <c r="H33" s="147">
        <v>160000</v>
      </c>
      <c r="I33" s="154">
        <f>60000*1</f>
        <v>60000</v>
      </c>
      <c r="J33" s="166">
        <v>0</v>
      </c>
      <c r="K33" s="61">
        <f t="shared" si="1"/>
        <v>220000</v>
      </c>
      <c r="L33" s="112">
        <v>0</v>
      </c>
      <c r="M33" s="137">
        <v>150000</v>
      </c>
      <c r="N33" s="121">
        <v>0</v>
      </c>
      <c r="O33" s="64">
        <f t="shared" si="2"/>
        <v>370000</v>
      </c>
      <c r="P33" s="64">
        <f t="shared" si="4"/>
        <v>48100</v>
      </c>
      <c r="Q33" s="115">
        <f t="shared" si="5"/>
        <v>418100</v>
      </c>
    </row>
    <row r="34" spans="1:17" x14ac:dyDescent="0.25">
      <c r="G34" s="29">
        <v>320000</v>
      </c>
      <c r="H34" s="29">
        <v>8280000</v>
      </c>
      <c r="I34" s="29">
        <v>8080000</v>
      </c>
      <c r="J34" s="29">
        <v>5490000</v>
      </c>
      <c r="K34" s="29">
        <v>22170000</v>
      </c>
      <c r="L34" s="172">
        <v>4155000</v>
      </c>
      <c r="M34" s="173">
        <v>4120000</v>
      </c>
      <c r="N34" s="174">
        <v>6110000</v>
      </c>
      <c r="O34" s="29">
        <v>36555000</v>
      </c>
      <c r="P34" s="29">
        <v>4752150</v>
      </c>
      <c r="Q34" s="172">
        <v>41342300</v>
      </c>
    </row>
    <row r="35" spans="1:17" x14ac:dyDescent="0.25">
      <c r="K35" s="29">
        <f>G34+H34+I34+J34</f>
        <v>22170000</v>
      </c>
    </row>
    <row r="37" spans="1:17" ht="23.25" x14ac:dyDescent="0.25">
      <c r="O37" s="171"/>
      <c r="P37" s="29"/>
    </row>
    <row r="44" spans="1:17" x14ac:dyDescent="0.25">
      <c r="E44" s="29">
        <v>9920000</v>
      </c>
    </row>
    <row r="45" spans="1:17" x14ac:dyDescent="0.25">
      <c r="E45" s="29">
        <f>E44/2</f>
        <v>4960000</v>
      </c>
      <c r="J45" s="28"/>
    </row>
    <row r="46" spans="1:17" x14ac:dyDescent="0.25">
      <c r="J46" s="29"/>
    </row>
    <row r="58" spans="5:5" x14ac:dyDescent="0.25">
      <c r="E58" s="31"/>
    </row>
    <row r="59" spans="5:5" x14ac:dyDescent="0.25">
      <c r="E59" s="29"/>
    </row>
  </sheetData>
  <protectedRanges>
    <protectedRange sqref="E23" name="Rango1_1_9_1_1_3_2"/>
    <protectedRange sqref="E22" name="Rango1_1_9_1_1_3_2_2"/>
  </protectedRanges>
  <autoFilter ref="A6:Q30" xr:uid="{19292D02-804B-4307-92A2-76F0E5CDDF0D}"/>
  <mergeCells count="2">
    <mergeCell ref="A1:B1"/>
    <mergeCell ref="A2:B2"/>
  </mergeCells>
  <dataValidations count="4">
    <dataValidation type="list" allowBlank="1" showInputMessage="1" showErrorMessage="1" sqref="B9" xr:uid="{02F37F21-98F8-43BB-9545-6F15B18D763B}">
      <formula1>#REF!</formula1>
    </dataValidation>
    <dataValidation type="textLength" allowBlank="1" showInputMessage="1" showErrorMessage="1" sqref="E13:E14 E24 E29:E33" xr:uid="{33B5750A-8C8D-492A-B84D-7725F5C46ABB}">
      <formula1>10</formula1>
      <formula2>4000</formula2>
    </dataValidation>
    <dataValidation type="list" allowBlank="1" showInputMessage="1" showErrorMessage="1" sqref="B15:B20 B25" xr:uid="{142A9096-1660-4F4C-9368-6EF8CE0988BD}">
      <formula1>#REF!</formula1>
    </dataValidation>
    <dataValidation type="decimal" operator="greaterThanOrEqual" allowBlank="1" showInputMessage="1" showErrorMessage="1" sqref="F24 F30 N29:N30 J45 E58" xr:uid="{97597C3F-7F28-4A51-941D-8E35222DCC23}">
      <formula1>0</formula1>
    </dataValidation>
  </dataValidation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D0B91-C5C1-4044-92A8-DAE16E9B6153}">
  <dimension ref="A3:Q9"/>
  <sheetViews>
    <sheetView workbookViewId="0">
      <selection activeCell="A3" sqref="A3:XFD3"/>
    </sheetView>
  </sheetViews>
  <sheetFormatPr baseColWidth="10" defaultRowHeight="15" x14ac:dyDescent="0.25"/>
  <sheetData>
    <row r="3" spans="1:17" ht="93.75" customHeight="1" x14ac:dyDescent="0.25">
      <c r="A3" s="22">
        <v>28</v>
      </c>
      <c r="B3" s="3"/>
      <c r="C3" s="19" t="s">
        <v>22</v>
      </c>
      <c r="D3" s="20" t="s">
        <v>23</v>
      </c>
      <c r="E3" s="32" t="s">
        <v>49</v>
      </c>
      <c r="F3" s="33">
        <v>6</v>
      </c>
      <c r="G3" s="1">
        <v>0</v>
      </c>
      <c r="H3" s="1">
        <v>0</v>
      </c>
      <c r="I3" s="21">
        <f>180000*6</f>
        <v>1080000</v>
      </c>
      <c r="J3" s="21">
        <f>60000*6</f>
        <v>360000</v>
      </c>
      <c r="K3" s="30">
        <f>G3+H3+I3+J3</f>
        <v>1440000</v>
      </c>
      <c r="L3" s="36">
        <v>0</v>
      </c>
      <c r="M3" s="36">
        <v>0</v>
      </c>
      <c r="N3" s="4">
        <v>0</v>
      </c>
      <c r="O3" s="30">
        <f>K3+L3+M3</f>
        <v>1440000</v>
      </c>
      <c r="P3" s="4">
        <f>INT(O3*13/100)</f>
        <v>187200</v>
      </c>
      <c r="Q3" s="37">
        <f>O3+P3</f>
        <v>1627200</v>
      </c>
    </row>
    <row r="7" spans="1:17" x14ac:dyDescent="0.25">
      <c r="C7">
        <v>70</v>
      </c>
      <c r="D7">
        <v>60</v>
      </c>
    </row>
    <row r="8" spans="1:17" x14ac:dyDescent="0.25">
      <c r="C8">
        <f>C7+D7</f>
        <v>130</v>
      </c>
    </row>
    <row r="9" spans="1:17" x14ac:dyDescent="0.25">
      <c r="C9">
        <v>150</v>
      </c>
    </row>
  </sheetData>
  <dataValidations count="1">
    <dataValidation type="textLength" allowBlank="1" showInputMessage="1" showErrorMessage="1" sqref="E3" xr:uid="{33B5750A-8C8D-492A-B84D-7725F5C46ABB}">
      <formula1>10</formula1>
      <formula2>4000</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6FA17-F315-42E2-AAA2-2BF2019AE301}">
  <dimension ref="B4:G23"/>
  <sheetViews>
    <sheetView topLeftCell="A16" workbookViewId="0">
      <selection activeCell="I9" sqref="I9"/>
    </sheetView>
  </sheetViews>
  <sheetFormatPr baseColWidth="10" defaultRowHeight="15" x14ac:dyDescent="0.25"/>
  <cols>
    <col min="2" max="2" width="23.140625" customWidth="1"/>
    <col min="3" max="3" width="16.85546875" customWidth="1"/>
    <col min="4" max="4" width="17.140625" customWidth="1"/>
    <col min="5" max="5" width="18" customWidth="1"/>
    <col min="6" max="6" width="15.42578125" customWidth="1"/>
    <col min="7" max="7" width="16.5703125" customWidth="1"/>
  </cols>
  <sheetData>
    <row r="4" spans="2:7" ht="60" x14ac:dyDescent="0.25">
      <c r="B4" s="5" t="s">
        <v>27</v>
      </c>
      <c r="C4" s="6" t="s">
        <v>28</v>
      </c>
      <c r="D4" s="7" t="s">
        <v>29</v>
      </c>
      <c r="E4" s="8" t="s">
        <v>30</v>
      </c>
      <c r="F4" s="9" t="s">
        <v>31</v>
      </c>
      <c r="G4" s="9" t="s">
        <v>32</v>
      </c>
    </row>
    <row r="5" spans="2:7" x14ac:dyDescent="0.25">
      <c r="B5" s="10"/>
      <c r="C5" s="11"/>
      <c r="D5" s="3">
        <v>176</v>
      </c>
      <c r="E5" s="12">
        <f>C5/D5</f>
        <v>0</v>
      </c>
      <c r="F5" s="12">
        <f>E5*1.6</f>
        <v>0</v>
      </c>
      <c r="G5" s="12">
        <f>E5*1.2</f>
        <v>0</v>
      </c>
    </row>
    <row r="6" spans="2:7" x14ac:dyDescent="0.25">
      <c r="B6" s="13" t="s">
        <v>33</v>
      </c>
      <c r="C6" s="11">
        <v>3900000</v>
      </c>
      <c r="D6" s="3">
        <v>176</v>
      </c>
      <c r="E6" s="12">
        <f>C6/D6</f>
        <v>22159.090909090908</v>
      </c>
      <c r="F6" s="12">
        <f t="shared" ref="F6:F8" si="0">E6*1.6</f>
        <v>35454.545454545456</v>
      </c>
      <c r="G6" s="12">
        <f t="shared" ref="G6:G8" si="1">E6*1.2</f>
        <v>26590.909090909088</v>
      </c>
    </row>
    <row r="7" spans="2:7" x14ac:dyDescent="0.25">
      <c r="B7" s="13" t="s">
        <v>34</v>
      </c>
      <c r="C7" s="11">
        <v>3900000</v>
      </c>
      <c r="D7" s="3">
        <v>176</v>
      </c>
      <c r="E7" s="12">
        <f t="shared" ref="E7:E8" si="2">C7/D7</f>
        <v>22159.090909090908</v>
      </c>
      <c r="F7" s="12">
        <f t="shared" si="0"/>
        <v>35454.545454545456</v>
      </c>
      <c r="G7" s="12">
        <f t="shared" si="1"/>
        <v>26590.909090909088</v>
      </c>
    </row>
    <row r="8" spans="2:7" x14ac:dyDescent="0.25">
      <c r="B8" s="13" t="s">
        <v>35</v>
      </c>
      <c r="C8" s="11">
        <v>2800000</v>
      </c>
      <c r="D8" s="3">
        <v>176</v>
      </c>
      <c r="E8" s="12">
        <f t="shared" si="2"/>
        <v>15909.09090909091</v>
      </c>
      <c r="F8" s="12">
        <f t="shared" si="0"/>
        <v>25454.545454545456</v>
      </c>
      <c r="G8" s="12">
        <f t="shared" si="1"/>
        <v>19090.909090909092</v>
      </c>
    </row>
    <row r="9" spans="2:7" x14ac:dyDescent="0.25">
      <c r="B9" s="10"/>
      <c r="C9" s="10"/>
      <c r="E9" s="14"/>
    </row>
    <row r="10" spans="2:7" x14ac:dyDescent="0.25">
      <c r="B10" s="15"/>
      <c r="C10" s="15" t="s">
        <v>36</v>
      </c>
      <c r="D10" s="9" t="s">
        <v>37</v>
      </c>
      <c r="E10" s="16"/>
      <c r="F10" s="3"/>
      <c r="G10" s="3"/>
    </row>
    <row r="11" spans="2:7" ht="45" x14ac:dyDescent="0.25">
      <c r="B11" s="17" t="s">
        <v>38</v>
      </c>
      <c r="C11" s="11">
        <v>150000</v>
      </c>
      <c r="D11" s="3">
        <v>1</v>
      </c>
      <c r="E11" s="12">
        <f>C11/D11</f>
        <v>150000</v>
      </c>
      <c r="F11" s="3"/>
      <c r="G11" s="3"/>
    </row>
    <row r="12" spans="2:7" ht="60" x14ac:dyDescent="0.25">
      <c r="B12" s="17" t="s">
        <v>39</v>
      </c>
      <c r="C12" s="13"/>
      <c r="D12" s="12"/>
      <c r="E12" s="12">
        <v>12000</v>
      </c>
      <c r="F12" s="3"/>
      <c r="G12" s="3"/>
    </row>
    <row r="13" spans="2:7" x14ac:dyDescent="0.25">
      <c r="B13" s="10"/>
      <c r="C13" s="10"/>
      <c r="E13" s="14"/>
    </row>
    <row r="14" spans="2:7" ht="75" x14ac:dyDescent="0.25">
      <c r="B14" s="18" t="s">
        <v>40</v>
      </c>
      <c r="C14" s="11"/>
      <c r="E14" s="12">
        <v>400000</v>
      </c>
    </row>
    <row r="15" spans="2:7" ht="105" x14ac:dyDescent="0.25">
      <c r="B15" s="18" t="s">
        <v>41</v>
      </c>
      <c r="C15" s="11"/>
      <c r="E15" s="12">
        <v>40000</v>
      </c>
    </row>
    <row r="21" spans="2:5" x14ac:dyDescent="0.25">
      <c r="B21" t="s">
        <v>44</v>
      </c>
      <c r="C21" s="23">
        <v>194662797</v>
      </c>
      <c r="D21" s="23">
        <v>39768250</v>
      </c>
      <c r="E21" s="23">
        <v>18633200</v>
      </c>
    </row>
    <row r="22" spans="2:5" x14ac:dyDescent="0.25">
      <c r="B22" t="s">
        <v>45</v>
      </c>
      <c r="C22" s="24">
        <f>C21-D22</f>
        <v>136261347</v>
      </c>
      <c r="D22" s="38">
        <v>58401450</v>
      </c>
    </row>
    <row r="23" spans="2:5" x14ac:dyDescent="0.25">
      <c r="C23" s="24">
        <f>C22/3</f>
        <v>45420449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ACTIVIDADES DOC VANESA</vt:lpstr>
      <vt:lpstr>Hoja3</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ACER_RYZEN5</dc:creator>
  <cp:lastModifiedBy>ACER_RYZEN5</cp:lastModifiedBy>
  <dcterms:created xsi:type="dcterms:W3CDTF">2026-04-14T13:55:00Z</dcterms:created>
  <dcterms:modified xsi:type="dcterms:W3CDTF">2026-04-17T03:31:13Z</dcterms:modified>
</cp:coreProperties>
</file>