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spvargasv_dane_gov_co/Documents/DICE/2026/1. Contratación bienes y servicios/Suscripciones/"/>
    </mc:Choice>
  </mc:AlternateContent>
  <xr:revisionPtr revIDLastSave="859" documentId="8_{D48C2BD8-81E4-41CE-B5CF-B27AD92C0A3B}" xr6:coauthVersionLast="47" xr6:coauthVersionMax="47" xr10:uidLastSave="{1C344058-D8E7-4157-832F-8011A79FCC26}"/>
  <bookViews>
    <workbookView xWindow="-108" yWindow="-108" windowWidth="23256" windowHeight="12456" xr2:uid="{00000000-000D-0000-FFFF-FFFF00000000}"/>
  </bookViews>
  <sheets>
    <sheet name="CANTIDADES MINIMAS" sheetId="3" r:id="rId1"/>
    <sheet name="CANTIDADES MAXIMAS" sheetId="2" r:id="rId2"/>
  </sheets>
  <definedNames>
    <definedName name="_xlnm.Print_Area" localSheetId="1">'CANTIDADES MAXIMAS'!$A$1:$I$76</definedName>
    <definedName name="_xlnm.Print_Area" localSheetId="0">'CANTIDADES MINIMAS'!$A$1:$N$76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" i="3" l="1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7" i="3"/>
  <c r="L7" i="3"/>
  <c r="E8" i="3"/>
  <c r="D8" i="3"/>
  <c r="C8" i="3"/>
  <c r="L8" i="3" s="1"/>
  <c r="M8" i="3" s="1"/>
  <c r="E7" i="3"/>
  <c r="D7" i="3"/>
  <c r="C7" i="3"/>
  <c r="C16" i="3"/>
  <c r="F16" i="3" s="1"/>
  <c r="D16" i="3"/>
  <c r="E16" i="3"/>
  <c r="J16" i="3"/>
  <c r="L26" i="3"/>
  <c r="M26" i="3" s="1"/>
  <c r="L25" i="3"/>
  <c r="M25" i="3" s="1"/>
  <c r="L23" i="3"/>
  <c r="M23" i="3" s="1"/>
  <c r="L21" i="3"/>
  <c r="M21" i="3" s="1"/>
  <c r="L20" i="3"/>
  <c r="M20" i="3" s="1"/>
  <c r="L18" i="3"/>
  <c r="M18" i="3" s="1"/>
  <c r="L14" i="3"/>
  <c r="M14" i="3" s="1"/>
  <c r="L13" i="3"/>
  <c r="M13" i="3" s="1"/>
  <c r="L11" i="3"/>
  <c r="M11" i="3" s="1"/>
  <c r="J10" i="3"/>
  <c r="J11" i="3"/>
  <c r="J12" i="3"/>
  <c r="J13" i="3"/>
  <c r="J14" i="3"/>
  <c r="J18" i="3"/>
  <c r="J19" i="3"/>
  <c r="J20" i="3"/>
  <c r="J21" i="3"/>
  <c r="J23" i="3"/>
  <c r="J24" i="3"/>
  <c r="J25" i="3"/>
  <c r="J26" i="3"/>
  <c r="E22" i="3"/>
  <c r="D22" i="3"/>
  <c r="C22" i="3"/>
  <c r="J22" i="3" s="1"/>
  <c r="B27" i="3"/>
  <c r="F26" i="3"/>
  <c r="G26" i="3" s="1"/>
  <c r="H26" i="3" s="1"/>
  <c r="F25" i="3"/>
  <c r="G25" i="3" s="1"/>
  <c r="H25" i="3" s="1"/>
  <c r="F24" i="3"/>
  <c r="G24" i="3" s="1"/>
  <c r="H24" i="3" s="1"/>
  <c r="F23" i="3"/>
  <c r="G23" i="3" s="1"/>
  <c r="H23" i="3" s="1"/>
  <c r="F22" i="3"/>
  <c r="G22" i="3" s="1"/>
  <c r="H22" i="3" s="1"/>
  <c r="F21" i="3"/>
  <c r="G21" i="3" s="1"/>
  <c r="H21" i="3" s="1"/>
  <c r="F20" i="3"/>
  <c r="G20" i="3" s="1"/>
  <c r="H20" i="3" s="1"/>
  <c r="F19" i="3"/>
  <c r="G19" i="3" s="1"/>
  <c r="H19" i="3" s="1"/>
  <c r="F18" i="3"/>
  <c r="G18" i="3" s="1"/>
  <c r="H18" i="3" s="1"/>
  <c r="E15" i="3"/>
  <c r="F15" i="3" s="1"/>
  <c r="G15" i="3" s="1"/>
  <c r="H15" i="3" s="1"/>
  <c r="E14" i="3"/>
  <c r="F14" i="3" s="1"/>
  <c r="G14" i="3" s="1"/>
  <c r="H14" i="3" s="1"/>
  <c r="E13" i="3"/>
  <c r="F13" i="3" s="1"/>
  <c r="G13" i="3" s="1"/>
  <c r="H13" i="3" s="1"/>
  <c r="E12" i="3"/>
  <c r="L12" i="3" s="1"/>
  <c r="M12" i="3" s="1"/>
  <c r="E11" i="3"/>
  <c r="E10" i="3"/>
  <c r="F10" i="3" s="1"/>
  <c r="G10" i="3" s="1"/>
  <c r="H10" i="3" s="1"/>
  <c r="E9" i="3"/>
  <c r="J9" i="3" s="1"/>
  <c r="M7" i="3" l="1"/>
  <c r="F7" i="3"/>
  <c r="G7" i="3" s="1"/>
  <c r="H7" i="3" s="1"/>
  <c r="L16" i="3"/>
  <c r="M16" i="3" s="1"/>
  <c r="G16" i="3"/>
  <c r="H16" i="3" s="1"/>
  <c r="L15" i="3"/>
  <c r="M15" i="3" s="1"/>
  <c r="J15" i="3"/>
  <c r="L19" i="3"/>
  <c r="M19" i="3" s="1"/>
  <c r="L9" i="3"/>
  <c r="M9" i="3" s="1"/>
  <c r="L10" i="3"/>
  <c r="M10" i="3" s="1"/>
  <c r="J7" i="3"/>
  <c r="E27" i="3"/>
  <c r="J8" i="3"/>
  <c r="L22" i="3"/>
  <c r="M22" i="3" s="1"/>
  <c r="L24" i="3"/>
  <c r="M24" i="3" s="1"/>
  <c r="F17" i="3"/>
  <c r="G17" i="3" s="1"/>
  <c r="H17" i="3" s="1"/>
  <c r="D27" i="3"/>
  <c r="C27" i="3"/>
  <c r="J17" i="3"/>
  <c r="F8" i="3"/>
  <c r="G8" i="3" s="1"/>
  <c r="H8" i="3" s="1"/>
  <c r="F11" i="3"/>
  <c r="G11" i="3" s="1"/>
  <c r="H11" i="3" s="1"/>
  <c r="F9" i="3"/>
  <c r="G9" i="3" s="1"/>
  <c r="H9" i="3" s="1"/>
  <c r="F12" i="3"/>
  <c r="G12" i="3" s="1"/>
  <c r="H12" i="3" s="1"/>
  <c r="L17" i="3" l="1"/>
  <c r="M17" i="3" s="1"/>
  <c r="M27" i="3" s="1"/>
  <c r="F27" i="3"/>
  <c r="G27" i="3" s="1"/>
  <c r="H27" i="3"/>
  <c r="E16" i="2"/>
  <c r="F16" i="2" s="1"/>
  <c r="G16" i="2" s="1"/>
  <c r="H16" i="2" s="1"/>
  <c r="E15" i="2"/>
  <c r="F15" i="2" s="1"/>
  <c r="G15" i="2" s="1"/>
  <c r="H15" i="2" s="1"/>
  <c r="E14" i="2"/>
  <c r="E13" i="2"/>
  <c r="F13" i="2" s="1"/>
  <c r="G13" i="2" s="1"/>
  <c r="H13" i="2" s="1"/>
  <c r="E12" i="2"/>
  <c r="F12" i="2" s="1"/>
  <c r="G12" i="2" s="1"/>
  <c r="H12" i="2" s="1"/>
  <c r="E11" i="2"/>
  <c r="E10" i="2"/>
  <c r="F10" i="2" s="1"/>
  <c r="G10" i="2" s="1"/>
  <c r="H10" i="2" s="1"/>
  <c r="E9" i="2"/>
  <c r="E8" i="2"/>
  <c r="E7" i="2"/>
  <c r="F7" i="2" s="1"/>
  <c r="F8" i="2"/>
  <c r="G8" i="2" s="1"/>
  <c r="H8" i="2" s="1"/>
  <c r="F11" i="2"/>
  <c r="G11" i="2" s="1"/>
  <c r="H11" i="2" s="1"/>
  <c r="F17" i="2"/>
  <c r="G17" i="2" s="1"/>
  <c r="H17" i="2" s="1"/>
  <c r="F18" i="2"/>
  <c r="G18" i="2" s="1"/>
  <c r="H18" i="2" s="1"/>
  <c r="F19" i="2"/>
  <c r="G19" i="2"/>
  <c r="H19" i="2" s="1"/>
  <c r="F20" i="2"/>
  <c r="G20" i="2" s="1"/>
  <c r="H20" i="2" s="1"/>
  <c r="F21" i="2"/>
  <c r="G21" i="2" s="1"/>
  <c r="H21" i="2" s="1"/>
  <c r="F22" i="2"/>
  <c r="G22" i="2" s="1"/>
  <c r="H22" i="2" s="1"/>
  <c r="F23" i="2"/>
  <c r="G23" i="2" s="1"/>
  <c r="H23" i="2" s="1"/>
  <c r="F24" i="2"/>
  <c r="G24" i="2"/>
  <c r="H24" i="2" s="1"/>
  <c r="F25" i="2"/>
  <c r="G25" i="2" s="1"/>
  <c r="H25" i="2" s="1"/>
  <c r="F26" i="2"/>
  <c r="G26" i="2" s="1"/>
  <c r="H26" i="2" s="1"/>
  <c r="F9" i="2" l="1"/>
  <c r="G9" i="2" s="1"/>
  <c r="H9" i="2" s="1"/>
  <c r="F14" i="2"/>
  <c r="G14" i="2" s="1"/>
  <c r="H14" i="2" s="1"/>
  <c r="E27" i="2"/>
  <c r="D27" i="2"/>
  <c r="C27" i="2"/>
  <c r="B27" i="2"/>
  <c r="F27" i="2" l="1"/>
  <c r="G27" i="2" s="1"/>
  <c r="G7" i="2"/>
  <c r="H7" i="2" s="1"/>
  <c r="H27" i="2" s="1"/>
</calcChain>
</file>

<file path=xl/sharedStrings.xml><?xml version="1.0" encoding="utf-8"?>
<sst xmlns="http://schemas.openxmlformats.org/spreadsheetml/2006/main" count="106" uniqueCount="46">
  <si>
    <t xml:space="preserve">CONSOLIDADO ESTUDIO DE LA OFERTA </t>
  </si>
  <si>
    <t xml:space="preserve">CODIGO: GCO-040-PDT-002-f-016               </t>
  </si>
  <si>
    <t>VERSION: 6</t>
  </si>
  <si>
    <t>ANALISIS DE LOS PRECIOS DEL MERCADO PARA OBTENER LOS PRECIOS DE REFERENCIA FINALES DEL PROCESO</t>
  </si>
  <si>
    <t>Objeto del contrato:</t>
  </si>
  <si>
    <t>Descripción del bien o servicio</t>
  </si>
  <si>
    <t>Cantidad</t>
  </si>
  <si>
    <t>Valor Unitario Promedio Incluido IVA</t>
  </si>
  <si>
    <t>Valor Unitario Promedio Incluido IVA (redondeado)</t>
  </si>
  <si>
    <t>Valor total promedio por ítem (para cantidad requerida) incluido IVA</t>
  </si>
  <si>
    <t>Desviación Estándar</t>
  </si>
  <si>
    <t>Criterio aplicado para la definición del preecios de referencia precio</t>
  </si>
  <si>
    <t>PRECIO DE REFERENCIA</t>
  </si>
  <si>
    <t>VALOR FINAL DEL PROCESO CANTIDADES MINIMAS</t>
  </si>
  <si>
    <t>Valor unitario incluido IVA</t>
  </si>
  <si>
    <t>Total</t>
  </si>
  <si>
    <t>Observaciones:</t>
  </si>
  <si>
    <t>Promedio</t>
  </si>
  <si>
    <t xml:space="preserve">Elaborado: Sandra  Vargas 
</t>
  </si>
  <si>
    <t>Adquirir las suscripciones a las herramientas tecnológicas necesarias para la creación de contenidos en formatos alternativos y en lenguaje claro, destinados a su publicación en los canales oficiales del Departamento Administrativo Nacional de Estadística (DANE) en Instagram, X, Facebook y YouTube, con el fin de apoyar la implementación de la estrategia digital y de medios de comunicación de la entidad.</t>
  </si>
  <si>
    <t>Suscripción a Metricool - Suscripción anual: ADVANCED - 15 Marcas</t>
  </si>
  <si>
    <t>Suscripción MailChimp – Standard: número de contactos 5.000 a 10.000.</t>
  </si>
  <si>
    <t>Suscripción Envato Teams</t>
  </si>
  <si>
    <t>Suscripción Motion Array  Everything</t>
  </si>
  <si>
    <t>Suscripción Streamyard Core</t>
  </si>
  <si>
    <t>Suscripción Chat GPT</t>
  </si>
  <si>
    <t>Suscripción digital El tiempo</t>
  </si>
  <si>
    <t>Suscripción digital El espectador</t>
  </si>
  <si>
    <t>Suscripción digital Portafolio</t>
  </si>
  <si>
    <t>Suscripción digital Diario el País de España</t>
  </si>
  <si>
    <t>Suscripción digital Revista semana</t>
  </si>
  <si>
    <r>
      <t>Suscripción digital Primera página (</t>
    </r>
    <r>
      <rPr>
        <b/>
        <sz val="10"/>
        <color theme="1"/>
        <rFont val="Arial"/>
        <family val="2"/>
      </rPr>
      <t>jurídica financiera)</t>
    </r>
  </si>
  <si>
    <t>Suscripción digital El colombiano</t>
  </si>
  <si>
    <t>Suscripción digital Forbes</t>
  </si>
  <si>
    <t>Suscripción digital Cambio</t>
  </si>
  <si>
    <t>Suscripción digital La Republica</t>
  </si>
  <si>
    <t>BASES DE DATOS ESPECIALIZADAS(*)</t>
  </si>
  <si>
    <t>(*) consulta realizada en las páginas de las aplicacionesm enn</t>
  </si>
  <si>
    <t>Suscripción YouTube Premium - Individual</t>
  </si>
  <si>
    <t>Suscripción Freepik  Premium +</t>
  </si>
  <si>
    <t xml:space="preserve">Suscripción Kahoot One </t>
  </si>
  <si>
    <t>Suscripción flourish studio Enterprise</t>
  </si>
  <si>
    <t>CREAR IMAGEN</t>
  </si>
  <si>
    <t>ROYAL TECH</t>
  </si>
  <si>
    <t>Para efectos del cálculo, se excluye el valor cuyo alejamiento respecto al promedio de los tres valores ofertados sea el mayor, procediendo luego a promediar los dos valores restantes.</t>
  </si>
  <si>
    <t>VALOR FINAL DEL PROCESO CANTIDADES MINIMAS REDONDEADO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</si>
</sst>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164" fontId="1" fillId="0" borderId="1" xfId="0" applyNumberFormat="1" applyFont="1" applyBorder="1" applyProtection="1">
      <protection locked="0"/>
    </xf>
    <xf numFmtId="0" fontId="1" fillId="0" borderId="0" xfId="0" applyFont="1" applyAlignment="1">
      <alignment horizontal="center"/>
    </xf>
    <xf numFmtId="164" fontId="1" fillId="2" borderId="1" xfId="0" applyNumberFormat="1" applyFont="1" applyFill="1" applyBorder="1" applyProtection="1"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165" fontId="5" fillId="0" borderId="0" xfId="1" applyNumberFormat="1" applyFont="1" applyAlignment="1">
      <alignment vertical="center" wrapText="1"/>
    </xf>
    <xf numFmtId="165" fontId="5" fillId="0" borderId="0" xfId="1" applyNumberFormat="1" applyFont="1"/>
    <xf numFmtId="164" fontId="1" fillId="3" borderId="1" xfId="0" applyNumberFormat="1" applyFont="1" applyFill="1" applyBorder="1"/>
    <xf numFmtId="0" fontId="4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/>
    </xf>
    <xf numFmtId="164" fontId="1" fillId="5" borderId="0" xfId="0" applyNumberFormat="1" applyFont="1" applyFill="1" applyProtection="1">
      <protection locked="0"/>
    </xf>
    <xf numFmtId="0" fontId="3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left" vertical="top"/>
    </xf>
    <xf numFmtId="0" fontId="1" fillId="5" borderId="0" xfId="0" applyFont="1" applyFill="1"/>
    <xf numFmtId="165" fontId="5" fillId="3" borderId="9" xfId="1" applyNumberFormat="1" applyFont="1" applyFill="1" applyBorder="1"/>
    <xf numFmtId="164" fontId="1" fillId="3" borderId="26" xfId="0" applyNumberFormat="1" applyFont="1" applyFill="1" applyBorder="1"/>
    <xf numFmtId="164" fontId="5" fillId="0" borderId="17" xfId="0" applyNumberFormat="1" applyFont="1" applyBorder="1"/>
    <xf numFmtId="0" fontId="3" fillId="0" borderId="31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/>
    </xf>
    <xf numFmtId="3" fontId="1" fillId="0" borderId="16" xfId="0" applyNumberFormat="1" applyFont="1" applyBorder="1" applyAlignment="1" applyProtection="1">
      <alignment horizontal="center" vertical="center"/>
      <protection locked="0"/>
    </xf>
    <xf numFmtId="164" fontId="1" fillId="0" borderId="16" xfId="0" applyNumberFormat="1" applyFont="1" applyBorder="1" applyProtection="1">
      <protection locked="0"/>
    </xf>
    <xf numFmtId="164" fontId="1" fillId="2" borderId="16" xfId="0" applyNumberFormat="1" applyFont="1" applyFill="1" applyBorder="1" applyProtection="1">
      <protection locked="0"/>
    </xf>
    <xf numFmtId="164" fontId="1" fillId="2" borderId="35" xfId="0" applyNumberFormat="1" applyFont="1" applyFill="1" applyBorder="1" applyProtection="1">
      <protection locked="0"/>
    </xf>
    <xf numFmtId="0" fontId="10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/>
    <xf numFmtId="165" fontId="11" fillId="3" borderId="1" xfId="1" applyNumberFormat="1" applyFont="1" applyFill="1" applyBorder="1"/>
    <xf numFmtId="0" fontId="12" fillId="0" borderId="1" xfId="0" applyFont="1" applyBorder="1" applyAlignment="1">
      <alignment vertical="center" wrapText="1"/>
    </xf>
    <xf numFmtId="165" fontId="13" fillId="3" borderId="1" xfId="1" applyNumberFormat="1" applyFont="1" applyFill="1" applyBorder="1" applyAlignment="1">
      <alignment horizontal="justify" vertical="top"/>
    </xf>
    <xf numFmtId="164" fontId="1" fillId="6" borderId="1" xfId="0" applyNumberFormat="1" applyFont="1" applyFill="1" applyBorder="1" applyProtection="1">
      <protection locked="0"/>
    </xf>
    <xf numFmtId="164" fontId="1" fillId="5" borderId="1" xfId="0" applyNumberFormat="1" applyFont="1" applyFill="1" applyBorder="1" applyProtection="1">
      <protection locked="0"/>
    </xf>
    <xf numFmtId="0" fontId="4" fillId="0" borderId="18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3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5" fillId="0" borderId="18" xfId="1" applyNumberFormat="1" applyFont="1" applyBorder="1" applyAlignment="1">
      <alignment horizontal="center" vertical="center" wrapText="1"/>
    </xf>
    <xf numFmtId="165" fontId="5" fillId="0" borderId="19" xfId="1" applyNumberFormat="1" applyFont="1" applyBorder="1" applyAlignment="1">
      <alignment horizontal="center" vertical="center" wrapText="1"/>
    </xf>
    <xf numFmtId="165" fontId="5" fillId="0" borderId="20" xfId="1" applyNumberFormat="1" applyFont="1" applyBorder="1" applyAlignment="1">
      <alignment horizontal="center" vertical="center" wrapText="1"/>
    </xf>
    <xf numFmtId="165" fontId="5" fillId="0" borderId="21" xfId="1" applyNumberFormat="1" applyFont="1" applyBorder="1" applyAlignment="1">
      <alignment horizontal="center" vertical="center" wrapText="1"/>
    </xf>
    <xf numFmtId="165" fontId="5" fillId="0" borderId="22" xfId="1" applyNumberFormat="1" applyFont="1" applyBorder="1" applyAlignment="1">
      <alignment horizontal="center" vertical="center" wrapText="1"/>
    </xf>
    <xf numFmtId="165" fontId="5" fillId="0" borderId="23" xfId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165" fontId="8" fillId="4" borderId="6" xfId="1" applyNumberFormat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165" fontId="8" fillId="4" borderId="24" xfId="1" applyNumberFormat="1" applyFont="1" applyFill="1" applyBorder="1" applyAlignment="1">
      <alignment horizontal="center" vertical="center" wrapText="1"/>
    </xf>
    <xf numFmtId="165" fontId="8" fillId="4" borderId="9" xfId="1" applyNumberFormat="1" applyFont="1" applyFill="1" applyBorder="1" applyAlignment="1">
      <alignment horizontal="center" vertical="center" wrapText="1"/>
    </xf>
    <xf numFmtId="164" fontId="5" fillId="7" borderId="17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Análisis lineal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'CANTIDADES MINIMAS'!$C$4</c:f>
              <c:strCache>
                <c:ptCount val="1"/>
                <c:pt idx="0">
                  <c:v>CREAR IMAGEN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'CANTIDADES MINIMAS'!$A$7:$A$26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MINIMAS'!$C$7:$C$26</c:f>
              <c:numCache>
                <c:formatCode>"$"\ #,##0</c:formatCode>
                <c:ptCount val="20"/>
                <c:pt idx="0">
                  <c:v>301384.5</c:v>
                </c:pt>
                <c:pt idx="1">
                  <c:v>767677.5</c:v>
                </c:pt>
                <c:pt idx="2">
                  <c:v>1194165</c:v>
                </c:pt>
                <c:pt idx="3">
                  <c:v>3411900</c:v>
                </c:pt>
                <c:pt idx="4">
                  <c:v>1705950</c:v>
                </c:pt>
                <c:pt idx="5">
                  <c:v>3070710</c:v>
                </c:pt>
                <c:pt idx="6">
                  <c:v>1137300</c:v>
                </c:pt>
                <c:pt idx="7">
                  <c:v>2274600</c:v>
                </c:pt>
                <c:pt idx="8">
                  <c:v>454920</c:v>
                </c:pt>
                <c:pt idx="9">
                  <c:v>3117378.5999999996</c:v>
                </c:pt>
                <c:pt idx="10">
                  <c:v>454920</c:v>
                </c:pt>
                <c:pt idx="11">
                  <c:v>608456</c:v>
                </c:pt>
                <c:pt idx="12">
                  <c:v>597083</c:v>
                </c:pt>
                <c:pt idx="13">
                  <c:v>454920</c:v>
                </c:pt>
                <c:pt idx="14">
                  <c:v>454920</c:v>
                </c:pt>
                <c:pt idx="15">
                  <c:v>1137300</c:v>
                </c:pt>
                <c:pt idx="16">
                  <c:v>170595</c:v>
                </c:pt>
                <c:pt idx="17">
                  <c:v>227460</c:v>
                </c:pt>
                <c:pt idx="18">
                  <c:v>625515</c:v>
                </c:pt>
                <c:pt idx="19">
                  <c:v>1023570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B6-486A-9E90-89E6670E6A78}"/>
            </c:ext>
          </c:extLst>
        </c:ser>
        <c:ser>
          <c:idx val="1"/>
          <c:order val="1"/>
          <c:tx>
            <c:strRef>
              <c:f>'CANTIDADES MINIMAS'!$D$4</c:f>
              <c:strCache>
                <c:ptCount val="1"/>
                <c:pt idx="0">
                  <c:v>ROYAL TECH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'CANTIDADES MINIMAS'!$A$7:$A$26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MINIMAS'!$D$7:$D$26</c:f>
              <c:numCache>
                <c:formatCode>"$"\ #,##0</c:formatCode>
                <c:ptCount val="20"/>
                <c:pt idx="0">
                  <c:v>267056.39999999997</c:v>
                </c:pt>
                <c:pt idx="1">
                  <c:v>809483.22000000009</c:v>
                </c:pt>
                <c:pt idx="2">
                  <c:v>334152</c:v>
                </c:pt>
                <c:pt idx="3">
                  <c:v>636480</c:v>
                </c:pt>
                <c:pt idx="4">
                  <c:v>3250026</c:v>
                </c:pt>
                <c:pt idx="5">
                  <c:v>1511640</c:v>
                </c:pt>
                <c:pt idx="6">
                  <c:v>2176761</c:v>
                </c:pt>
                <c:pt idx="7">
                  <c:v>725587.2</c:v>
                </c:pt>
                <c:pt idx="8">
                  <c:v>1209312</c:v>
                </c:pt>
                <c:pt idx="9">
                  <c:v>3117378.5999999996</c:v>
                </c:pt>
                <c:pt idx="10">
                  <c:v>365976</c:v>
                </c:pt>
                <c:pt idx="11">
                  <c:v>262548</c:v>
                </c:pt>
                <c:pt idx="12">
                  <c:v>408408</c:v>
                </c:pt>
                <c:pt idx="13">
                  <c:v>1209312</c:v>
                </c:pt>
                <c:pt idx="14">
                  <c:v>265200</c:v>
                </c:pt>
                <c:pt idx="15">
                  <c:v>1007760</c:v>
                </c:pt>
                <c:pt idx="16">
                  <c:v>350064</c:v>
                </c:pt>
                <c:pt idx="17">
                  <c:v>159120</c:v>
                </c:pt>
                <c:pt idx="18">
                  <c:v>145860</c:v>
                </c:pt>
                <c:pt idx="19">
                  <c:v>513162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B6-486A-9E90-89E6670E6A78}"/>
            </c:ext>
          </c:extLst>
        </c:ser>
        <c:ser>
          <c:idx val="2"/>
          <c:order val="2"/>
          <c:tx>
            <c:strRef>
              <c:f>'CANTIDADES MINIMAS'!$E$4</c:f>
              <c:strCache>
                <c:ptCount val="1"/>
                <c:pt idx="0">
                  <c:v>BASES DE DATOS ESPECIALIZADAS(*)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'CANTIDADES MINIMAS'!$A$7:$A$26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MINIMAS'!$E$7:$E$26</c:f>
              <c:numCache>
                <c:formatCode>"$"\ #,##0</c:formatCode>
                <c:ptCount val="20"/>
                <c:pt idx="0">
                  <c:v>190266.4</c:v>
                </c:pt>
                <c:pt idx="1">
                  <c:v>254134.13</c:v>
                </c:pt>
                <c:pt idx="2">
                  <c:v>250800</c:v>
                </c:pt>
                <c:pt idx="3">
                  <c:v>1104000</c:v>
                </c:pt>
                <c:pt idx="4">
                  <c:v>1310202.6000000001</c:v>
                </c:pt>
                <c:pt idx="5">
                  <c:v>1129033.2000000002</c:v>
                </c:pt>
                <c:pt idx="6">
                  <c:v>1626006.5999999999</c:v>
                </c:pt>
                <c:pt idx="7">
                  <c:v>858408.60000000009</c:v>
                </c:pt>
                <c:pt idx="8">
                  <c:v>250800</c:v>
                </c:pt>
                <c:pt idx="9">
                  <c:v>3117378.5999999996</c:v>
                </c:pt>
                <c:pt idx="10">
                  <c:v>478751</c:v>
                </c:pt>
                <c:pt idx="11">
                  <c:v>461324</c:v>
                </c:pt>
                <c:pt idx="12">
                  <c:v>458581</c:v>
                </c:pt>
                <c:pt idx="13">
                  <c:v>562958</c:v>
                </c:pt>
                <c:pt idx="14">
                  <c:v>515136</c:v>
                </c:pt>
                <c:pt idx="15">
                  <c:v>848581.66666666663</c:v>
                </c:pt>
                <c:pt idx="16">
                  <c:v>476340</c:v>
                </c:pt>
                <c:pt idx="17">
                  <c:v>307581</c:v>
                </c:pt>
                <c:pt idx="18">
                  <c:v>380984</c:v>
                </c:pt>
                <c:pt idx="19">
                  <c:v>544950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B6-486A-9E90-89E6670E6A78}"/>
            </c:ext>
          </c:extLst>
        </c:ser>
        <c:ser>
          <c:idx val="3"/>
          <c:order val="3"/>
          <c:tx>
            <c:v>Promedio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'CANTIDADES MINIMAS'!$A$7:$A$26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MINIMAS'!$F$7:$F$26</c:f>
              <c:numCache>
                <c:formatCode>"$"\ #,##0</c:formatCode>
                <c:ptCount val="20"/>
                <c:pt idx="0">
                  <c:v>252902.43333333332</c:v>
                </c:pt>
                <c:pt idx="1">
                  <c:v>610431.6166666667</c:v>
                </c:pt>
                <c:pt idx="2">
                  <c:v>593039</c:v>
                </c:pt>
                <c:pt idx="3">
                  <c:v>1717460</c:v>
                </c:pt>
                <c:pt idx="4">
                  <c:v>2088726.2</c:v>
                </c:pt>
                <c:pt idx="5">
                  <c:v>1903794.4000000001</c:v>
                </c:pt>
                <c:pt idx="6">
                  <c:v>1646689.2</c:v>
                </c:pt>
                <c:pt idx="7">
                  <c:v>1286198.6000000001</c:v>
                </c:pt>
                <c:pt idx="8">
                  <c:v>638344</c:v>
                </c:pt>
                <c:pt idx="9">
                  <c:v>3117378.5999999996</c:v>
                </c:pt>
                <c:pt idx="10">
                  <c:v>433215.66666666669</c:v>
                </c:pt>
                <c:pt idx="11">
                  <c:v>444109.33333333331</c:v>
                </c:pt>
                <c:pt idx="12">
                  <c:v>488024</c:v>
                </c:pt>
                <c:pt idx="13">
                  <c:v>742396.66666666663</c:v>
                </c:pt>
                <c:pt idx="14">
                  <c:v>411752</c:v>
                </c:pt>
                <c:pt idx="15">
                  <c:v>997880.5555555555</c:v>
                </c:pt>
                <c:pt idx="16">
                  <c:v>332333</c:v>
                </c:pt>
                <c:pt idx="17">
                  <c:v>231387</c:v>
                </c:pt>
                <c:pt idx="18">
                  <c:v>384119.66666666669</c:v>
                </c:pt>
                <c:pt idx="19">
                  <c:v>693894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2B6-486A-9E90-89E6670E6A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8598896"/>
        <c:axId val="898588816"/>
      </c:lineChart>
      <c:catAx>
        <c:axId val="89859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98588816"/>
        <c:crosses val="autoZero"/>
        <c:auto val="1"/>
        <c:lblAlgn val="ctr"/>
        <c:lblOffset val="100"/>
        <c:noMultiLvlLbl val="0"/>
      </c:catAx>
      <c:valAx>
        <c:axId val="89858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9859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Análisis lineal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'CANTIDADES MAXIMAS'!$C$4</c:f>
              <c:strCache>
                <c:ptCount val="1"/>
                <c:pt idx="0">
                  <c:v>CREAR IMAGEN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'CANTIDADES MAXIMAS'!$A$7:$A$26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MAXIMAS'!$C$7:$C$26</c:f>
              <c:numCache>
                <c:formatCode>"$"\ #,##0</c:formatCode>
                <c:ptCount val="20"/>
                <c:pt idx="0">
                  <c:v>3616614</c:v>
                </c:pt>
                <c:pt idx="1">
                  <c:v>9212130</c:v>
                </c:pt>
                <c:pt idx="2">
                  <c:v>1194165</c:v>
                </c:pt>
                <c:pt idx="3">
                  <c:v>3411900</c:v>
                </c:pt>
                <c:pt idx="4">
                  <c:v>1705950</c:v>
                </c:pt>
                <c:pt idx="5">
                  <c:v>3070710</c:v>
                </c:pt>
                <c:pt idx="6">
                  <c:v>1137300</c:v>
                </c:pt>
                <c:pt idx="7">
                  <c:v>2274600</c:v>
                </c:pt>
                <c:pt idx="8">
                  <c:v>454920</c:v>
                </c:pt>
                <c:pt idx="10">
                  <c:v>454920</c:v>
                </c:pt>
                <c:pt idx="11">
                  <c:v>608456</c:v>
                </c:pt>
                <c:pt idx="12">
                  <c:v>597083</c:v>
                </c:pt>
                <c:pt idx="13">
                  <c:v>454920</c:v>
                </c:pt>
                <c:pt idx="14">
                  <c:v>454920</c:v>
                </c:pt>
                <c:pt idx="15">
                  <c:v>13647600</c:v>
                </c:pt>
                <c:pt idx="16">
                  <c:v>170595</c:v>
                </c:pt>
                <c:pt idx="17">
                  <c:v>227460</c:v>
                </c:pt>
                <c:pt idx="18">
                  <c:v>625515</c:v>
                </c:pt>
                <c:pt idx="19">
                  <c:v>1023570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75-49A3-982A-552E56C2A6A1}"/>
            </c:ext>
          </c:extLst>
        </c:ser>
        <c:ser>
          <c:idx val="1"/>
          <c:order val="1"/>
          <c:tx>
            <c:strRef>
              <c:f>'CANTIDADES MAXIMAS'!$D$4</c:f>
              <c:strCache>
                <c:ptCount val="1"/>
                <c:pt idx="0">
                  <c:v>ROYAL TECH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'CANTIDADES MAXIMAS'!$A$7:$A$26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MAXIMAS'!$D$7:$D$26</c:f>
              <c:numCache>
                <c:formatCode>"$"\ #,##0</c:formatCode>
                <c:ptCount val="20"/>
                <c:pt idx="0">
                  <c:v>3204676.8</c:v>
                </c:pt>
                <c:pt idx="1">
                  <c:v>9713798.6400000006</c:v>
                </c:pt>
                <c:pt idx="2">
                  <c:v>334152</c:v>
                </c:pt>
                <c:pt idx="3">
                  <c:v>636480</c:v>
                </c:pt>
                <c:pt idx="4">
                  <c:v>3250026</c:v>
                </c:pt>
                <c:pt idx="5">
                  <c:v>1511640</c:v>
                </c:pt>
                <c:pt idx="6">
                  <c:v>2176761</c:v>
                </c:pt>
                <c:pt idx="7">
                  <c:v>725587.2</c:v>
                </c:pt>
                <c:pt idx="8">
                  <c:v>1209312</c:v>
                </c:pt>
                <c:pt idx="10">
                  <c:v>365976</c:v>
                </c:pt>
                <c:pt idx="11">
                  <c:v>262548</c:v>
                </c:pt>
                <c:pt idx="12">
                  <c:v>408408</c:v>
                </c:pt>
                <c:pt idx="13">
                  <c:v>1209312</c:v>
                </c:pt>
                <c:pt idx="14">
                  <c:v>265200</c:v>
                </c:pt>
                <c:pt idx="15">
                  <c:v>12093120</c:v>
                </c:pt>
                <c:pt idx="16">
                  <c:v>350064</c:v>
                </c:pt>
                <c:pt idx="17">
                  <c:v>159120</c:v>
                </c:pt>
                <c:pt idx="18">
                  <c:v>145860</c:v>
                </c:pt>
                <c:pt idx="19">
                  <c:v>513162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75-49A3-982A-552E56C2A6A1}"/>
            </c:ext>
          </c:extLst>
        </c:ser>
        <c:ser>
          <c:idx val="2"/>
          <c:order val="2"/>
          <c:tx>
            <c:strRef>
              <c:f>'CANTIDADES MAXIMAS'!$E$4</c:f>
              <c:strCache>
                <c:ptCount val="1"/>
                <c:pt idx="0">
                  <c:v>BASES DE DATOS ESPECIALIZADAS(*)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'CANTIDADES MAXIMAS'!$A$7:$A$26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MAXIMAS'!$E$7:$E$26</c:f>
              <c:numCache>
                <c:formatCode>"$"\ #,##0</c:formatCode>
                <c:ptCount val="20"/>
                <c:pt idx="0">
                  <c:v>2283196.7999999998</c:v>
                </c:pt>
                <c:pt idx="1">
                  <c:v>3049609.56</c:v>
                </c:pt>
                <c:pt idx="2">
                  <c:v>250800</c:v>
                </c:pt>
                <c:pt idx="3">
                  <c:v>1104000</c:v>
                </c:pt>
                <c:pt idx="4">
                  <c:v>1310202.6000000001</c:v>
                </c:pt>
                <c:pt idx="5">
                  <c:v>1129033.2000000002</c:v>
                </c:pt>
                <c:pt idx="6">
                  <c:v>1626006.5999999999</c:v>
                </c:pt>
                <c:pt idx="7">
                  <c:v>858408.60000000009</c:v>
                </c:pt>
                <c:pt idx="8">
                  <c:v>250800</c:v>
                </c:pt>
                <c:pt idx="9">
                  <c:v>3117378.5999999996</c:v>
                </c:pt>
                <c:pt idx="10">
                  <c:v>478751</c:v>
                </c:pt>
                <c:pt idx="11">
                  <c:v>461324</c:v>
                </c:pt>
                <c:pt idx="12">
                  <c:v>458581</c:v>
                </c:pt>
                <c:pt idx="13">
                  <c:v>562958</c:v>
                </c:pt>
                <c:pt idx="14">
                  <c:v>515136</c:v>
                </c:pt>
                <c:pt idx="15">
                  <c:v>10182980</c:v>
                </c:pt>
                <c:pt idx="16">
                  <c:v>476340</c:v>
                </c:pt>
                <c:pt idx="17">
                  <c:v>307581</c:v>
                </c:pt>
                <c:pt idx="18">
                  <c:v>380984</c:v>
                </c:pt>
                <c:pt idx="19">
                  <c:v>544950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75-49A3-982A-552E56C2A6A1}"/>
            </c:ext>
          </c:extLst>
        </c:ser>
        <c:ser>
          <c:idx val="3"/>
          <c:order val="3"/>
          <c:tx>
            <c:v>Promedio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'CANTIDADES MAXIMAS'!$A$7:$A$26</c:f>
              <c:strCache>
                <c:ptCount val="20"/>
                <c:pt idx="0">
                  <c:v>Suscripción a Metricool - Suscripción anual: ADVANCED - 15 Marcas</c:v>
                </c:pt>
                <c:pt idx="1">
                  <c:v>Suscripción MailChimp – Standard: número de contactos 5.000 a 10.000.</c:v>
                </c:pt>
                <c:pt idx="2">
                  <c:v>Suscripción YouTube Premium - Individual</c:v>
                </c:pt>
                <c:pt idx="3">
                  <c:v>Suscripción Freepik  Premium +</c:v>
                </c:pt>
                <c:pt idx="4">
                  <c:v>Suscripción Envato Teams</c:v>
                </c:pt>
                <c:pt idx="5">
                  <c:v>Suscripción Motion Array  Everything</c:v>
                </c:pt>
                <c:pt idx="6">
                  <c:v>Suscripción Streamyard Core</c:v>
                </c:pt>
                <c:pt idx="7">
                  <c:v>Suscripción Kahoot One </c:v>
                </c:pt>
                <c:pt idx="8">
                  <c:v>Suscripción Chat GPT</c:v>
                </c:pt>
                <c:pt idx="9">
                  <c:v>Suscripción flourish studio Enterprise</c:v>
                </c:pt>
                <c:pt idx="10">
                  <c:v>Suscripción digital El tiempo</c:v>
                </c:pt>
                <c:pt idx="11">
                  <c:v>Suscripción digital El espectador</c:v>
                </c:pt>
                <c:pt idx="12">
                  <c:v>Suscripción digital Portafolio</c:v>
                </c:pt>
                <c:pt idx="13">
                  <c:v>Suscripción digital Diario el País de España</c:v>
                </c:pt>
                <c:pt idx="14">
                  <c:v>Suscripción digital Revista semana</c:v>
                </c:pt>
                <c:pt idx="15">
                  <c:v>Suscripción digital Primera página (jurídica financiera)</c:v>
                </c:pt>
                <c:pt idx="16">
                  <c:v>Suscripción digital El colombiano</c:v>
                </c:pt>
                <c:pt idx="17">
                  <c:v>Suscripción digital Forbes</c:v>
                </c:pt>
                <c:pt idx="18">
                  <c:v>Suscripción digital Cambio</c:v>
                </c:pt>
                <c:pt idx="19">
                  <c:v>Suscripción digital La Republica</c:v>
                </c:pt>
              </c:strCache>
            </c:strRef>
          </c:cat>
          <c:val>
            <c:numRef>
              <c:f>'CANTIDADES MAXIMAS'!$F$7:$F$26</c:f>
              <c:numCache>
                <c:formatCode>"$"\ #,##0</c:formatCode>
                <c:ptCount val="20"/>
                <c:pt idx="0">
                  <c:v>3034829.1999999997</c:v>
                </c:pt>
                <c:pt idx="1">
                  <c:v>7325179.3999999994</c:v>
                </c:pt>
                <c:pt idx="2">
                  <c:v>593039</c:v>
                </c:pt>
                <c:pt idx="3">
                  <c:v>1717460</c:v>
                </c:pt>
                <c:pt idx="4">
                  <c:v>2088726.2</c:v>
                </c:pt>
                <c:pt idx="5">
                  <c:v>1903794.4000000001</c:v>
                </c:pt>
                <c:pt idx="6">
                  <c:v>1646689.2</c:v>
                </c:pt>
                <c:pt idx="7">
                  <c:v>1286198.6000000001</c:v>
                </c:pt>
                <c:pt idx="8">
                  <c:v>638344</c:v>
                </c:pt>
                <c:pt idx="9">
                  <c:v>1039126.1999999998</c:v>
                </c:pt>
                <c:pt idx="10">
                  <c:v>433215.66666666669</c:v>
                </c:pt>
                <c:pt idx="11">
                  <c:v>444109.33333333331</c:v>
                </c:pt>
                <c:pt idx="12">
                  <c:v>488024</c:v>
                </c:pt>
                <c:pt idx="13">
                  <c:v>742396.66666666663</c:v>
                </c:pt>
                <c:pt idx="14">
                  <c:v>411752</c:v>
                </c:pt>
                <c:pt idx="15">
                  <c:v>11974566.666666666</c:v>
                </c:pt>
                <c:pt idx="16">
                  <c:v>332333</c:v>
                </c:pt>
                <c:pt idx="17">
                  <c:v>231387</c:v>
                </c:pt>
                <c:pt idx="18">
                  <c:v>384119.66666666669</c:v>
                </c:pt>
                <c:pt idx="19">
                  <c:v>693894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F75-49A3-982A-552E56C2A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8598896"/>
        <c:axId val="898588816"/>
      </c:lineChart>
      <c:catAx>
        <c:axId val="89859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98588816"/>
        <c:crosses val="autoZero"/>
        <c:auto val="1"/>
        <c:lblAlgn val="ctr"/>
        <c:lblOffset val="100"/>
        <c:noMultiLvlLbl val="0"/>
      </c:catAx>
      <c:valAx>
        <c:axId val="89858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9859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918482</xdr:colOff>
      <xdr:row>0</xdr:row>
      <xdr:rowOff>236765</xdr:rowOff>
    </xdr:from>
    <xdr:to>
      <xdr:col>0</xdr:col>
      <xdr:colOff>2691189</xdr:colOff>
      <xdr:row>1</xdr:row>
      <xdr:rowOff>455839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81C4AA-021E-4380-89E9-6692DA952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482" y="236765"/>
          <a:ext cx="1772707" cy="545645"/>
        </a:xfrm>
        <a:prstGeom prst="rect">
          <a:avLst/>
        </a:prstGeom>
      </xdr:spPr>
    </xdr:pic>
    <xdr:clientData/>
  </xdr:twoCellAnchor>
  <xdr:twoCellAnchor>
    <xdr:from>
      <xdr:col>0</xdr:col>
      <xdr:colOff>229719</xdr:colOff>
      <xdr:row>33</xdr:row>
      <xdr:rowOff>68356</xdr:rowOff>
    </xdr:from>
    <xdr:to>
      <xdr:col>10</xdr:col>
      <xdr:colOff>696684</xdr:colOff>
      <xdr:row>66</xdr:row>
      <xdr:rowOff>76200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1F053E4-9A43-439D-AB4B-5A13194677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171451</xdr:rowOff>
    </xdr:from>
    <xdr:to>
      <xdr:col>0</xdr:col>
      <xdr:colOff>1896532</xdr:colOff>
      <xdr:row>1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3ADD3B-9808-4A8A-B78A-E27A6173D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71451"/>
          <a:ext cx="1772707" cy="555250"/>
        </a:xfrm>
        <a:prstGeom prst="rect">
          <a:avLst/>
        </a:prstGeom>
      </xdr:spPr>
    </xdr:pic>
    <xdr:clientData/>
  </xdr:twoCellAnchor>
  <xdr:twoCellAnchor>
    <xdr:from>
      <xdr:col>0</xdr:col>
      <xdr:colOff>229720</xdr:colOff>
      <xdr:row>33</xdr:row>
      <xdr:rowOff>68356</xdr:rowOff>
    </xdr:from>
    <xdr:to>
      <xdr:col>6</xdr:col>
      <xdr:colOff>661147</xdr:colOff>
      <xdr:row>56</xdr:row>
      <xdr:rowOff>145676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5B54ED6C-B230-D705-8418-4FFC0DA861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lourish.studio/pricing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lourish.studio/pric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5E18-D47E-47B7-980C-714B80CBFE2A}">
  <sheetPr>
    <pageSetUpPr fitToPage="1"/>
  </sheetPr>
  <dimension ref="A1:O33"/>
  <sheetViews>
    <sheetView tabSelected="1" view="pageBreakPreview" topLeftCell="A15" zoomScale="55" zoomScaleNormal="100" zoomScaleSheetLayoutView="55" workbookViewId="0">
      <selection activeCell="J29" sqref="J29"/>
    </sheetView>
  </sheetViews>
  <sheetFormatPr baseColWidth="10" defaultColWidth="11.44140625" defaultRowHeight="13.8" x14ac:dyDescent="0.25"/>
  <cols>
    <col min="1" max="1" width="40.109375" style="3" customWidth="1"/>
    <col min="2" max="2" width="10.33203125" style="5" customWidth="1"/>
    <col min="3" max="4" width="26" style="3" customWidth="1"/>
    <col min="5" max="5" width="25.88671875" style="3" customWidth="1"/>
    <col min="6" max="8" width="21.109375" style="3" customWidth="1"/>
    <col min="9" max="9" width="2.109375" style="19" customWidth="1"/>
    <col min="10" max="11" width="19.6640625" style="12" customWidth="1"/>
    <col min="12" max="12" width="24.6640625" style="3" customWidth="1"/>
    <col min="13" max="14" width="21.44140625" style="3" customWidth="1"/>
    <col min="15" max="15" width="12.109375" style="3" bestFit="1" customWidth="1"/>
    <col min="16" max="16384" width="11.44140625" style="3"/>
  </cols>
  <sheetData>
    <row r="1" spans="1:15" s="1" customFormat="1" ht="26.25" customHeight="1" thickBot="1" x14ac:dyDescent="0.35">
      <c r="A1" s="38"/>
      <c r="B1" s="39"/>
      <c r="C1" s="42" t="s">
        <v>0</v>
      </c>
      <c r="D1" s="43"/>
      <c r="E1" s="44"/>
      <c r="F1" s="48" t="s">
        <v>1</v>
      </c>
      <c r="G1" s="48"/>
      <c r="H1" s="49"/>
      <c r="I1" s="14"/>
      <c r="J1" s="11"/>
      <c r="K1" s="11"/>
    </row>
    <row r="2" spans="1:15" s="1" customFormat="1" ht="40.5" customHeight="1" x14ac:dyDescent="0.3">
      <c r="A2" s="40"/>
      <c r="B2" s="41"/>
      <c r="C2" s="45"/>
      <c r="D2" s="46"/>
      <c r="E2" s="47"/>
      <c r="F2" s="50" t="s">
        <v>2</v>
      </c>
      <c r="G2" s="50"/>
      <c r="H2" s="51"/>
      <c r="I2" s="14"/>
      <c r="J2" s="52" t="s">
        <v>3</v>
      </c>
      <c r="K2" s="53"/>
      <c r="L2" s="53"/>
      <c r="M2" s="54"/>
    </row>
    <row r="3" spans="1:15" s="1" customFormat="1" ht="48.75" customHeight="1" thickBot="1" x14ac:dyDescent="0.35">
      <c r="A3" s="23" t="s">
        <v>4</v>
      </c>
      <c r="B3" s="58" t="s">
        <v>19</v>
      </c>
      <c r="C3" s="58"/>
      <c r="D3" s="58"/>
      <c r="E3" s="58"/>
      <c r="F3" s="58"/>
      <c r="G3" s="58"/>
      <c r="H3" s="59"/>
      <c r="I3" s="15"/>
      <c r="J3" s="55"/>
      <c r="K3" s="56"/>
      <c r="L3" s="56"/>
      <c r="M3" s="57"/>
    </row>
    <row r="4" spans="1:15" s="2" customFormat="1" ht="33.75" customHeight="1" thickBot="1" x14ac:dyDescent="0.35">
      <c r="A4" s="68" t="s">
        <v>5</v>
      </c>
      <c r="B4" s="71" t="s">
        <v>6</v>
      </c>
      <c r="C4" s="8" t="s">
        <v>42</v>
      </c>
      <c r="D4" s="7" t="s">
        <v>43</v>
      </c>
      <c r="E4" s="7" t="s">
        <v>36</v>
      </c>
      <c r="F4" s="74" t="s">
        <v>7</v>
      </c>
      <c r="G4" s="77" t="s">
        <v>8</v>
      </c>
      <c r="H4" s="79" t="s">
        <v>9</v>
      </c>
      <c r="I4" s="17"/>
      <c r="J4" s="82" t="s">
        <v>10</v>
      </c>
      <c r="K4" s="60" t="s">
        <v>11</v>
      </c>
      <c r="L4" s="62" t="s">
        <v>12</v>
      </c>
      <c r="M4" s="64" t="s">
        <v>13</v>
      </c>
      <c r="N4" s="64" t="s">
        <v>45</v>
      </c>
    </row>
    <row r="5" spans="1:15" s="2" customFormat="1" ht="42.75" customHeight="1" thickBot="1" x14ac:dyDescent="0.35">
      <c r="A5" s="69"/>
      <c r="B5" s="72"/>
      <c r="C5" s="10">
        <v>46087</v>
      </c>
      <c r="D5" s="9">
        <v>46087</v>
      </c>
      <c r="E5" s="9">
        <v>46085</v>
      </c>
      <c r="F5" s="75"/>
      <c r="G5" s="78"/>
      <c r="H5" s="80"/>
      <c r="I5" s="17"/>
      <c r="J5" s="83"/>
      <c r="K5" s="61"/>
      <c r="L5" s="63"/>
      <c r="M5" s="65"/>
      <c r="N5" s="65"/>
    </row>
    <row r="6" spans="1:15" s="2" customFormat="1" ht="25.2" customHeight="1" x14ac:dyDescent="0.3">
      <c r="A6" s="70"/>
      <c r="B6" s="73"/>
      <c r="C6" s="24" t="s">
        <v>14</v>
      </c>
      <c r="D6" s="24" t="s">
        <v>14</v>
      </c>
      <c r="E6" s="24" t="s">
        <v>14</v>
      </c>
      <c r="F6" s="76"/>
      <c r="G6" s="73"/>
      <c r="H6" s="81"/>
      <c r="I6" s="17"/>
      <c r="J6" s="83"/>
      <c r="K6" s="61"/>
      <c r="L6" s="63"/>
      <c r="M6" s="65"/>
      <c r="N6" s="65"/>
    </row>
    <row r="7" spans="1:15" ht="57.6" customHeight="1" x14ac:dyDescent="0.25">
      <c r="A7" s="30" t="s">
        <v>20</v>
      </c>
      <c r="B7" s="31">
        <v>7</v>
      </c>
      <c r="C7" s="4">
        <f>3616614/12</f>
        <v>301384.5</v>
      </c>
      <c r="D7" s="4">
        <f>3204676.8/12</f>
        <v>267056.39999999997</v>
      </c>
      <c r="E7" s="37">
        <f>190266.4*12/12</f>
        <v>190266.4</v>
      </c>
      <c r="F7" s="6">
        <f>(C7+D7+E7)/3</f>
        <v>252902.43333333332</v>
      </c>
      <c r="G7" s="4">
        <f>ROUNDUP(F7,0)</f>
        <v>252903</v>
      </c>
      <c r="H7" s="4">
        <f>G7*B7</f>
        <v>1770321</v>
      </c>
      <c r="I7" s="16"/>
      <c r="J7" s="20">
        <f>_xlfn.STDEV.S(C7:E7)</f>
        <v>56895.158987415824</v>
      </c>
      <c r="K7" s="33" t="s">
        <v>17</v>
      </c>
      <c r="L7" s="13">
        <f>F7</f>
        <v>252902.43333333332</v>
      </c>
      <c r="M7" s="21">
        <f>L7*B7</f>
        <v>1770317.0333333332</v>
      </c>
      <c r="N7" s="21">
        <f>ROUND(M7,0)</f>
        <v>1770317</v>
      </c>
      <c r="O7" s="32"/>
    </row>
    <row r="8" spans="1:15" ht="57.6" customHeight="1" x14ac:dyDescent="0.25">
      <c r="A8" s="30" t="s">
        <v>21</v>
      </c>
      <c r="B8" s="31">
        <v>7</v>
      </c>
      <c r="C8" s="4">
        <f>9212130/12</f>
        <v>767677.5</v>
      </c>
      <c r="D8" s="4">
        <f>9713798.64/12</f>
        <v>809483.22000000009</v>
      </c>
      <c r="E8" s="36">
        <f>254134.13*12/12</f>
        <v>254134.13</v>
      </c>
      <c r="F8" s="6">
        <f t="shared" ref="F8:F26" si="0">(C8+D8+E8)/3</f>
        <v>610431.6166666667</v>
      </c>
      <c r="G8" s="4">
        <f t="shared" ref="G8:G27" si="1">ROUNDUP(F8,0)</f>
        <v>610432</v>
      </c>
      <c r="H8" s="4">
        <f t="shared" ref="H8:H26" si="2">G8*B8</f>
        <v>4273024</v>
      </c>
      <c r="I8" s="16"/>
      <c r="J8" s="20">
        <f t="shared" ref="J8:J26" si="3">_xlfn.STDEV.S(C8:E8)</f>
        <v>309269.87213422073</v>
      </c>
      <c r="K8" s="35" t="s">
        <v>44</v>
      </c>
      <c r="L8" s="13">
        <f>AVERAGE(C8,D8)</f>
        <v>788580.3600000001</v>
      </c>
      <c r="M8" s="21">
        <f t="shared" ref="M8:M26" si="4">L8*B8</f>
        <v>5520062.5200000005</v>
      </c>
      <c r="N8" s="21">
        <f t="shared" ref="N8:N26" si="5">ROUND(M8,0)</f>
        <v>5520063</v>
      </c>
    </row>
    <row r="9" spans="1:15" ht="57.6" customHeight="1" x14ac:dyDescent="0.25">
      <c r="A9" s="30" t="s">
        <v>38</v>
      </c>
      <c r="B9" s="31">
        <v>1</v>
      </c>
      <c r="C9" s="36">
        <v>1194165</v>
      </c>
      <c r="D9" s="4">
        <v>334152</v>
      </c>
      <c r="E9" s="4">
        <f>20900*12</f>
        <v>250800</v>
      </c>
      <c r="F9" s="6">
        <f t="shared" si="0"/>
        <v>593039</v>
      </c>
      <c r="G9" s="4">
        <f t="shared" si="1"/>
        <v>593039</v>
      </c>
      <c r="H9" s="4">
        <f t="shared" si="2"/>
        <v>593039</v>
      </c>
      <c r="I9" s="16"/>
      <c r="J9" s="20">
        <f t="shared" si="3"/>
        <v>522255.91416756593</v>
      </c>
      <c r="K9" s="35" t="s">
        <v>44</v>
      </c>
      <c r="L9" s="13">
        <f>AVERAGE(D9,E9)</f>
        <v>292476</v>
      </c>
      <c r="M9" s="21">
        <f t="shared" si="4"/>
        <v>292476</v>
      </c>
      <c r="N9" s="21">
        <f t="shared" si="5"/>
        <v>292476</v>
      </c>
    </row>
    <row r="10" spans="1:15" ht="57.6" customHeight="1" x14ac:dyDescent="0.25">
      <c r="A10" s="30" t="s">
        <v>39</v>
      </c>
      <c r="B10" s="31">
        <v>1</v>
      </c>
      <c r="C10" s="4">
        <v>3411900</v>
      </c>
      <c r="D10" s="36">
        <v>636480</v>
      </c>
      <c r="E10" s="4">
        <f>92000*12</f>
        <v>1104000</v>
      </c>
      <c r="F10" s="6">
        <f t="shared" si="0"/>
        <v>1717460</v>
      </c>
      <c r="G10" s="4">
        <f t="shared" si="1"/>
        <v>1717460</v>
      </c>
      <c r="H10" s="4">
        <f t="shared" si="2"/>
        <v>1717460</v>
      </c>
      <c r="I10" s="16"/>
      <c r="J10" s="20">
        <f t="shared" si="3"/>
        <v>1485930.3223233584</v>
      </c>
      <c r="K10" s="35" t="s">
        <v>44</v>
      </c>
      <c r="L10" s="13">
        <f>AVERAGE(C10,E10)</f>
        <v>2257950</v>
      </c>
      <c r="M10" s="21">
        <f t="shared" si="4"/>
        <v>2257950</v>
      </c>
      <c r="N10" s="21">
        <f t="shared" si="5"/>
        <v>2257950</v>
      </c>
    </row>
    <row r="11" spans="1:15" ht="57.6" customHeight="1" x14ac:dyDescent="0.25">
      <c r="A11" s="30" t="s">
        <v>22</v>
      </c>
      <c r="B11" s="31">
        <v>1</v>
      </c>
      <c r="C11" s="4">
        <v>1705950</v>
      </c>
      <c r="D11" s="36">
        <v>3250026</v>
      </c>
      <c r="E11" s="4">
        <f>109183.55*12</f>
        <v>1310202.6000000001</v>
      </c>
      <c r="F11" s="6">
        <f t="shared" si="0"/>
        <v>2088726.2</v>
      </c>
      <c r="G11" s="4">
        <f t="shared" si="1"/>
        <v>2088727</v>
      </c>
      <c r="H11" s="4">
        <f t="shared" si="2"/>
        <v>2088727</v>
      </c>
      <c r="I11" s="16"/>
      <c r="J11" s="20">
        <f t="shared" si="3"/>
        <v>1024996.0586566763</v>
      </c>
      <c r="K11" s="35" t="s">
        <v>44</v>
      </c>
      <c r="L11" s="13">
        <f>AVERAGE(C11,E11)</f>
        <v>1508076.3</v>
      </c>
      <c r="M11" s="21">
        <f t="shared" si="4"/>
        <v>1508076.3</v>
      </c>
      <c r="N11" s="21">
        <f t="shared" si="5"/>
        <v>1508076</v>
      </c>
    </row>
    <row r="12" spans="1:15" ht="57.6" customHeight="1" x14ac:dyDescent="0.25">
      <c r="A12" s="30" t="s">
        <v>23</v>
      </c>
      <c r="B12" s="31">
        <v>1</v>
      </c>
      <c r="C12" s="36">
        <v>3070710</v>
      </c>
      <c r="D12" s="4">
        <v>1511640</v>
      </c>
      <c r="E12" s="4">
        <f>94086.1*12</f>
        <v>1129033.2000000002</v>
      </c>
      <c r="F12" s="6">
        <f t="shared" si="0"/>
        <v>1903794.4000000001</v>
      </c>
      <c r="G12" s="4">
        <f t="shared" si="1"/>
        <v>1903795</v>
      </c>
      <c r="H12" s="4">
        <f t="shared" si="2"/>
        <v>1903795</v>
      </c>
      <c r="I12" s="16"/>
      <c r="J12" s="20">
        <f t="shared" si="3"/>
        <v>1028526.1318965503</v>
      </c>
      <c r="K12" s="35" t="s">
        <v>44</v>
      </c>
      <c r="L12" s="13">
        <f>AVERAGE(D12,E12)</f>
        <v>1320336.6000000001</v>
      </c>
      <c r="M12" s="21">
        <f t="shared" si="4"/>
        <v>1320336.6000000001</v>
      </c>
      <c r="N12" s="21">
        <f t="shared" si="5"/>
        <v>1320337</v>
      </c>
    </row>
    <row r="13" spans="1:15" ht="57.6" customHeight="1" x14ac:dyDescent="0.25">
      <c r="A13" s="30" t="s">
        <v>24</v>
      </c>
      <c r="B13" s="31">
        <v>1</v>
      </c>
      <c r="C13" s="4">
        <v>1137300</v>
      </c>
      <c r="D13" s="36">
        <v>2176761</v>
      </c>
      <c r="E13" s="4">
        <f>135500.55*12</f>
        <v>1626006.5999999999</v>
      </c>
      <c r="F13" s="6">
        <f t="shared" si="0"/>
        <v>1646689.2</v>
      </c>
      <c r="G13" s="4">
        <f t="shared" si="1"/>
        <v>1646690</v>
      </c>
      <c r="H13" s="4">
        <f t="shared" si="2"/>
        <v>1646690</v>
      </c>
      <c r="I13" s="16"/>
      <c r="J13" s="20">
        <f t="shared" si="3"/>
        <v>520039.05630954326</v>
      </c>
      <c r="K13" s="35" t="s">
        <v>44</v>
      </c>
      <c r="L13" s="13">
        <f>AVERAGE(C13,E13)</f>
        <v>1381653.2999999998</v>
      </c>
      <c r="M13" s="21">
        <f t="shared" si="4"/>
        <v>1381653.2999999998</v>
      </c>
      <c r="N13" s="21">
        <f t="shared" si="5"/>
        <v>1381653</v>
      </c>
    </row>
    <row r="14" spans="1:15" ht="57.6" customHeight="1" x14ac:dyDescent="0.25">
      <c r="A14" s="30" t="s">
        <v>40</v>
      </c>
      <c r="B14" s="31">
        <v>1</v>
      </c>
      <c r="C14" s="36">
        <v>2274600</v>
      </c>
      <c r="D14" s="4">
        <v>725587.2</v>
      </c>
      <c r="E14" s="4">
        <f>71534.05*12</f>
        <v>858408.60000000009</v>
      </c>
      <c r="F14" s="6">
        <f t="shared" si="0"/>
        <v>1286198.6000000001</v>
      </c>
      <c r="G14" s="4">
        <f t="shared" si="1"/>
        <v>1286199</v>
      </c>
      <c r="H14" s="4">
        <f t="shared" si="2"/>
        <v>1286199</v>
      </c>
      <c r="I14" s="16"/>
      <c r="J14" s="20">
        <f t="shared" si="3"/>
        <v>858553.07157796563</v>
      </c>
      <c r="K14" s="35" t="s">
        <v>44</v>
      </c>
      <c r="L14" s="13">
        <f>AVERAGE(D14,E14)</f>
        <v>791997.9</v>
      </c>
      <c r="M14" s="21">
        <f t="shared" si="4"/>
        <v>791997.9</v>
      </c>
      <c r="N14" s="21">
        <f t="shared" si="5"/>
        <v>791998</v>
      </c>
    </row>
    <row r="15" spans="1:15" ht="57.6" customHeight="1" x14ac:dyDescent="0.25">
      <c r="A15" s="30" t="s">
        <v>25</v>
      </c>
      <c r="B15" s="31">
        <v>1</v>
      </c>
      <c r="C15" s="4">
        <v>454920</v>
      </c>
      <c r="D15" s="36">
        <v>1209312</v>
      </c>
      <c r="E15" s="4">
        <f>20900*12</f>
        <v>250800</v>
      </c>
      <c r="F15" s="6">
        <f t="shared" si="0"/>
        <v>638344</v>
      </c>
      <c r="G15" s="4">
        <f t="shared" si="1"/>
        <v>638344</v>
      </c>
      <c r="H15" s="4">
        <f t="shared" si="2"/>
        <v>638344</v>
      </c>
      <c r="I15" s="16"/>
      <c r="J15" s="20">
        <f t="shared" si="3"/>
        <v>504895.61927986657</v>
      </c>
      <c r="K15" s="35" t="s">
        <v>44</v>
      </c>
      <c r="L15" s="13">
        <f>AVERAGE(C15,E15)</f>
        <v>352860</v>
      </c>
      <c r="M15" s="21">
        <f t="shared" si="4"/>
        <v>352860</v>
      </c>
      <c r="N15" s="21">
        <f t="shared" si="5"/>
        <v>352860</v>
      </c>
    </row>
    <row r="16" spans="1:15" ht="57.6" customHeight="1" x14ac:dyDescent="0.25">
      <c r="A16" s="30" t="s">
        <v>41</v>
      </c>
      <c r="B16" s="31">
        <v>1</v>
      </c>
      <c r="C16" s="4">
        <f>259781.55*12</f>
        <v>3117378.5999999996</v>
      </c>
      <c r="D16" s="4">
        <f>259781.55*12</f>
        <v>3117378.5999999996</v>
      </c>
      <c r="E16" s="4">
        <f>259781.55*12</f>
        <v>3117378.5999999996</v>
      </c>
      <c r="F16" s="6">
        <f t="shared" si="0"/>
        <v>3117378.5999999996</v>
      </c>
      <c r="G16" s="4">
        <f t="shared" si="1"/>
        <v>3117379</v>
      </c>
      <c r="H16" s="4">
        <f t="shared" si="2"/>
        <v>3117379</v>
      </c>
      <c r="I16" s="16"/>
      <c r="J16" s="20">
        <f t="shared" si="3"/>
        <v>0</v>
      </c>
      <c r="K16" s="33" t="s">
        <v>17</v>
      </c>
      <c r="L16" s="13">
        <f>F16</f>
        <v>3117378.5999999996</v>
      </c>
      <c r="M16" s="21">
        <f t="shared" si="4"/>
        <v>3117378.5999999996</v>
      </c>
      <c r="N16" s="21">
        <f t="shared" si="5"/>
        <v>3117379</v>
      </c>
    </row>
    <row r="17" spans="1:14" ht="57.6" customHeight="1" x14ac:dyDescent="0.25">
      <c r="A17" s="30" t="s">
        <v>26</v>
      </c>
      <c r="B17" s="31">
        <v>1</v>
      </c>
      <c r="C17" s="4">
        <v>454920</v>
      </c>
      <c r="D17" s="4">
        <v>365976</v>
      </c>
      <c r="E17" s="4">
        <v>478751</v>
      </c>
      <c r="F17" s="6">
        <f t="shared" si="0"/>
        <v>433215.66666666669</v>
      </c>
      <c r="G17" s="4">
        <f t="shared" si="1"/>
        <v>433216</v>
      </c>
      <c r="H17" s="4">
        <f t="shared" si="2"/>
        <v>433216</v>
      </c>
      <c r="I17" s="16"/>
      <c r="J17" s="20">
        <f t="shared" si="3"/>
        <v>59437.855953367907</v>
      </c>
      <c r="K17" s="33" t="s">
        <v>17</v>
      </c>
      <c r="L17" s="13">
        <f>F17</f>
        <v>433215.66666666669</v>
      </c>
      <c r="M17" s="21">
        <f t="shared" si="4"/>
        <v>433215.66666666669</v>
      </c>
      <c r="N17" s="21">
        <f t="shared" si="5"/>
        <v>433216</v>
      </c>
    </row>
    <row r="18" spans="1:14" ht="57.6" customHeight="1" x14ac:dyDescent="0.25">
      <c r="A18" s="30" t="s">
        <v>27</v>
      </c>
      <c r="B18" s="31">
        <v>1</v>
      </c>
      <c r="C18" s="4">
        <v>608456</v>
      </c>
      <c r="D18" s="36">
        <v>262548</v>
      </c>
      <c r="E18" s="4">
        <v>461324</v>
      </c>
      <c r="F18" s="6">
        <f t="shared" si="0"/>
        <v>444109.33333333331</v>
      </c>
      <c r="G18" s="4">
        <f t="shared" si="1"/>
        <v>444110</v>
      </c>
      <c r="H18" s="4">
        <f t="shared" si="2"/>
        <v>444110</v>
      </c>
      <c r="I18" s="16"/>
      <c r="J18" s="20">
        <f t="shared" si="3"/>
        <v>173595.34751062113</v>
      </c>
      <c r="K18" s="35" t="s">
        <v>44</v>
      </c>
      <c r="L18" s="13">
        <f>AVERAGE(C18,E18)</f>
        <v>534890</v>
      </c>
      <c r="M18" s="21">
        <f t="shared" si="4"/>
        <v>534890</v>
      </c>
      <c r="N18" s="21">
        <f t="shared" si="5"/>
        <v>534890</v>
      </c>
    </row>
    <row r="19" spans="1:14" ht="57.6" customHeight="1" x14ac:dyDescent="0.25">
      <c r="A19" s="30" t="s">
        <v>28</v>
      </c>
      <c r="B19" s="31">
        <v>1</v>
      </c>
      <c r="C19" s="37">
        <v>597083</v>
      </c>
      <c r="D19" s="4">
        <v>408408</v>
      </c>
      <c r="E19" s="4">
        <v>458581</v>
      </c>
      <c r="F19" s="6">
        <f t="shared" si="0"/>
        <v>488024</v>
      </c>
      <c r="G19" s="4">
        <f t="shared" si="1"/>
        <v>488024</v>
      </c>
      <c r="H19" s="4">
        <f t="shared" si="2"/>
        <v>488024</v>
      </c>
      <c r="I19" s="16"/>
      <c r="J19" s="20">
        <f t="shared" si="3"/>
        <v>97722.728129130744</v>
      </c>
      <c r="K19" s="33" t="s">
        <v>17</v>
      </c>
      <c r="L19" s="13">
        <f>F19</f>
        <v>488024</v>
      </c>
      <c r="M19" s="21">
        <f t="shared" si="4"/>
        <v>488024</v>
      </c>
      <c r="N19" s="21">
        <f t="shared" si="5"/>
        <v>488024</v>
      </c>
    </row>
    <row r="20" spans="1:14" ht="57.6" customHeight="1" x14ac:dyDescent="0.25">
      <c r="A20" s="30" t="s">
        <v>29</v>
      </c>
      <c r="B20" s="31">
        <v>1</v>
      </c>
      <c r="C20" s="4">
        <v>454920</v>
      </c>
      <c r="D20" s="36">
        <v>1209312</v>
      </c>
      <c r="E20" s="4">
        <v>562958</v>
      </c>
      <c r="F20" s="6">
        <f t="shared" si="0"/>
        <v>742396.66666666663</v>
      </c>
      <c r="G20" s="4">
        <f t="shared" si="1"/>
        <v>742397</v>
      </c>
      <c r="H20" s="4">
        <f t="shared" si="2"/>
        <v>742397</v>
      </c>
      <c r="I20" s="16"/>
      <c r="J20" s="20">
        <f t="shared" si="3"/>
        <v>407952.81435152935</v>
      </c>
      <c r="K20" s="35" t="s">
        <v>44</v>
      </c>
      <c r="L20" s="13">
        <f>AVERAGE(C20,E20)</f>
        <v>508939</v>
      </c>
      <c r="M20" s="21">
        <f t="shared" si="4"/>
        <v>508939</v>
      </c>
      <c r="N20" s="21">
        <f t="shared" si="5"/>
        <v>508939</v>
      </c>
    </row>
    <row r="21" spans="1:14" ht="57.6" customHeight="1" x14ac:dyDescent="0.25">
      <c r="A21" s="30" t="s">
        <v>30</v>
      </c>
      <c r="B21" s="31">
        <v>1</v>
      </c>
      <c r="C21" s="4">
        <v>454920</v>
      </c>
      <c r="D21" s="36">
        <v>265200</v>
      </c>
      <c r="E21" s="4">
        <v>515136</v>
      </c>
      <c r="F21" s="6">
        <f t="shared" si="0"/>
        <v>411752</v>
      </c>
      <c r="G21" s="4">
        <f t="shared" si="1"/>
        <v>411752</v>
      </c>
      <c r="H21" s="4">
        <f t="shared" si="2"/>
        <v>411752</v>
      </c>
      <c r="I21" s="16"/>
      <c r="J21" s="20">
        <f t="shared" si="3"/>
        <v>130440.05593375066</v>
      </c>
      <c r="K21" s="35" t="s">
        <v>44</v>
      </c>
      <c r="L21" s="13">
        <f>AVERAGE(C21,E21)</f>
        <v>485028</v>
      </c>
      <c r="M21" s="21">
        <f t="shared" si="4"/>
        <v>485028</v>
      </c>
      <c r="N21" s="21">
        <f t="shared" si="5"/>
        <v>485028</v>
      </c>
    </row>
    <row r="22" spans="1:14" ht="57.6" customHeight="1" x14ac:dyDescent="0.25">
      <c r="A22" s="30" t="s">
        <v>31</v>
      </c>
      <c r="B22" s="31">
        <v>7</v>
      </c>
      <c r="C22" s="4">
        <f>13647600/12</f>
        <v>1137300</v>
      </c>
      <c r="D22" s="4">
        <f>12093120/12</f>
        <v>1007760</v>
      </c>
      <c r="E22" s="36">
        <f>10182980/12</f>
        <v>848581.66666666663</v>
      </c>
      <c r="F22" s="6">
        <f t="shared" si="0"/>
        <v>997880.5555555555</v>
      </c>
      <c r="G22" s="4">
        <f t="shared" si="1"/>
        <v>997881</v>
      </c>
      <c r="H22" s="4">
        <f t="shared" si="2"/>
        <v>6985167</v>
      </c>
      <c r="I22" s="16"/>
      <c r="J22" s="20">
        <f t="shared" si="3"/>
        <v>144612.4875921605</v>
      </c>
      <c r="K22" s="35" t="s">
        <v>44</v>
      </c>
      <c r="L22" s="13">
        <f>AVERAGE(C22,D22)</f>
        <v>1072530</v>
      </c>
      <c r="M22" s="21">
        <f t="shared" si="4"/>
        <v>7507710</v>
      </c>
      <c r="N22" s="21">
        <f t="shared" si="5"/>
        <v>7507710</v>
      </c>
    </row>
    <row r="23" spans="1:14" ht="57.6" customHeight="1" x14ac:dyDescent="0.25">
      <c r="A23" s="30" t="s">
        <v>32</v>
      </c>
      <c r="B23" s="31">
        <v>1</v>
      </c>
      <c r="C23" s="36">
        <v>170595</v>
      </c>
      <c r="D23" s="4">
        <v>350064</v>
      </c>
      <c r="E23" s="4">
        <v>476340</v>
      </c>
      <c r="F23" s="6">
        <f t="shared" si="0"/>
        <v>332333</v>
      </c>
      <c r="G23" s="4">
        <f t="shared" si="1"/>
        <v>332333</v>
      </c>
      <c r="H23" s="4">
        <f t="shared" si="2"/>
        <v>332333</v>
      </c>
      <c r="I23" s="16"/>
      <c r="J23" s="20">
        <f t="shared" si="3"/>
        <v>153641.76687021012</v>
      </c>
      <c r="K23" s="35" t="s">
        <v>44</v>
      </c>
      <c r="L23" s="13">
        <f>AVERAGE(D23,E23)</f>
        <v>413202</v>
      </c>
      <c r="M23" s="21">
        <f t="shared" si="4"/>
        <v>413202</v>
      </c>
      <c r="N23" s="21">
        <f t="shared" si="5"/>
        <v>413202</v>
      </c>
    </row>
    <row r="24" spans="1:14" ht="57.6" customHeight="1" x14ac:dyDescent="0.25">
      <c r="A24" s="30" t="s">
        <v>33</v>
      </c>
      <c r="B24" s="31">
        <v>1</v>
      </c>
      <c r="C24" s="4">
        <v>227460</v>
      </c>
      <c r="D24" s="37">
        <v>159120</v>
      </c>
      <c r="E24" s="4">
        <v>307581</v>
      </c>
      <c r="F24" s="6">
        <f t="shared" si="0"/>
        <v>231387</v>
      </c>
      <c r="G24" s="4">
        <f t="shared" si="1"/>
        <v>231387</v>
      </c>
      <c r="H24" s="4">
        <f t="shared" si="2"/>
        <v>231387</v>
      </c>
      <c r="I24" s="16"/>
      <c r="J24" s="20">
        <f t="shared" si="3"/>
        <v>74308.365121297073</v>
      </c>
      <c r="K24" s="33" t="s">
        <v>17</v>
      </c>
      <c r="L24" s="13">
        <f>F24</f>
        <v>231387</v>
      </c>
      <c r="M24" s="21">
        <f t="shared" si="4"/>
        <v>231387</v>
      </c>
      <c r="N24" s="21">
        <f t="shared" si="5"/>
        <v>231387</v>
      </c>
    </row>
    <row r="25" spans="1:14" ht="57.6" customHeight="1" x14ac:dyDescent="0.25">
      <c r="A25" s="30" t="s">
        <v>34</v>
      </c>
      <c r="B25" s="31">
        <v>1</v>
      </c>
      <c r="C25" s="4">
        <v>625515</v>
      </c>
      <c r="D25" s="36">
        <v>145860</v>
      </c>
      <c r="E25" s="4">
        <v>380984</v>
      </c>
      <c r="F25" s="6">
        <f t="shared" si="0"/>
        <v>384119.66666666669</v>
      </c>
      <c r="G25" s="4">
        <f t="shared" si="1"/>
        <v>384120</v>
      </c>
      <c r="H25" s="4">
        <f t="shared" si="2"/>
        <v>384120</v>
      </c>
      <c r="I25" s="16"/>
      <c r="J25" s="20">
        <f t="shared" si="3"/>
        <v>239842.87369095071</v>
      </c>
      <c r="K25" s="35" t="s">
        <v>44</v>
      </c>
      <c r="L25" s="13">
        <f>AVERAGE(E25,C25)</f>
        <v>503249.5</v>
      </c>
      <c r="M25" s="21">
        <f t="shared" si="4"/>
        <v>503249.5</v>
      </c>
      <c r="N25" s="21">
        <f t="shared" si="5"/>
        <v>503250</v>
      </c>
    </row>
    <row r="26" spans="1:14" ht="57.6" customHeight="1" thickBot="1" x14ac:dyDescent="0.3">
      <c r="A26" s="30" t="s">
        <v>35</v>
      </c>
      <c r="B26" s="31">
        <v>1</v>
      </c>
      <c r="C26" s="36">
        <v>1023570</v>
      </c>
      <c r="D26" s="4">
        <v>513162</v>
      </c>
      <c r="E26" s="4">
        <v>544950</v>
      </c>
      <c r="F26" s="6">
        <f t="shared" si="0"/>
        <v>693894</v>
      </c>
      <c r="G26" s="4">
        <f t="shared" si="1"/>
        <v>693894</v>
      </c>
      <c r="H26" s="4">
        <f t="shared" si="2"/>
        <v>693894</v>
      </c>
      <c r="I26" s="16"/>
      <c r="J26" s="20">
        <f t="shared" si="3"/>
        <v>285949.85219090426</v>
      </c>
      <c r="K26" s="35" t="s">
        <v>44</v>
      </c>
      <c r="L26" s="13">
        <f>AVERAGE(E26,D26)</f>
        <v>529056</v>
      </c>
      <c r="M26" s="21">
        <f t="shared" si="4"/>
        <v>529056</v>
      </c>
      <c r="N26" s="21">
        <f t="shared" si="5"/>
        <v>529056</v>
      </c>
    </row>
    <row r="27" spans="1:14" ht="14.4" thickBot="1" x14ac:dyDescent="0.3">
      <c r="A27" s="25" t="s">
        <v>15</v>
      </c>
      <c r="B27" s="26">
        <f>COUNTIF(A7:A26,"*")</f>
        <v>20</v>
      </c>
      <c r="C27" s="27">
        <f>SUM(C7:C26)</f>
        <v>23190724.600000001</v>
      </c>
      <c r="D27" s="27">
        <f>SUM(D7:D26)</f>
        <v>18725286.420000002</v>
      </c>
      <c r="E27" s="27">
        <f>SUM(E7:E26)</f>
        <v>15126216.796666665</v>
      </c>
      <c r="F27" s="28">
        <f>SUM(F7:F26)</f>
        <v>19014075.938888889</v>
      </c>
      <c r="G27" s="27">
        <f t="shared" si="1"/>
        <v>19014076</v>
      </c>
      <c r="H27" s="29">
        <f>SUM(H7:H26)</f>
        <v>30181378</v>
      </c>
      <c r="I27" s="16"/>
      <c r="M27" s="22">
        <f>SUM(M7:M26)</f>
        <v>29947809.420000002</v>
      </c>
      <c r="N27" s="84">
        <f>SUM(N7:N26)</f>
        <v>29947811</v>
      </c>
    </row>
    <row r="28" spans="1:14" ht="15" customHeight="1" x14ac:dyDescent="0.25">
      <c r="A28" s="66" t="s">
        <v>16</v>
      </c>
      <c r="B28" s="66"/>
      <c r="C28" s="66"/>
      <c r="D28" s="66"/>
      <c r="E28" s="66"/>
      <c r="F28" s="66"/>
      <c r="G28" s="66"/>
      <c r="H28" s="66"/>
      <c r="I28" s="18"/>
    </row>
    <row r="29" spans="1:14" x14ac:dyDescent="0.25">
      <c r="A29" s="66"/>
      <c r="B29" s="66"/>
      <c r="C29" s="66"/>
      <c r="D29" s="66"/>
      <c r="E29" s="66"/>
      <c r="F29" s="66"/>
      <c r="G29" s="66"/>
      <c r="H29" s="66"/>
      <c r="I29" s="18"/>
    </row>
    <row r="30" spans="1:14" x14ac:dyDescent="0.25">
      <c r="A30" s="3" t="s">
        <v>37</v>
      </c>
    </row>
    <row r="31" spans="1:14" ht="14.25" customHeight="1" x14ac:dyDescent="0.25">
      <c r="A31" s="67" t="s">
        <v>18</v>
      </c>
      <c r="B31" s="67"/>
      <c r="C31" s="67"/>
    </row>
    <row r="32" spans="1:14" x14ac:dyDescent="0.25">
      <c r="A32" s="67"/>
      <c r="B32" s="67"/>
      <c r="C32" s="67"/>
      <c r="H32" s="19"/>
      <c r="I32" s="12"/>
      <c r="K32" s="3"/>
    </row>
    <row r="33" spans="1:11" ht="10.5" customHeight="1" x14ac:dyDescent="0.25">
      <c r="A33" s="67"/>
      <c r="B33" s="67"/>
      <c r="C33" s="67"/>
      <c r="H33" s="19"/>
      <c r="I33" s="12"/>
      <c r="K33" s="3"/>
    </row>
  </sheetData>
  <mergeCells count="18">
    <mergeCell ref="N4:N6"/>
    <mergeCell ref="K4:K6"/>
    <mergeCell ref="L4:L6"/>
    <mergeCell ref="M4:M6"/>
    <mergeCell ref="A28:H29"/>
    <mergeCell ref="A31:C33"/>
    <mergeCell ref="A4:A6"/>
    <mergeCell ref="B4:B6"/>
    <mergeCell ref="F4:F6"/>
    <mergeCell ref="G4:G6"/>
    <mergeCell ref="H4:H6"/>
    <mergeCell ref="J4:J6"/>
    <mergeCell ref="A1:B2"/>
    <mergeCell ref="C1:E2"/>
    <mergeCell ref="F1:H1"/>
    <mergeCell ref="F2:H2"/>
    <mergeCell ref="J2:M3"/>
    <mergeCell ref="B3:H3"/>
  </mergeCells>
  <hyperlinks>
    <hyperlink ref="A16" r:id="rId1" display="https://flourish.studio/pricing/" xr:uid="{6B21211D-A473-4904-9FED-BDB546736DC0}"/>
  </hyperlinks>
  <pageMargins left="0.25" right="0.25" top="0.75" bottom="0.75" header="0.3" footer="0.3"/>
  <pageSetup scale="44" fitToHeight="0" orientation="landscape" r:id="rId2"/>
  <ignoredErrors>
    <ignoredError sqref="F7 H25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7B0C4-4FBF-45D0-B5DB-21D7AE9CCF14}">
  <sheetPr>
    <pageSetUpPr fitToPage="1"/>
  </sheetPr>
  <dimension ref="A1:K33"/>
  <sheetViews>
    <sheetView view="pageBreakPreview" topLeftCell="A23" zoomScale="55" zoomScaleNormal="100" zoomScaleSheetLayoutView="55" workbookViewId="0">
      <selection activeCell="E22" sqref="E22"/>
    </sheetView>
  </sheetViews>
  <sheetFormatPr baseColWidth="10" defaultColWidth="11.44140625" defaultRowHeight="13.8" x14ac:dyDescent="0.25"/>
  <cols>
    <col min="1" max="1" width="40.109375" style="3" customWidth="1"/>
    <col min="2" max="2" width="10.33203125" style="5" customWidth="1"/>
    <col min="3" max="4" width="26" style="3" customWidth="1"/>
    <col min="5" max="5" width="25.88671875" style="3" customWidth="1"/>
    <col min="6" max="8" width="21.109375" style="3" customWidth="1"/>
    <col min="9" max="9" width="2.109375" style="19" customWidth="1"/>
    <col min="10" max="10" width="11.44140625" style="3"/>
    <col min="11" max="11" width="12.109375" style="3" bestFit="1" customWidth="1"/>
    <col min="12" max="16384" width="11.44140625" style="3"/>
  </cols>
  <sheetData>
    <row r="1" spans="1:11" s="1" customFormat="1" ht="26.25" customHeight="1" x14ac:dyDescent="0.3">
      <c r="A1" s="38"/>
      <c r="B1" s="39"/>
      <c r="C1" s="42" t="s">
        <v>0</v>
      </c>
      <c r="D1" s="43"/>
      <c r="E1" s="44"/>
      <c r="F1" s="48" t="s">
        <v>1</v>
      </c>
      <c r="G1" s="48"/>
      <c r="H1" s="49"/>
      <c r="I1" s="14"/>
    </row>
    <row r="2" spans="1:11" s="1" customFormat="1" ht="40.5" customHeight="1" x14ac:dyDescent="0.3">
      <c r="A2" s="40"/>
      <c r="B2" s="41"/>
      <c r="C2" s="45"/>
      <c r="D2" s="46"/>
      <c r="E2" s="47"/>
      <c r="F2" s="50" t="s">
        <v>2</v>
      </c>
      <c r="G2" s="50"/>
      <c r="H2" s="51"/>
      <c r="I2" s="14"/>
    </row>
    <row r="3" spans="1:11" s="1" customFormat="1" ht="48.75" customHeight="1" thickBot="1" x14ac:dyDescent="0.35">
      <c r="A3" s="23" t="s">
        <v>4</v>
      </c>
      <c r="B3" s="58" t="s">
        <v>19</v>
      </c>
      <c r="C3" s="58"/>
      <c r="D3" s="58"/>
      <c r="E3" s="58"/>
      <c r="F3" s="58"/>
      <c r="G3" s="58"/>
      <c r="H3" s="59"/>
      <c r="I3" s="15"/>
    </row>
    <row r="4" spans="1:11" s="2" customFormat="1" ht="33.75" customHeight="1" thickBot="1" x14ac:dyDescent="0.35">
      <c r="A4" s="68" t="s">
        <v>5</v>
      </c>
      <c r="B4" s="71" t="s">
        <v>6</v>
      </c>
      <c r="C4" s="8" t="s">
        <v>42</v>
      </c>
      <c r="D4" s="7" t="s">
        <v>43</v>
      </c>
      <c r="E4" s="7" t="s">
        <v>36</v>
      </c>
      <c r="F4" s="74" t="s">
        <v>7</v>
      </c>
      <c r="G4" s="77" t="s">
        <v>8</v>
      </c>
      <c r="H4" s="79" t="s">
        <v>9</v>
      </c>
      <c r="I4" s="17"/>
    </row>
    <row r="5" spans="1:11" s="2" customFormat="1" ht="42.75" customHeight="1" thickBot="1" x14ac:dyDescent="0.35">
      <c r="A5" s="69"/>
      <c r="B5" s="72"/>
      <c r="C5" s="10">
        <v>46087</v>
      </c>
      <c r="D5" s="9">
        <v>46087</v>
      </c>
      <c r="E5" s="9">
        <v>46085</v>
      </c>
      <c r="F5" s="75"/>
      <c r="G5" s="78"/>
      <c r="H5" s="80"/>
      <c r="I5" s="17"/>
    </row>
    <row r="6" spans="1:11" s="2" customFormat="1" ht="15.9" customHeight="1" x14ac:dyDescent="0.3">
      <c r="A6" s="70"/>
      <c r="B6" s="73"/>
      <c r="C6" s="24" t="s">
        <v>14</v>
      </c>
      <c r="D6" s="24" t="s">
        <v>14</v>
      </c>
      <c r="E6" s="24" t="s">
        <v>14</v>
      </c>
      <c r="F6" s="76"/>
      <c r="G6" s="73"/>
      <c r="H6" s="81"/>
      <c r="I6" s="17"/>
    </row>
    <row r="7" spans="1:11" ht="28.5" customHeight="1" x14ac:dyDescent="0.25">
      <c r="A7" s="30" t="s">
        <v>20</v>
      </c>
      <c r="B7" s="31">
        <v>1</v>
      </c>
      <c r="C7" s="4">
        <v>3616614</v>
      </c>
      <c r="D7" s="4">
        <v>3204676.8</v>
      </c>
      <c r="E7" s="4">
        <f>190266.4*12</f>
        <v>2283196.7999999998</v>
      </c>
      <c r="F7" s="6">
        <f>(C7+D7+E7)/3</f>
        <v>3034829.1999999997</v>
      </c>
      <c r="G7" s="4">
        <f>ROUNDUP(F7,0)</f>
        <v>3034830</v>
      </c>
      <c r="H7" s="4">
        <f>G7*B7</f>
        <v>3034830</v>
      </c>
      <c r="I7" s="16"/>
      <c r="K7" s="32"/>
    </row>
    <row r="8" spans="1:11" ht="28.5" customHeight="1" x14ac:dyDescent="0.25">
      <c r="A8" s="30" t="s">
        <v>21</v>
      </c>
      <c r="B8" s="31">
        <v>1</v>
      </c>
      <c r="C8" s="4">
        <v>9212130</v>
      </c>
      <c r="D8" s="4">
        <v>9713798.6400000006</v>
      </c>
      <c r="E8" s="4">
        <f>254134.13*12</f>
        <v>3049609.56</v>
      </c>
      <c r="F8" s="6">
        <f t="shared" ref="F8:F26" si="0">(C8+D8+E8)/3</f>
        <v>7325179.3999999994</v>
      </c>
      <c r="G8" s="4">
        <f t="shared" ref="G8:G26" si="1">ROUNDUP(F8,0)</f>
        <v>7325180</v>
      </c>
      <c r="H8" s="4">
        <f t="shared" ref="H8:H26" si="2">G8*B8</f>
        <v>7325180</v>
      </c>
      <c r="I8" s="16"/>
    </row>
    <row r="9" spans="1:11" ht="28.5" customHeight="1" x14ac:dyDescent="0.25">
      <c r="A9" s="30" t="s">
        <v>38</v>
      </c>
      <c r="B9" s="31">
        <v>1</v>
      </c>
      <c r="C9" s="4">
        <v>1194165</v>
      </c>
      <c r="D9" s="4">
        <v>334152</v>
      </c>
      <c r="E9" s="4">
        <f>20900*12</f>
        <v>250800</v>
      </c>
      <c r="F9" s="6">
        <f t="shared" si="0"/>
        <v>593039</v>
      </c>
      <c r="G9" s="4">
        <f t="shared" si="1"/>
        <v>593039</v>
      </c>
      <c r="H9" s="4">
        <f t="shared" si="2"/>
        <v>593039</v>
      </c>
      <c r="I9" s="16"/>
    </row>
    <row r="10" spans="1:11" ht="28.5" customHeight="1" x14ac:dyDescent="0.25">
      <c r="A10" s="30" t="s">
        <v>39</v>
      </c>
      <c r="B10" s="31">
        <v>1</v>
      </c>
      <c r="C10" s="4">
        <v>3411900</v>
      </c>
      <c r="D10" s="4">
        <v>636480</v>
      </c>
      <c r="E10" s="4">
        <f>92000*12</f>
        <v>1104000</v>
      </c>
      <c r="F10" s="6">
        <f t="shared" si="0"/>
        <v>1717460</v>
      </c>
      <c r="G10" s="4">
        <f t="shared" si="1"/>
        <v>1717460</v>
      </c>
      <c r="H10" s="4">
        <f t="shared" si="2"/>
        <v>1717460</v>
      </c>
      <c r="I10" s="16"/>
    </row>
    <row r="11" spans="1:11" ht="28.5" customHeight="1" x14ac:dyDescent="0.25">
      <c r="A11" s="30" t="s">
        <v>22</v>
      </c>
      <c r="B11" s="31">
        <v>1</v>
      </c>
      <c r="C11" s="4">
        <v>1705950</v>
      </c>
      <c r="D11" s="4">
        <v>3250026</v>
      </c>
      <c r="E11" s="4">
        <f>109183.55*12</f>
        <v>1310202.6000000001</v>
      </c>
      <c r="F11" s="6">
        <f t="shared" si="0"/>
        <v>2088726.2</v>
      </c>
      <c r="G11" s="4">
        <f t="shared" si="1"/>
        <v>2088727</v>
      </c>
      <c r="H11" s="4">
        <f t="shared" si="2"/>
        <v>2088727</v>
      </c>
      <c r="I11" s="16"/>
    </row>
    <row r="12" spans="1:11" ht="28.5" customHeight="1" x14ac:dyDescent="0.25">
      <c r="A12" s="30" t="s">
        <v>23</v>
      </c>
      <c r="B12" s="31">
        <v>1</v>
      </c>
      <c r="C12" s="4">
        <v>3070710</v>
      </c>
      <c r="D12" s="4">
        <v>1511640</v>
      </c>
      <c r="E12" s="4">
        <f>94086.1*12</f>
        <v>1129033.2000000002</v>
      </c>
      <c r="F12" s="6">
        <f t="shared" si="0"/>
        <v>1903794.4000000001</v>
      </c>
      <c r="G12" s="4">
        <f t="shared" si="1"/>
        <v>1903795</v>
      </c>
      <c r="H12" s="4">
        <f t="shared" si="2"/>
        <v>1903795</v>
      </c>
      <c r="I12" s="16"/>
    </row>
    <row r="13" spans="1:11" ht="28.5" customHeight="1" x14ac:dyDescent="0.25">
      <c r="A13" s="30" t="s">
        <v>24</v>
      </c>
      <c r="B13" s="31">
        <v>1</v>
      </c>
      <c r="C13" s="4">
        <v>1137300</v>
      </c>
      <c r="D13" s="4">
        <v>2176761</v>
      </c>
      <c r="E13" s="4">
        <f>135500.55*12</f>
        <v>1626006.5999999999</v>
      </c>
      <c r="F13" s="6">
        <f t="shared" si="0"/>
        <v>1646689.2</v>
      </c>
      <c r="G13" s="4">
        <f t="shared" si="1"/>
        <v>1646690</v>
      </c>
      <c r="H13" s="4">
        <f t="shared" si="2"/>
        <v>1646690</v>
      </c>
      <c r="I13" s="16"/>
    </row>
    <row r="14" spans="1:11" ht="28.5" customHeight="1" x14ac:dyDescent="0.25">
      <c r="A14" s="34" t="s">
        <v>40</v>
      </c>
      <c r="B14" s="31">
        <v>1</v>
      </c>
      <c r="C14" s="4">
        <v>2274600</v>
      </c>
      <c r="D14" s="4">
        <v>725587.2</v>
      </c>
      <c r="E14" s="4">
        <f>71534.05*12</f>
        <v>858408.60000000009</v>
      </c>
      <c r="F14" s="6">
        <f t="shared" si="0"/>
        <v>1286198.6000000001</v>
      </c>
      <c r="G14" s="4">
        <f t="shared" si="1"/>
        <v>1286199</v>
      </c>
      <c r="H14" s="4">
        <f t="shared" si="2"/>
        <v>1286199</v>
      </c>
      <c r="I14" s="16"/>
    </row>
    <row r="15" spans="1:11" ht="28.5" customHeight="1" x14ac:dyDescent="0.25">
      <c r="A15" s="30" t="s">
        <v>25</v>
      </c>
      <c r="B15" s="31">
        <v>1</v>
      </c>
      <c r="C15" s="4">
        <v>454920</v>
      </c>
      <c r="D15" s="4">
        <v>1209312</v>
      </c>
      <c r="E15" s="4">
        <f>20900*12</f>
        <v>250800</v>
      </c>
      <c r="F15" s="6">
        <f t="shared" si="0"/>
        <v>638344</v>
      </c>
      <c r="G15" s="4">
        <f t="shared" si="1"/>
        <v>638344</v>
      </c>
      <c r="H15" s="4">
        <f t="shared" si="2"/>
        <v>638344</v>
      </c>
      <c r="I15" s="16"/>
    </row>
    <row r="16" spans="1:11" ht="28.5" customHeight="1" x14ac:dyDescent="0.25">
      <c r="A16" s="30" t="s">
        <v>41</v>
      </c>
      <c r="B16" s="31">
        <v>1</v>
      </c>
      <c r="C16" s="4"/>
      <c r="D16" s="4"/>
      <c r="E16" s="4">
        <f>259781.55*12</f>
        <v>3117378.5999999996</v>
      </c>
      <c r="F16" s="6">
        <f t="shared" si="0"/>
        <v>1039126.1999999998</v>
      </c>
      <c r="G16" s="4">
        <f t="shared" si="1"/>
        <v>1039127</v>
      </c>
      <c r="H16" s="4">
        <f t="shared" si="2"/>
        <v>1039127</v>
      </c>
      <c r="I16" s="16"/>
    </row>
    <row r="17" spans="1:9" ht="28.5" customHeight="1" x14ac:dyDescent="0.25">
      <c r="A17" s="30" t="s">
        <v>26</v>
      </c>
      <c r="B17" s="31">
        <v>1</v>
      </c>
      <c r="C17" s="4">
        <v>454920</v>
      </c>
      <c r="D17" s="4">
        <v>365976</v>
      </c>
      <c r="E17" s="4">
        <v>478751</v>
      </c>
      <c r="F17" s="6">
        <f t="shared" si="0"/>
        <v>433215.66666666669</v>
      </c>
      <c r="G17" s="4">
        <f t="shared" si="1"/>
        <v>433216</v>
      </c>
      <c r="H17" s="4">
        <f t="shared" si="2"/>
        <v>433216</v>
      </c>
      <c r="I17" s="16"/>
    </row>
    <row r="18" spans="1:9" ht="28.5" customHeight="1" x14ac:dyDescent="0.25">
      <c r="A18" s="30" t="s">
        <v>27</v>
      </c>
      <c r="B18" s="31">
        <v>1</v>
      </c>
      <c r="C18" s="4">
        <v>608456</v>
      </c>
      <c r="D18" s="4">
        <v>262548</v>
      </c>
      <c r="E18" s="4">
        <v>461324</v>
      </c>
      <c r="F18" s="6">
        <f t="shared" si="0"/>
        <v>444109.33333333331</v>
      </c>
      <c r="G18" s="4">
        <f t="shared" si="1"/>
        <v>444110</v>
      </c>
      <c r="H18" s="4">
        <f t="shared" si="2"/>
        <v>444110</v>
      </c>
      <c r="I18" s="16"/>
    </row>
    <row r="19" spans="1:9" ht="28.5" customHeight="1" x14ac:dyDescent="0.25">
      <c r="A19" s="30" t="s">
        <v>28</v>
      </c>
      <c r="B19" s="31">
        <v>1</v>
      </c>
      <c r="C19" s="4">
        <v>597083</v>
      </c>
      <c r="D19" s="4">
        <v>408408</v>
      </c>
      <c r="E19" s="4">
        <v>458581</v>
      </c>
      <c r="F19" s="6">
        <f t="shared" si="0"/>
        <v>488024</v>
      </c>
      <c r="G19" s="4">
        <f t="shared" si="1"/>
        <v>488024</v>
      </c>
      <c r="H19" s="4">
        <f t="shared" si="2"/>
        <v>488024</v>
      </c>
      <c r="I19" s="16"/>
    </row>
    <row r="20" spans="1:9" ht="28.5" customHeight="1" x14ac:dyDescent="0.25">
      <c r="A20" s="30" t="s">
        <v>29</v>
      </c>
      <c r="B20" s="31">
        <v>1</v>
      </c>
      <c r="C20" s="4">
        <v>454920</v>
      </c>
      <c r="D20" s="4">
        <v>1209312</v>
      </c>
      <c r="E20" s="4">
        <v>562958</v>
      </c>
      <c r="F20" s="6">
        <f t="shared" si="0"/>
        <v>742396.66666666663</v>
      </c>
      <c r="G20" s="4">
        <f t="shared" si="1"/>
        <v>742397</v>
      </c>
      <c r="H20" s="4">
        <f t="shared" si="2"/>
        <v>742397</v>
      </c>
      <c r="I20" s="16"/>
    </row>
    <row r="21" spans="1:9" ht="28.5" customHeight="1" x14ac:dyDescent="0.25">
      <c r="A21" s="30" t="s">
        <v>30</v>
      </c>
      <c r="B21" s="31">
        <v>1</v>
      </c>
      <c r="C21" s="4">
        <v>454920</v>
      </c>
      <c r="D21" s="4">
        <v>265200</v>
      </c>
      <c r="E21" s="4">
        <v>515136</v>
      </c>
      <c r="F21" s="6">
        <f t="shared" si="0"/>
        <v>411752</v>
      </c>
      <c r="G21" s="4">
        <f t="shared" si="1"/>
        <v>411752</v>
      </c>
      <c r="H21" s="4">
        <f t="shared" si="2"/>
        <v>411752</v>
      </c>
      <c r="I21" s="16"/>
    </row>
    <row r="22" spans="1:9" ht="28.5" customHeight="1" x14ac:dyDescent="0.25">
      <c r="A22" s="30" t="s">
        <v>31</v>
      </c>
      <c r="B22" s="31">
        <v>1</v>
      </c>
      <c r="C22" s="4">
        <v>13647600</v>
      </c>
      <c r="D22" s="4">
        <v>12093120</v>
      </c>
      <c r="E22" s="4">
        <v>10182980</v>
      </c>
      <c r="F22" s="6">
        <f t="shared" si="0"/>
        <v>11974566.666666666</v>
      </c>
      <c r="G22" s="4">
        <f t="shared" si="1"/>
        <v>11974567</v>
      </c>
      <c r="H22" s="4">
        <f t="shared" si="2"/>
        <v>11974567</v>
      </c>
      <c r="I22" s="16"/>
    </row>
    <row r="23" spans="1:9" ht="28.5" customHeight="1" x14ac:dyDescent="0.25">
      <c r="A23" s="30" t="s">
        <v>32</v>
      </c>
      <c r="B23" s="31">
        <v>1</v>
      </c>
      <c r="C23" s="4">
        <v>170595</v>
      </c>
      <c r="D23" s="4">
        <v>350064</v>
      </c>
      <c r="E23" s="4">
        <v>476340</v>
      </c>
      <c r="F23" s="6">
        <f t="shared" si="0"/>
        <v>332333</v>
      </c>
      <c r="G23" s="4">
        <f t="shared" si="1"/>
        <v>332333</v>
      </c>
      <c r="H23" s="4">
        <f t="shared" si="2"/>
        <v>332333</v>
      </c>
      <c r="I23" s="16"/>
    </row>
    <row r="24" spans="1:9" ht="28.5" customHeight="1" x14ac:dyDescent="0.25">
      <c r="A24" s="30" t="s">
        <v>33</v>
      </c>
      <c r="B24" s="31">
        <v>1</v>
      </c>
      <c r="C24" s="4">
        <v>227460</v>
      </c>
      <c r="D24" s="4">
        <v>159120</v>
      </c>
      <c r="E24" s="4">
        <v>307581</v>
      </c>
      <c r="F24" s="6">
        <f t="shared" si="0"/>
        <v>231387</v>
      </c>
      <c r="G24" s="4">
        <f t="shared" si="1"/>
        <v>231387</v>
      </c>
      <c r="H24" s="4">
        <f t="shared" si="2"/>
        <v>231387</v>
      </c>
      <c r="I24" s="16"/>
    </row>
    <row r="25" spans="1:9" ht="28.5" customHeight="1" x14ac:dyDescent="0.25">
      <c r="A25" s="30" t="s">
        <v>34</v>
      </c>
      <c r="B25" s="31">
        <v>1</v>
      </c>
      <c r="C25" s="4">
        <v>625515</v>
      </c>
      <c r="D25" s="4">
        <v>145860</v>
      </c>
      <c r="E25" s="4">
        <v>380984</v>
      </c>
      <c r="F25" s="6">
        <f t="shared" si="0"/>
        <v>384119.66666666669</v>
      </c>
      <c r="G25" s="4">
        <f t="shared" si="1"/>
        <v>384120</v>
      </c>
      <c r="H25" s="4">
        <f t="shared" si="2"/>
        <v>384120</v>
      </c>
      <c r="I25" s="16"/>
    </row>
    <row r="26" spans="1:9" ht="28.5" customHeight="1" x14ac:dyDescent="0.25">
      <c r="A26" s="30" t="s">
        <v>35</v>
      </c>
      <c r="B26" s="31">
        <v>1</v>
      </c>
      <c r="C26" s="4">
        <v>1023570</v>
      </c>
      <c r="D26" s="4">
        <v>513162</v>
      </c>
      <c r="E26" s="4">
        <v>544950</v>
      </c>
      <c r="F26" s="6">
        <f t="shared" si="0"/>
        <v>693894</v>
      </c>
      <c r="G26" s="4">
        <f t="shared" si="1"/>
        <v>693894</v>
      </c>
      <c r="H26" s="4">
        <f t="shared" si="2"/>
        <v>693894</v>
      </c>
      <c r="I26" s="16"/>
    </row>
    <row r="27" spans="1:9" ht="14.4" thickBot="1" x14ac:dyDescent="0.3">
      <c r="A27" s="25" t="s">
        <v>15</v>
      </c>
      <c r="B27" s="26">
        <f>COUNTIF(A7:A26,"*")</f>
        <v>20</v>
      </c>
      <c r="C27" s="27">
        <f>SUM(C7:C26)</f>
        <v>44343328</v>
      </c>
      <c r="D27" s="27">
        <f>SUM(D7:D26)</f>
        <v>38535203.640000001</v>
      </c>
      <c r="E27" s="27">
        <f>SUM(E7:E26)</f>
        <v>29349020.960000001</v>
      </c>
      <c r="F27" s="28">
        <f>SUM(F7:F26)</f>
        <v>37409184.199999996</v>
      </c>
      <c r="G27" s="27">
        <f t="shared" ref="G27" si="3">ROUNDUP(F27,0)</f>
        <v>37409185</v>
      </c>
      <c r="H27" s="29">
        <f>SUM(H7:H26)</f>
        <v>37409191</v>
      </c>
      <c r="I27" s="16"/>
    </row>
    <row r="28" spans="1:9" ht="15" customHeight="1" x14ac:dyDescent="0.25">
      <c r="A28" s="66" t="s">
        <v>16</v>
      </c>
      <c r="B28" s="66"/>
      <c r="C28" s="66"/>
      <c r="D28" s="66"/>
      <c r="E28" s="66"/>
      <c r="F28" s="66"/>
      <c r="G28" s="66"/>
      <c r="H28" s="66"/>
      <c r="I28" s="18"/>
    </row>
    <row r="29" spans="1:9" x14ac:dyDescent="0.25">
      <c r="A29" s="66"/>
      <c r="B29" s="66"/>
      <c r="C29" s="66"/>
      <c r="D29" s="66"/>
      <c r="E29" s="66"/>
      <c r="F29" s="66"/>
      <c r="G29" s="66"/>
      <c r="H29" s="66"/>
      <c r="I29" s="18"/>
    </row>
    <row r="30" spans="1:9" x14ac:dyDescent="0.25">
      <c r="A30" s="3" t="s">
        <v>37</v>
      </c>
    </row>
    <row r="31" spans="1:9" ht="14.25" customHeight="1" x14ac:dyDescent="0.25">
      <c r="A31" s="67" t="s">
        <v>18</v>
      </c>
      <c r="B31" s="67"/>
      <c r="C31" s="67"/>
    </row>
    <row r="32" spans="1:9" x14ac:dyDescent="0.25">
      <c r="A32" s="67"/>
      <c r="B32" s="67"/>
      <c r="C32" s="67"/>
      <c r="H32" s="19"/>
      <c r="I32" s="12"/>
    </row>
    <row r="33" spans="1:9" ht="10.5" customHeight="1" x14ac:dyDescent="0.25">
      <c r="A33" s="67"/>
      <c r="B33" s="67"/>
      <c r="C33" s="67"/>
      <c r="H33" s="19"/>
      <c r="I33" s="12"/>
    </row>
  </sheetData>
  <mergeCells count="12">
    <mergeCell ref="H4:H6"/>
    <mergeCell ref="A31:C33"/>
    <mergeCell ref="A1:B2"/>
    <mergeCell ref="C1:E2"/>
    <mergeCell ref="F1:H1"/>
    <mergeCell ref="F2:H2"/>
    <mergeCell ref="B3:H3"/>
    <mergeCell ref="A28:H29"/>
    <mergeCell ref="A4:A6"/>
    <mergeCell ref="B4:B6"/>
    <mergeCell ref="F4:F6"/>
    <mergeCell ref="G4:G6"/>
  </mergeCells>
  <hyperlinks>
    <hyperlink ref="A16" r:id="rId1" display="https://flourish.studio/pricing/" xr:uid="{E98E8FB8-8BF4-4054-9D9E-04867BA3B8EE}"/>
  </hyperlinks>
  <pageMargins left="0.25" right="0.25" top="0.75" bottom="0.75" header="0.3" footer="0.3"/>
  <pageSetup scale="69" fitToHeight="0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34a48-db25-49cb-b1d9-b9efed32be13">
      <Terms xmlns="http://schemas.microsoft.com/office/infopath/2007/PartnerControls"/>
    </lcf76f155ced4ddcb4097134ff3c332f>
    <TaxCatchAll xmlns="3b6aaf56-0f6d-4173-9505-853e30c362c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4087A1AD71548A52CFE275E0781A2" ma:contentTypeVersion="13" ma:contentTypeDescription="Crear nuevo documento." ma:contentTypeScope="" ma:versionID="84b6eca063b4f00375500a6013993afd">
  <xsd:schema xmlns:xsd="http://www.w3.org/2001/XMLSchema" xmlns:xs="http://www.w3.org/2001/XMLSchema" xmlns:p="http://schemas.microsoft.com/office/2006/metadata/properties" xmlns:ns2="3b6aaf56-0f6d-4173-9505-853e30c362c5" xmlns:ns3="88734a48-db25-49cb-b1d9-b9efed32be13" targetNamespace="http://schemas.microsoft.com/office/2006/metadata/properties" ma:root="true" ma:fieldsID="a6ce6b31990eba792690ae6950fa220d" ns2:_="" ns3:_="">
    <xsd:import namespace="3b6aaf56-0f6d-4173-9505-853e30c362c5"/>
    <xsd:import namespace="88734a48-db25-49cb-b1d9-b9efed32be1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aaf56-0f6d-4173-9505-853e30c362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8c57e84-0fbc-4995-9801-a88928668ae1}" ma:internalName="TaxCatchAll" ma:showField="CatchAllData" ma:web="3b6aaf56-0f6d-4173-9505-853e30c36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34a48-db25-49cb-b1d9-b9efed32b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4F6EB1-A5C0-4789-A68D-36B648F8FC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F128F5-58A8-426B-9FE5-9228DDA29FE8}">
  <ds:schemaRefs>
    <ds:schemaRef ds:uri="http://schemas.microsoft.com/office/2006/metadata/properties"/>
    <ds:schemaRef ds:uri="http://schemas.microsoft.com/office/infopath/2007/PartnerControls"/>
    <ds:schemaRef ds:uri="88734a48-db25-49cb-b1d9-b9efed32be13"/>
    <ds:schemaRef ds:uri="3b6aaf56-0f6d-4173-9505-853e30c362c5"/>
  </ds:schemaRefs>
</ds:datastoreItem>
</file>

<file path=customXml/itemProps3.xml><?xml version="1.0" encoding="utf-8"?>
<ds:datastoreItem xmlns:ds="http://schemas.openxmlformats.org/officeDocument/2006/customXml" ds:itemID="{4F7B5D38-C6F1-4290-9B99-BFC22EA98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6aaf56-0f6d-4173-9505-853e30c362c5"/>
    <ds:schemaRef ds:uri="88734a48-db25-49cb-b1d9-b9efed32be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CANTIDADES MINIMAS</vt:lpstr>
      <vt:lpstr>CANTIDADES MAXIMAS</vt:lpstr>
      <vt:lpstr>'CANTIDADES MAXIMAS'!Área_de_impresión</vt:lpstr>
      <vt:lpstr>'CANTIDADES MINIMAS'!Área_de_impresión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Sandra Patricia Vargas Valencia</cp:lastModifiedBy>
  <cp:revision/>
  <dcterms:created xsi:type="dcterms:W3CDTF">2019-10-30T15:43:12Z</dcterms:created>
  <dcterms:modified xsi:type="dcterms:W3CDTF">2026-03-20T21:41:05Z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0x0101003B64087A1AD71548A52CFE275E0781A2</vt:lpwstr>
  </property>
</Properties>
</file>