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D:\DIRECCIÓN CONTRACTUAL\1 CONTRACTUAL\PROCESOS 2026\PROCESOS 2026\SISTEMA DE CLIMATIZACIÓN\DOCUMENTOS PARA PUBLICAR\DOCUMENTOS SUBSANADOS PARA PUBLICAR\"/>
    </mc:Choice>
  </mc:AlternateContent>
  <xr:revisionPtr revIDLastSave="0" documentId="13_ncr:1_{48F242B1-A28A-4FFC-AC76-E7AC9C80B3AB}" xr6:coauthVersionLast="47" xr6:coauthVersionMax="47" xr10:uidLastSave="{00000000-0000-0000-0000-000000000000}"/>
  <bookViews>
    <workbookView xWindow="-120" yWindow="-120" windowWidth="29040" windowHeight="15720" tabRatio="986" activeTab="6" xr2:uid="{00000000-000D-0000-FFFF-FFFF00000000}"/>
  </bookViews>
  <sheets>
    <sheet name="AU  Consul P2" sheetId="25" r:id="rId1"/>
    <sheet name="Pólizas" sheetId="162" state="hidden" r:id="rId2"/>
    <sheet name="COSTO PERSONAL" sheetId="163" r:id="rId3"/>
    <sheet name="Insumos" sheetId="161" r:id="rId4"/>
    <sheet name="PRESUPUESTO OFICIAL 2026" sheetId="158" r:id="rId5"/>
    <sheet name="PRESUPUESTO OFICIAL 2026 TH" sheetId="261" r:id="rId6"/>
    <sheet name="PRESUPUESTO OFICIAL 2026 SALUD" sheetId="262" r:id="rId7"/>
    <sheet name="andamios" sheetId="225" state="hidden" r:id="rId8"/>
    <sheet name="APU 1,1" sheetId="165" r:id="rId9"/>
    <sheet name="APU 1,2" sheetId="166" r:id="rId10"/>
    <sheet name="APU 1,3" sheetId="167" r:id="rId11"/>
    <sheet name="APU 1,4" sheetId="168" r:id="rId12"/>
    <sheet name="APU 1,5" sheetId="169" r:id="rId13"/>
    <sheet name="APU 1,6" sheetId="170" r:id="rId14"/>
    <sheet name="APU 1,7" sheetId="171" r:id="rId15"/>
    <sheet name="APU 1,8" sheetId="172" r:id="rId16"/>
    <sheet name="APU 1,9" sheetId="173" r:id="rId17"/>
    <sheet name="APU 1.10" sheetId="237" r:id="rId18"/>
    <sheet name="APU 1,11" sheetId="248" r:id="rId19"/>
    <sheet name="APU 1,12.1" sheetId="263" r:id="rId20"/>
    <sheet name="APU 1,13" sheetId="255" r:id="rId21"/>
    <sheet name="APU 2,1" sheetId="174" r:id="rId22"/>
    <sheet name="APU 2,2" sheetId="175" r:id="rId23"/>
    <sheet name="APU 3,1" sheetId="226" r:id="rId24"/>
    <sheet name="APU 3,2" sheetId="227" r:id="rId25"/>
    <sheet name="APU 3,3" sheetId="228" r:id="rId26"/>
    <sheet name="APU 3,4" sheetId="229" r:id="rId27"/>
    <sheet name="APU 3,5" sheetId="259" r:id="rId28"/>
    <sheet name="APU 3,6" sheetId="260" r:id="rId29"/>
    <sheet name="APU 4.1" sheetId="241" state="hidden" r:id="rId30"/>
    <sheet name="APU 4.2" sheetId="242" state="hidden" r:id="rId31"/>
    <sheet name="APU 4.1." sheetId="245" r:id="rId32"/>
    <sheet name="APU 4.2." sheetId="246" r:id="rId33"/>
    <sheet name="APU 4.5" sheetId="247" state="hidden" r:id="rId34"/>
    <sheet name="APU 4.3." sheetId="249" r:id="rId35"/>
    <sheet name="APU 4.4." sheetId="250" r:id="rId36"/>
    <sheet name="APU 4.5. " sheetId="251" r:id="rId37"/>
    <sheet name="APU 4.6." sheetId="253" r:id="rId38"/>
    <sheet name="APU 4.7." sheetId="254" r:id="rId39"/>
    <sheet name="ESTRUCTURA APU" sheetId="56" state="hidden" r:id="rId40"/>
    <sheet name="Hoja1" sheetId="157" state="hidden" r:id="rId41"/>
    <sheet name="APU 4.8." sheetId="256" r:id="rId42"/>
    <sheet name="APU 4.9." sheetId="257" r:id="rId43"/>
  </sheets>
  <definedNames>
    <definedName name="_xlnm.Print_Area" localSheetId="0">'AU  Consul P2'!$A$1:$I$31</definedName>
    <definedName name="_xlnm.Print_Area" localSheetId="6">'PRESUPUESTO OFICIAL 2026 SALUD'!$B$1:$L$61</definedName>
    <definedName name="_xlnm.Print_Area" localSheetId="5">'PRESUPUESTO OFICIAL 2026 TH'!$B$1:$L$61</definedName>
    <definedName name="Print_Area" localSheetId="39">'ESTRUCTURA APU'!$A$1:$G$37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3" i="158" l="1"/>
  <c r="L53" i="158"/>
  <c r="J19" i="158" l="1"/>
  <c r="I19" i="158"/>
  <c r="J20" i="158"/>
  <c r="L54" i="158"/>
  <c r="K22" i="261"/>
  <c r="L22" i="261"/>
  <c r="K22" i="262"/>
  <c r="L22" i="262" s="1"/>
  <c r="S7" i="25" l="1"/>
  <c r="S8" i="25"/>
  <c r="F25" i="173" l="1"/>
  <c r="F24" i="173"/>
  <c r="S4" i="25"/>
  <c r="S5" i="25"/>
  <c r="S6" i="25"/>
  <c r="A43" i="263"/>
  <c r="F11" i="245"/>
  <c r="S16" i="25" l="1"/>
  <c r="F16" i="173" l="1"/>
  <c r="I18" i="158"/>
  <c r="L14" i="227" l="1"/>
  <c r="D27" i="257" l="1"/>
  <c r="F27" i="257" s="1"/>
  <c r="D27" i="254"/>
  <c r="F27" i="254" s="1"/>
  <c r="D27" i="253"/>
  <c r="F27" i="253" s="1"/>
  <c r="D27" i="250"/>
  <c r="F27" i="250" s="1"/>
  <c r="D27" i="249"/>
  <c r="F27" i="249" s="1"/>
  <c r="K46" i="165"/>
  <c r="K44" i="165"/>
  <c r="K45" i="165"/>
  <c r="D17" i="251"/>
  <c r="D29" i="226"/>
  <c r="D30" i="255"/>
  <c r="D30" i="263"/>
  <c r="D30" i="248"/>
  <c r="D29" i="237"/>
  <c r="D30" i="171"/>
  <c r="D30" i="170"/>
  <c r="D28" i="169"/>
  <c r="D29" i="168"/>
  <c r="D29" i="167"/>
  <c r="D30" i="166"/>
  <c r="K47" i="165" l="1"/>
  <c r="D29" i="165"/>
  <c r="D29" i="166" l="1"/>
  <c r="D28" i="167" s="1"/>
  <c r="D28" i="168" s="1"/>
  <c r="D27" i="245"/>
  <c r="D26" i="174"/>
  <c r="D28" i="237"/>
  <c r="D29" i="263"/>
  <c r="D29" i="171"/>
  <c r="D29" i="248"/>
  <c r="D29" i="170"/>
  <c r="J49" i="158"/>
  <c r="C7" i="162"/>
  <c r="S7" i="162" s="1"/>
  <c r="V5" i="163"/>
  <c r="Z5" i="163"/>
  <c r="A42" i="229"/>
  <c r="A42" i="237"/>
  <c r="L53" i="262"/>
  <c r="B5" i="263"/>
  <c r="G40" i="263"/>
  <c r="F32" i="263"/>
  <c r="F31" i="263"/>
  <c r="F30" i="263"/>
  <c r="F29" i="263"/>
  <c r="F28" i="263"/>
  <c r="F27" i="263"/>
  <c r="F26" i="263"/>
  <c r="F22" i="263"/>
  <c r="F21" i="263"/>
  <c r="F20" i="263"/>
  <c r="F19" i="263"/>
  <c r="F18" i="263"/>
  <c r="E17" i="263"/>
  <c r="F17" i="263" s="1"/>
  <c r="G5" i="263"/>
  <c r="A4" i="263"/>
  <c r="A3" i="263"/>
  <c r="I23" i="158"/>
  <c r="K7" i="162" l="1"/>
  <c r="G33" i="263"/>
  <c r="G23" i="263"/>
  <c r="K5" i="163" l="1"/>
  <c r="D77" i="163"/>
  <c r="F77" i="163"/>
  <c r="D76" i="163"/>
  <c r="F76" i="163"/>
  <c r="F94" i="163"/>
  <c r="I5" i="163"/>
  <c r="C11" i="163"/>
  <c r="C10" i="163"/>
  <c r="J28" i="158"/>
  <c r="J11" i="158"/>
  <c r="I11" i="158"/>
  <c r="I10" i="158"/>
  <c r="J35" i="158"/>
  <c r="J27" i="158"/>
  <c r="J24" i="158"/>
  <c r="J21" i="158"/>
  <c r="L10" i="262"/>
  <c r="L11" i="261"/>
  <c r="J15" i="158"/>
  <c r="J53" i="158"/>
  <c r="J40" i="158"/>
  <c r="J41" i="158"/>
  <c r="J42" i="158"/>
  <c r="J43" i="158"/>
  <c r="J44" i="158"/>
  <c r="J45" i="158"/>
  <c r="J46" i="158"/>
  <c r="J47" i="158"/>
  <c r="J48" i="158"/>
  <c r="J50" i="158"/>
  <c r="J39" i="158"/>
  <c r="J32" i="158"/>
  <c r="J33" i="158"/>
  <c r="J34" i="158"/>
  <c r="J36" i="158"/>
  <c r="J31" i="158"/>
  <c r="J12" i="158"/>
  <c r="J13" i="158"/>
  <c r="J14" i="158"/>
  <c r="J16" i="158"/>
  <c r="J17" i="158"/>
  <c r="J18" i="158"/>
  <c r="D94" i="163" l="1"/>
  <c r="I12" i="158"/>
  <c r="I40" i="158"/>
  <c r="I41" i="158"/>
  <c r="I42" i="158"/>
  <c r="I43" i="158"/>
  <c r="I44" i="158"/>
  <c r="I45" i="158"/>
  <c r="I46" i="158"/>
  <c r="I47" i="158"/>
  <c r="I48" i="158"/>
  <c r="I49" i="158"/>
  <c r="I50" i="158"/>
  <c r="I39" i="158"/>
  <c r="I32" i="158"/>
  <c r="I33" i="158"/>
  <c r="I34" i="158"/>
  <c r="I35" i="158"/>
  <c r="I36" i="158"/>
  <c r="I31" i="158"/>
  <c r="I28" i="158"/>
  <c r="I27" i="158"/>
  <c r="I13" i="158"/>
  <c r="I14" i="158"/>
  <c r="I15" i="158"/>
  <c r="I16" i="158"/>
  <c r="I17" i="158"/>
  <c r="I20" i="158"/>
  <c r="I21" i="158"/>
  <c r="I24" i="158"/>
  <c r="C35" i="163" l="1"/>
  <c r="X45" i="163"/>
  <c r="Z45" i="163"/>
  <c r="AB45" i="163"/>
  <c r="X46" i="163"/>
  <c r="Z46" i="163"/>
  <c r="AB46" i="163"/>
  <c r="V46" i="163"/>
  <c r="V45" i="163"/>
  <c r="E46" i="163"/>
  <c r="G46" i="163"/>
  <c r="I46" i="163"/>
  <c r="K46" i="163"/>
  <c r="M46" i="163"/>
  <c r="O46" i="163"/>
  <c r="Q46" i="163"/>
  <c r="S46" i="163"/>
  <c r="C46" i="163"/>
  <c r="E45" i="163"/>
  <c r="C45" i="163"/>
  <c r="V30" i="163"/>
  <c r="V37" i="163" l="1"/>
  <c r="V27" i="163"/>
  <c r="V31" i="163"/>
  <c r="V32" i="163"/>
  <c r="V35" i="163"/>
  <c r="V36" i="163"/>
  <c r="E5" i="163"/>
  <c r="C37" i="163"/>
  <c r="C36" i="163"/>
  <c r="C32" i="163"/>
  <c r="C30" i="163"/>
  <c r="C27" i="163"/>
  <c r="C26" i="163"/>
  <c r="C25" i="163"/>
  <c r="C24" i="163"/>
  <c r="C14" i="163"/>
  <c r="E37" i="163" l="1"/>
  <c r="E27" i="163"/>
  <c r="E31" i="163"/>
  <c r="E32" i="163"/>
  <c r="E30" i="163"/>
  <c r="E35" i="163"/>
  <c r="E36" i="163"/>
  <c r="C20" i="163" l="1"/>
  <c r="C15" i="163"/>
  <c r="C21" i="163" s="1"/>
  <c r="C12" i="163"/>
  <c r="C13" i="163" s="1"/>
  <c r="D21" i="163" l="1"/>
  <c r="G1" i="163"/>
  <c r="C6" i="163" l="1"/>
  <c r="C8" i="163" l="1"/>
  <c r="C9" i="163" l="1"/>
  <c r="C60" i="163" s="1"/>
  <c r="U15" i="162" l="1"/>
  <c r="Q4" i="162"/>
  <c r="Q3" i="162"/>
  <c r="L15" i="162"/>
  <c r="I4" i="162"/>
  <c r="I3" i="162"/>
  <c r="L53" i="261"/>
  <c r="M11" i="162" l="1"/>
  <c r="M15" i="162"/>
  <c r="M14" i="162"/>
  <c r="M13" i="162"/>
  <c r="L13" i="162"/>
  <c r="O13" i="162" s="1"/>
  <c r="M12" i="162"/>
  <c r="O15" i="162"/>
  <c r="W15" i="162"/>
  <c r="U12" i="162"/>
  <c r="T13" i="162"/>
  <c r="U11" i="162"/>
  <c r="U13" i="162"/>
  <c r="U14" i="162"/>
  <c r="W13" i="162" l="1"/>
  <c r="L52" i="262"/>
  <c r="L38" i="262"/>
  <c r="L30" i="262"/>
  <c r="L54" i="261"/>
  <c r="L52" i="261"/>
  <c r="L38" i="261"/>
  <c r="L30" i="261"/>
  <c r="L54" i="262" l="1"/>
  <c r="A42" i="259"/>
  <c r="A42" i="260"/>
  <c r="I26" i="260"/>
  <c r="F26" i="260"/>
  <c r="F27" i="260"/>
  <c r="F25" i="260"/>
  <c r="G5" i="260"/>
  <c r="B5" i="260"/>
  <c r="G5" i="259"/>
  <c r="B5" i="259"/>
  <c r="F37" i="260"/>
  <c r="G39" i="260" s="1"/>
  <c r="F31" i="260"/>
  <c r="F30" i="260"/>
  <c r="F29" i="260"/>
  <c r="F28" i="260"/>
  <c r="F21" i="260"/>
  <c r="F20" i="260"/>
  <c r="F19" i="260"/>
  <c r="F18" i="260"/>
  <c r="F17" i="260"/>
  <c r="F16" i="260"/>
  <c r="F11" i="260"/>
  <c r="A4" i="260"/>
  <c r="A3" i="260"/>
  <c r="F37" i="259"/>
  <c r="G39" i="259" s="1"/>
  <c r="F31" i="259"/>
  <c r="F30" i="259"/>
  <c r="F29" i="259"/>
  <c r="F28" i="259"/>
  <c r="F27" i="259"/>
  <c r="F26" i="259"/>
  <c r="F25" i="259"/>
  <c r="F21" i="259"/>
  <c r="F20" i="259"/>
  <c r="F19" i="259"/>
  <c r="F18" i="259"/>
  <c r="F17" i="259"/>
  <c r="F16" i="259"/>
  <c r="F11" i="259"/>
  <c r="A4" i="259"/>
  <c r="A3" i="259"/>
  <c r="K22" i="158"/>
  <c r="L22" i="158" s="1"/>
  <c r="D15" i="162"/>
  <c r="L29" i="256"/>
  <c r="M17" i="256"/>
  <c r="M20" i="257"/>
  <c r="A42" i="257"/>
  <c r="A42" i="246"/>
  <c r="G5" i="257"/>
  <c r="B5" i="257"/>
  <c r="G39" i="257"/>
  <c r="F32" i="257"/>
  <c r="F31" i="257"/>
  <c r="F30" i="257"/>
  <c r="F29" i="257"/>
  <c r="F28" i="257"/>
  <c r="F26" i="257"/>
  <c r="F22" i="257"/>
  <c r="F21" i="257"/>
  <c r="F20" i="257"/>
  <c r="F19" i="257"/>
  <c r="F18" i="257"/>
  <c r="A4" i="257"/>
  <c r="A3" i="257"/>
  <c r="G5" i="256"/>
  <c r="B5" i="256"/>
  <c r="G39" i="256"/>
  <c r="F32" i="256"/>
  <c r="F31" i="256"/>
  <c r="F30" i="256"/>
  <c r="F29" i="256"/>
  <c r="F28" i="256"/>
  <c r="F27" i="256"/>
  <c r="F26" i="256"/>
  <c r="F22" i="256"/>
  <c r="F21" i="256"/>
  <c r="F20" i="256"/>
  <c r="F19" i="256"/>
  <c r="F18" i="256"/>
  <c r="F17" i="256"/>
  <c r="A4" i="256"/>
  <c r="A3" i="256"/>
  <c r="F27" i="255"/>
  <c r="F28" i="255"/>
  <c r="F29" i="255"/>
  <c r="F30" i="255"/>
  <c r="F31" i="255"/>
  <c r="F32" i="255"/>
  <c r="M20" i="253"/>
  <c r="M20" i="250"/>
  <c r="F26" i="247"/>
  <c r="F26" i="255"/>
  <c r="G5" i="255"/>
  <c r="B5" i="255"/>
  <c r="G40" i="255"/>
  <c r="F22" i="255"/>
  <c r="F21" i="255"/>
  <c r="F20" i="255"/>
  <c r="F19" i="255"/>
  <c r="F18" i="255"/>
  <c r="F17" i="255"/>
  <c r="A4" i="255"/>
  <c r="A3" i="255"/>
  <c r="G5" i="253"/>
  <c r="B5" i="253"/>
  <c r="G5" i="251"/>
  <c r="B5" i="251"/>
  <c r="G5" i="250"/>
  <c r="B5" i="250"/>
  <c r="G5" i="249"/>
  <c r="B5" i="249"/>
  <c r="L52" i="158"/>
  <c r="G5" i="248"/>
  <c r="B5" i="248"/>
  <c r="M20" i="254"/>
  <c r="G5" i="254"/>
  <c r="B5" i="254"/>
  <c r="G39" i="254"/>
  <c r="F32" i="254"/>
  <c r="F31" i="254"/>
  <c r="F30" i="254"/>
  <c r="F29" i="254"/>
  <c r="F28" i="254"/>
  <c r="F26" i="254"/>
  <c r="F22" i="254"/>
  <c r="F21" i="254"/>
  <c r="F20" i="254"/>
  <c r="F19" i="254"/>
  <c r="F18" i="254"/>
  <c r="A4" i="254"/>
  <c r="A3" i="254"/>
  <c r="G39" i="253"/>
  <c r="F32" i="253"/>
  <c r="F31" i="253"/>
  <c r="F30" i="253"/>
  <c r="F29" i="253"/>
  <c r="F28" i="253"/>
  <c r="F26" i="253"/>
  <c r="F22" i="253"/>
  <c r="F21" i="253"/>
  <c r="F20" i="253"/>
  <c r="F19" i="253"/>
  <c r="F18" i="253"/>
  <c r="A4" i="253"/>
  <c r="A3" i="253"/>
  <c r="M20" i="251" a="1"/>
  <c r="M20" i="251" s="1"/>
  <c r="A42" i="251"/>
  <c r="G39" i="251"/>
  <c r="F32" i="251"/>
  <c r="F31" i="251"/>
  <c r="F30" i="251"/>
  <c r="F29" i="251"/>
  <c r="F28" i="251"/>
  <c r="F27" i="251"/>
  <c r="F26" i="251"/>
  <c r="F22" i="251"/>
  <c r="F21" i="251"/>
  <c r="F20" i="251"/>
  <c r="F19" i="251"/>
  <c r="F18" i="251"/>
  <c r="F17" i="251"/>
  <c r="A4" i="251"/>
  <c r="A3" i="251"/>
  <c r="A42" i="250"/>
  <c r="G39" i="250"/>
  <c r="F32" i="250"/>
  <c r="F31" i="250"/>
  <c r="F30" i="250"/>
  <c r="F29" i="250"/>
  <c r="F28" i="250"/>
  <c r="F26" i="250"/>
  <c r="F22" i="250"/>
  <c r="F21" i="250"/>
  <c r="F20" i="250"/>
  <c r="F19" i="250"/>
  <c r="F18" i="250"/>
  <c r="A4" i="250"/>
  <c r="A3" i="250"/>
  <c r="A42" i="249"/>
  <c r="L11" i="249"/>
  <c r="M11" i="249" s="1"/>
  <c r="M14" i="249" s="1"/>
  <c r="F26" i="249"/>
  <c r="G39" i="249"/>
  <c r="F32" i="249"/>
  <c r="F31" i="249"/>
  <c r="F30" i="249"/>
  <c r="F29" i="249"/>
  <c r="F28" i="249"/>
  <c r="F22" i="249"/>
  <c r="F21" i="249"/>
  <c r="F20" i="249"/>
  <c r="F19" i="249"/>
  <c r="F18" i="249"/>
  <c r="A4" i="249"/>
  <c r="A3" i="249"/>
  <c r="G33" i="256" l="1"/>
  <c r="G33" i="251"/>
  <c r="G33" i="255"/>
  <c r="G23" i="249"/>
  <c r="G32" i="260"/>
  <c r="G32" i="259"/>
  <c r="G33" i="250"/>
  <c r="G23" i="253"/>
  <c r="G33" i="257"/>
  <c r="G23" i="251"/>
  <c r="G33" i="253"/>
  <c r="G23" i="250"/>
  <c r="G23" i="254"/>
  <c r="G33" i="254"/>
  <c r="G22" i="260"/>
  <c r="G22" i="259"/>
  <c r="G23" i="257"/>
  <c r="G23" i="256"/>
  <c r="G23" i="255"/>
  <c r="G33" i="249"/>
  <c r="H9" i="25" l="1"/>
  <c r="H10" i="25" s="1"/>
  <c r="H13" i="25" s="1"/>
  <c r="I21" i="25"/>
  <c r="G40" i="248"/>
  <c r="F32" i="248"/>
  <c r="F31" i="248"/>
  <c r="F30" i="248"/>
  <c r="F29" i="248"/>
  <c r="F28" i="248"/>
  <c r="F27" i="248"/>
  <c r="F26" i="248"/>
  <c r="F22" i="248"/>
  <c r="F21" i="248"/>
  <c r="F20" i="248"/>
  <c r="F19" i="248"/>
  <c r="F18" i="248"/>
  <c r="E17" i="248"/>
  <c r="F17" i="248" s="1"/>
  <c r="G23" i="248" s="1"/>
  <c r="A4" i="248"/>
  <c r="A3" i="248"/>
  <c r="G5" i="247"/>
  <c r="B5" i="247"/>
  <c r="A42" i="247"/>
  <c r="G39" i="247"/>
  <c r="F32" i="247"/>
  <c r="F31" i="247"/>
  <c r="F30" i="247"/>
  <c r="F29" i="247"/>
  <c r="F28" i="247"/>
  <c r="F27" i="247"/>
  <c r="F22" i="247"/>
  <c r="F21" i="247"/>
  <c r="F20" i="247"/>
  <c r="F19" i="247"/>
  <c r="F18" i="247"/>
  <c r="F17" i="247"/>
  <c r="A4" i="247"/>
  <c r="A3" i="247"/>
  <c r="G5" i="246"/>
  <c r="B5" i="246"/>
  <c r="B5" i="245"/>
  <c r="G39" i="246"/>
  <c r="F32" i="246"/>
  <c r="F31" i="246"/>
  <c r="F30" i="246"/>
  <c r="F29" i="246"/>
  <c r="F28" i="246"/>
  <c r="F27" i="246"/>
  <c r="F26" i="246"/>
  <c r="F22" i="246"/>
  <c r="F21" i="246"/>
  <c r="F20" i="246"/>
  <c r="F19" i="246"/>
  <c r="F18" i="246"/>
  <c r="F17" i="246"/>
  <c r="A4" i="246"/>
  <c r="A3" i="246"/>
  <c r="G5" i="245"/>
  <c r="A4" i="245"/>
  <c r="B5" i="242"/>
  <c r="J72" i="245"/>
  <c r="G39" i="245"/>
  <c r="K34" i="245"/>
  <c r="K35" i="245" s="1"/>
  <c r="F32" i="245"/>
  <c r="F31" i="245"/>
  <c r="F30" i="245"/>
  <c r="F29" i="245"/>
  <c r="K28" i="245"/>
  <c r="K29" i="245" s="1"/>
  <c r="F28" i="245"/>
  <c r="F27" i="245"/>
  <c r="F26" i="245"/>
  <c r="K23" i="245"/>
  <c r="K24" i="245" s="1"/>
  <c r="F22" i="245"/>
  <c r="F21" i="245"/>
  <c r="F20" i="245"/>
  <c r="F19" i="245"/>
  <c r="F18" i="245"/>
  <c r="F17" i="245"/>
  <c r="K16" i="245"/>
  <c r="J16" i="245"/>
  <c r="F12" i="245"/>
  <c r="K10" i="245"/>
  <c r="J10" i="245"/>
  <c r="K6" i="245"/>
  <c r="A3" i="245"/>
  <c r="B5" i="241"/>
  <c r="G5" i="241"/>
  <c r="G5" i="242"/>
  <c r="A42" i="242"/>
  <c r="F37" i="242"/>
  <c r="G39" i="242" s="1"/>
  <c r="F31" i="242"/>
  <c r="F30" i="242"/>
  <c r="F29" i="242"/>
  <c r="F28" i="242"/>
  <c r="F26" i="242"/>
  <c r="F25" i="242"/>
  <c r="F21" i="242"/>
  <c r="F20" i="242"/>
  <c r="F19" i="242"/>
  <c r="F18" i="242"/>
  <c r="F17" i="242"/>
  <c r="F16" i="242"/>
  <c r="F11" i="242"/>
  <c r="A4" i="242"/>
  <c r="A3" i="242"/>
  <c r="A42" i="241"/>
  <c r="F37" i="241"/>
  <c r="G39" i="241" s="1"/>
  <c r="F31" i="241"/>
  <c r="F30" i="241"/>
  <c r="F29" i="241"/>
  <c r="F28" i="241"/>
  <c r="F27" i="241"/>
  <c r="F26" i="241"/>
  <c r="F25" i="241"/>
  <c r="F21" i="241"/>
  <c r="F20" i="241"/>
  <c r="F19" i="241"/>
  <c r="F18" i="241"/>
  <c r="F17" i="241"/>
  <c r="F16" i="241"/>
  <c r="F11" i="241"/>
  <c r="A4" i="241"/>
  <c r="A3" i="241"/>
  <c r="L38" i="158"/>
  <c r="J72" i="174"/>
  <c r="S21" i="25"/>
  <c r="A4" i="25"/>
  <c r="A4" i="162"/>
  <c r="A3" i="162"/>
  <c r="A4" i="225"/>
  <c r="A3" i="225"/>
  <c r="A4" i="229"/>
  <c r="A3" i="229"/>
  <c r="A4" i="228"/>
  <c r="A3" i="228"/>
  <c r="A4" i="227"/>
  <c r="A3" i="227"/>
  <c r="A4" i="226"/>
  <c r="A3" i="226"/>
  <c r="A4" i="175"/>
  <c r="A3" i="175"/>
  <c r="A4" i="174"/>
  <c r="A3" i="174"/>
  <c r="A4" i="237"/>
  <c r="A3" i="237"/>
  <c r="A4" i="173"/>
  <c r="A3" i="173"/>
  <c r="A4" i="172"/>
  <c r="A3" i="172"/>
  <c r="A4" i="171"/>
  <c r="A3" i="171"/>
  <c r="A4" i="170"/>
  <c r="A3" i="170"/>
  <c r="A4" i="169"/>
  <c r="A3" i="169"/>
  <c r="A4" i="168"/>
  <c r="A3" i="168"/>
  <c r="A4" i="167"/>
  <c r="A3" i="167"/>
  <c r="A4" i="166"/>
  <c r="A3" i="166"/>
  <c r="A4" i="165"/>
  <c r="A3" i="165"/>
  <c r="F11" i="174"/>
  <c r="G33" i="245" l="1"/>
  <c r="G22" i="242"/>
  <c r="K12" i="245"/>
  <c r="G23" i="245"/>
  <c r="G23" i="247"/>
  <c r="G33" i="248"/>
  <c r="D13" i="162"/>
  <c r="E14" i="162"/>
  <c r="E15" i="162"/>
  <c r="G15" i="162" s="1"/>
  <c r="E11" i="162"/>
  <c r="K17" i="245"/>
  <c r="K19" i="245" s="1"/>
  <c r="G22" i="241"/>
  <c r="G23" i="246"/>
  <c r="G33" i="247"/>
  <c r="G33" i="246"/>
  <c r="K37" i="245"/>
  <c r="G32" i="242"/>
  <c r="G32" i="241"/>
  <c r="A42" i="227" l="1"/>
  <c r="F26" i="229"/>
  <c r="F25" i="229"/>
  <c r="F26" i="228"/>
  <c r="F25" i="228"/>
  <c r="F25" i="227"/>
  <c r="F26" i="175"/>
  <c r="F25" i="175"/>
  <c r="F25" i="172"/>
  <c r="K25" i="172" l="1"/>
  <c r="F18" i="167"/>
  <c r="F17" i="167"/>
  <c r="F19" i="166"/>
  <c r="F18" i="166"/>
  <c r="F19" i="165"/>
  <c r="F18" i="165"/>
  <c r="F27" i="170"/>
  <c r="J107" i="165" l="1"/>
  <c r="J108" i="165"/>
  <c r="J109" i="165"/>
  <c r="J89" i="165"/>
  <c r="J91" i="165" s="1"/>
  <c r="J72" i="165"/>
  <c r="K57" i="165"/>
  <c r="K56" i="165"/>
  <c r="K55" i="165"/>
  <c r="K58" i="165" s="1"/>
  <c r="D29" i="161"/>
  <c r="E29" i="161" s="1"/>
  <c r="J111" i="165" l="1"/>
  <c r="F26" i="174"/>
  <c r="K34" i="174"/>
  <c r="K35" i="174" s="1"/>
  <c r="K28" i="174"/>
  <c r="K29" i="174" s="1"/>
  <c r="K23" i="174"/>
  <c r="K24" i="174" s="1"/>
  <c r="K37" i="174" s="1"/>
  <c r="K16" i="174"/>
  <c r="J16" i="174"/>
  <c r="K10" i="174"/>
  <c r="J10" i="174"/>
  <c r="K6" i="174"/>
  <c r="K12" i="174" l="1"/>
  <c r="K17" i="174"/>
  <c r="K19" i="174" l="1"/>
  <c r="F17" i="173"/>
  <c r="F18" i="173"/>
  <c r="F19" i="173"/>
  <c r="F20" i="173"/>
  <c r="G21" i="173" s="1"/>
  <c r="F26" i="173"/>
  <c r="F27" i="173"/>
  <c r="F28" i="173"/>
  <c r="F29" i="173"/>
  <c r="F30" i="173"/>
  <c r="E16" i="237"/>
  <c r="F26" i="171"/>
  <c r="E17" i="171"/>
  <c r="F26" i="170"/>
  <c r="E16" i="168"/>
  <c r="E16" i="169"/>
  <c r="B39" i="161"/>
  <c r="A44" i="263" s="1"/>
  <c r="E17" i="170"/>
  <c r="F25" i="167"/>
  <c r="E17" i="166"/>
  <c r="A42" i="256" l="1"/>
  <c r="A43" i="255"/>
  <c r="A42" i="254"/>
  <c r="A42" i="253"/>
  <c r="A42" i="245"/>
  <c r="A42" i="172"/>
  <c r="A43" i="248"/>
  <c r="A42" i="175"/>
  <c r="A42" i="174"/>
  <c r="A42" i="226"/>
  <c r="A41" i="169"/>
  <c r="A41" i="173"/>
  <c r="A43" i="171"/>
  <c r="A43" i="170"/>
  <c r="A42" i="168"/>
  <c r="A43" i="237"/>
  <c r="A42" i="167"/>
  <c r="A43" i="166"/>
  <c r="G31" i="173"/>
  <c r="A43" i="165"/>
  <c r="C123" i="161"/>
  <c r="F26" i="166" l="1"/>
  <c r="B6" i="165"/>
  <c r="M26" i="165" l="1"/>
  <c r="M27" i="165" s="1"/>
  <c r="F27" i="165" l="1"/>
  <c r="G5" i="237" l="1"/>
  <c r="B5" i="237"/>
  <c r="F37" i="237"/>
  <c r="F31" i="237"/>
  <c r="F30" i="237"/>
  <c r="F29" i="237"/>
  <c r="F28" i="237"/>
  <c r="F27" i="237"/>
  <c r="F26" i="237"/>
  <c r="F25" i="237"/>
  <c r="F21" i="237"/>
  <c r="F20" i="237"/>
  <c r="F19" i="237"/>
  <c r="F18" i="237"/>
  <c r="F17" i="237"/>
  <c r="F16" i="237"/>
  <c r="F11" i="237"/>
  <c r="G32" i="237" l="1"/>
  <c r="G39" i="237"/>
  <c r="G22" i="237"/>
  <c r="G5" i="229" l="1"/>
  <c r="B5" i="229"/>
  <c r="G5" i="228"/>
  <c r="B5" i="228"/>
  <c r="G5" i="227"/>
  <c r="B5" i="227"/>
  <c r="G5" i="226"/>
  <c r="B5" i="226"/>
  <c r="F31" i="229"/>
  <c r="F30" i="229"/>
  <c r="F29" i="229"/>
  <c r="F28" i="229"/>
  <c r="F27" i="229"/>
  <c r="G32" i="229" s="1"/>
  <c r="F21" i="229"/>
  <c r="F20" i="229"/>
  <c r="F19" i="229"/>
  <c r="F18" i="229"/>
  <c r="F17" i="229"/>
  <c r="F16" i="229"/>
  <c r="F11" i="229"/>
  <c r="A42" i="228"/>
  <c r="G39" i="228"/>
  <c r="F31" i="228"/>
  <c r="F30" i="228"/>
  <c r="F29" i="228"/>
  <c r="F28" i="228"/>
  <c r="F27" i="228"/>
  <c r="G32" i="228" s="1"/>
  <c r="F21" i="228"/>
  <c r="F20" i="228"/>
  <c r="F31" i="227"/>
  <c r="F30" i="227"/>
  <c r="F29" i="227"/>
  <c r="F28" i="227"/>
  <c r="F27" i="227"/>
  <c r="F26" i="227"/>
  <c r="F21" i="227"/>
  <c r="F20" i="227"/>
  <c r="F19" i="227"/>
  <c r="F18" i="227"/>
  <c r="F17" i="227"/>
  <c r="F16" i="227"/>
  <c r="G39" i="226"/>
  <c r="F31" i="226"/>
  <c r="F30" i="226"/>
  <c r="F29" i="226"/>
  <c r="F28" i="226"/>
  <c r="F27" i="226"/>
  <c r="F26" i="226"/>
  <c r="F25" i="226"/>
  <c r="F21" i="226"/>
  <c r="F20" i="226"/>
  <c r="F19" i="226"/>
  <c r="F18" i="226"/>
  <c r="F17" i="226"/>
  <c r="F16" i="226"/>
  <c r="L30" i="158"/>
  <c r="G32" i="226" l="1"/>
  <c r="G22" i="228"/>
  <c r="G22" i="229"/>
  <c r="G22" i="227"/>
  <c r="G22" i="226"/>
  <c r="G32" i="227"/>
  <c r="F26" i="165" l="1"/>
  <c r="K3" i="165"/>
  <c r="K6" i="165" l="1"/>
  <c r="F42" i="225" l="1"/>
  <c r="G43" i="225" s="1"/>
  <c r="G39" i="225"/>
  <c r="F31" i="225"/>
  <c r="F30" i="225"/>
  <c r="F29" i="225"/>
  <c r="F28" i="225"/>
  <c r="F27" i="225"/>
  <c r="F26" i="225"/>
  <c r="F25" i="225"/>
  <c r="F21" i="225"/>
  <c r="F20" i="225"/>
  <c r="F19" i="225"/>
  <c r="F18" i="225"/>
  <c r="F17" i="225"/>
  <c r="F16" i="225"/>
  <c r="G22" i="225" l="1"/>
  <c r="G32" i="225"/>
  <c r="F10" i="225"/>
  <c r="G12" i="225" s="1"/>
  <c r="G45" i="225" l="1"/>
  <c r="C126" i="161" s="1"/>
  <c r="F27" i="175"/>
  <c r="F28" i="175"/>
  <c r="F29" i="175"/>
  <c r="G5" i="174"/>
  <c r="G5" i="175"/>
  <c r="B5" i="175"/>
  <c r="F31" i="175"/>
  <c r="F30" i="175"/>
  <c r="F21" i="175"/>
  <c r="F20" i="175"/>
  <c r="F19" i="175"/>
  <c r="F11" i="175"/>
  <c r="F17" i="174"/>
  <c r="G32" i="175" l="1"/>
  <c r="G22" i="175"/>
  <c r="B5" i="174" l="1"/>
  <c r="F32" i="174"/>
  <c r="F31" i="174"/>
  <c r="F30" i="174"/>
  <c r="F29" i="174"/>
  <c r="F22" i="174"/>
  <c r="F21" i="174"/>
  <c r="F20" i="174"/>
  <c r="F19" i="174"/>
  <c r="F18" i="174"/>
  <c r="F12" i="174"/>
  <c r="G5" i="173"/>
  <c r="B5" i="173"/>
  <c r="F11" i="173"/>
  <c r="G33" i="174" l="1"/>
  <c r="G23" i="174"/>
  <c r="G5" i="172"/>
  <c r="B5" i="172"/>
  <c r="F31" i="172"/>
  <c r="F30" i="172"/>
  <c r="F29" i="172"/>
  <c r="F28" i="172"/>
  <c r="F27" i="172"/>
  <c r="F26" i="172"/>
  <c r="F11" i="172"/>
  <c r="G22" i="172" l="1"/>
  <c r="G32" i="172"/>
  <c r="G5" i="171" l="1"/>
  <c r="B5" i="171"/>
  <c r="F32" i="171"/>
  <c r="F31" i="171"/>
  <c r="F30" i="171"/>
  <c r="F29" i="171"/>
  <c r="F28" i="171"/>
  <c r="F27" i="171"/>
  <c r="F22" i="171"/>
  <c r="F21" i="171"/>
  <c r="F20" i="171"/>
  <c r="F19" i="171"/>
  <c r="F18" i="171"/>
  <c r="F17" i="171"/>
  <c r="G5" i="170"/>
  <c r="B5" i="170"/>
  <c r="F32" i="170"/>
  <c r="F31" i="170"/>
  <c r="F30" i="170"/>
  <c r="F29" i="170"/>
  <c r="F28" i="170"/>
  <c r="F22" i="170"/>
  <c r="F21" i="170"/>
  <c r="F20" i="170"/>
  <c r="F19" i="170"/>
  <c r="F18" i="170"/>
  <c r="F17" i="170"/>
  <c r="G23" i="170" l="1"/>
  <c r="G23" i="171"/>
  <c r="G33" i="170"/>
  <c r="G33" i="171"/>
  <c r="G5" i="169" l="1"/>
  <c r="B5" i="169"/>
  <c r="F30" i="169"/>
  <c r="F29" i="169"/>
  <c r="F28" i="169"/>
  <c r="F27" i="169"/>
  <c r="F26" i="169"/>
  <c r="F25" i="169"/>
  <c r="F21" i="169"/>
  <c r="F20" i="169"/>
  <c r="F19" i="169"/>
  <c r="F18" i="169"/>
  <c r="F17" i="169"/>
  <c r="F16" i="169"/>
  <c r="F11" i="169"/>
  <c r="G22" i="169" l="1"/>
  <c r="G31" i="169"/>
  <c r="G5" i="168" l="1"/>
  <c r="B5" i="168"/>
  <c r="F31" i="168"/>
  <c r="F30" i="168"/>
  <c r="F29" i="168"/>
  <c r="F28" i="168"/>
  <c r="F27" i="168"/>
  <c r="F26" i="168"/>
  <c r="F25" i="168"/>
  <c r="F21" i="168"/>
  <c r="F20" i="168"/>
  <c r="F19" i="168"/>
  <c r="F18" i="168"/>
  <c r="F17" i="168"/>
  <c r="F16" i="168"/>
  <c r="F11" i="168"/>
  <c r="G32" i="168" l="1"/>
  <c r="G22" i="168"/>
  <c r="F16" i="167" l="1"/>
  <c r="F19" i="167"/>
  <c r="G5" i="167"/>
  <c r="B5" i="167"/>
  <c r="G39" i="167"/>
  <c r="F31" i="167"/>
  <c r="F30" i="167"/>
  <c r="F29" i="167"/>
  <c r="F28" i="167"/>
  <c r="F27" i="167"/>
  <c r="F26" i="167"/>
  <c r="F21" i="167"/>
  <c r="F20" i="167"/>
  <c r="G22" i="167" l="1"/>
  <c r="G32" i="167"/>
  <c r="B5" i="166" l="1"/>
  <c r="F32" i="166"/>
  <c r="F31" i="166"/>
  <c r="F30" i="166"/>
  <c r="F29" i="166"/>
  <c r="F28" i="166"/>
  <c r="F27" i="166"/>
  <c r="F22" i="166"/>
  <c r="F21" i="166"/>
  <c r="F20" i="166"/>
  <c r="F17" i="166"/>
  <c r="G5" i="166"/>
  <c r="G33" i="166" l="1"/>
  <c r="G23" i="166"/>
  <c r="G5" i="165" l="1"/>
  <c r="B5" i="165"/>
  <c r="F32" i="165"/>
  <c r="F31" i="165"/>
  <c r="F30" i="165"/>
  <c r="F29" i="165"/>
  <c r="F28" i="165"/>
  <c r="F22" i="165"/>
  <c r="F21" i="165"/>
  <c r="F20" i="165"/>
  <c r="F17" i="165"/>
  <c r="G33" i="165" l="1"/>
  <c r="G23" i="165"/>
  <c r="G40" i="165"/>
  <c r="R32" i="25"/>
  <c r="S32" i="25" s="1"/>
  <c r="S31" i="25"/>
  <c r="S30" i="25"/>
  <c r="S29" i="25"/>
  <c r="S28" i="25"/>
  <c r="S27" i="25"/>
  <c r="S26" i="25"/>
  <c r="S25" i="25"/>
  <c r="S24" i="25"/>
  <c r="S23" i="25"/>
  <c r="S22" i="25"/>
  <c r="S33" i="25" s="1"/>
  <c r="E19" i="25" s="1"/>
  <c r="H17" i="25"/>
  <c r="H15" i="25"/>
  <c r="I13" i="25" l="1"/>
  <c r="H14" i="25"/>
  <c r="E12" i="162"/>
  <c r="E13" i="162"/>
  <c r="C49" i="161" l="1"/>
  <c r="C125" i="161"/>
  <c r="C122" i="161"/>
  <c r="C121" i="161"/>
  <c r="C120" i="161"/>
  <c r="C119" i="161"/>
  <c r="C114" i="161"/>
  <c r="E94" i="161"/>
  <c r="E87" i="161"/>
  <c r="C85" i="161"/>
  <c r="C84" i="161"/>
  <c r="C83" i="161"/>
  <c r="C82" i="161"/>
  <c r="C81" i="161"/>
  <c r="C80" i="161"/>
  <c r="C79" i="161"/>
  <c r="C78" i="161"/>
  <c r="C77" i="161"/>
  <c r="C76" i="161"/>
  <c r="E75" i="161"/>
  <c r="C75" i="161" s="1"/>
  <c r="C74" i="161"/>
  <c r="C73" i="161"/>
  <c r="C72" i="161"/>
  <c r="C71" i="161"/>
  <c r="C70" i="161"/>
  <c r="C69" i="161"/>
  <c r="E68" i="161"/>
  <c r="C68" i="161" s="1"/>
  <c r="E67" i="161"/>
  <c r="C67" i="161" s="1"/>
  <c r="L66" i="161"/>
  <c r="C66" i="161"/>
  <c r="C65" i="161"/>
  <c r="C64" i="161"/>
  <c r="F63" i="161"/>
  <c r="C63" i="161"/>
  <c r="C62" i="161"/>
  <c r="C61" i="161"/>
  <c r="C60" i="161"/>
  <c r="C59" i="161"/>
  <c r="C58" i="161"/>
  <c r="C57" i="161"/>
  <c r="C56" i="161"/>
  <c r="C53" i="161"/>
  <c r="D50" i="161"/>
  <c r="E50" i="161" s="1"/>
  <c r="C124" i="161" l="1"/>
  <c r="E53" i="161"/>
  <c r="G39" i="227"/>
  <c r="G40" i="166"/>
  <c r="L88" i="163" l="1"/>
  <c r="L89" i="163" s="1"/>
  <c r="L90" i="163" s="1"/>
  <c r="L65" i="163"/>
  <c r="L66" i="163" s="1"/>
  <c r="S45" i="163"/>
  <c r="Q45" i="163"/>
  <c r="O45" i="163"/>
  <c r="M45" i="163"/>
  <c r="K45" i="163"/>
  <c r="I45" i="163"/>
  <c r="G45" i="163"/>
  <c r="Q21" i="163"/>
  <c r="O21" i="163"/>
  <c r="M21" i="163"/>
  <c r="S15" i="163"/>
  <c r="S21" i="163" s="1"/>
  <c r="S11" i="163"/>
  <c r="AB7" i="163"/>
  <c r="Z7" i="163"/>
  <c r="X7" i="163"/>
  <c r="V7" i="163"/>
  <c r="K7" i="163"/>
  <c r="I7" i="163"/>
  <c r="G7" i="163"/>
  <c r="E7" i="163"/>
  <c r="E8" i="163" s="1"/>
  <c r="AB5" i="163"/>
  <c r="X5" i="163"/>
  <c r="X6" i="163" s="1"/>
  <c r="C74" i="163" s="1"/>
  <c r="E8" i="25"/>
  <c r="S5" i="163"/>
  <c r="Q5" i="163"/>
  <c r="O5" i="163"/>
  <c r="M5" i="163"/>
  <c r="G5" i="163"/>
  <c r="Q8" i="163" l="1"/>
  <c r="Q35" i="163"/>
  <c r="Q26" i="163"/>
  <c r="Q32" i="163"/>
  <c r="Q31" i="163"/>
  <c r="Q30" i="163"/>
  <c r="Q27" i="163"/>
  <c r="Q25" i="163"/>
  <c r="Q36" i="163"/>
  <c r="Q24" i="163"/>
  <c r="Q37" i="163"/>
  <c r="S8" i="163"/>
  <c r="S24" i="163"/>
  <c r="S35" i="163"/>
  <c r="S25" i="163"/>
  <c r="S36" i="163"/>
  <c r="S27" i="163"/>
  <c r="S37" i="163"/>
  <c r="S31" i="163"/>
  <c r="S26" i="163"/>
  <c r="S32" i="163"/>
  <c r="S30" i="163"/>
  <c r="E9" i="25"/>
  <c r="Z37" i="163"/>
  <c r="Z27" i="163"/>
  <c r="Z36" i="163"/>
  <c r="Z35" i="163"/>
  <c r="Z31" i="163"/>
  <c r="Z32" i="163"/>
  <c r="Z30" i="163"/>
  <c r="K10" i="163"/>
  <c r="K20" i="163" s="1"/>
  <c r="K31" i="163"/>
  <c r="K30" i="163"/>
  <c r="K27" i="163"/>
  <c r="K36" i="163"/>
  <c r="K35" i="163"/>
  <c r="K32" i="163"/>
  <c r="K37" i="163"/>
  <c r="M10" i="163"/>
  <c r="M20" i="163" s="1"/>
  <c r="M26" i="163"/>
  <c r="M35" i="163"/>
  <c r="M31" i="163"/>
  <c r="M37" i="163"/>
  <c r="M36" i="163"/>
  <c r="M25" i="163"/>
  <c r="M30" i="163"/>
  <c r="M27" i="163"/>
  <c r="M32" i="163"/>
  <c r="M24" i="163"/>
  <c r="O25" i="163"/>
  <c r="O32" i="163"/>
  <c r="O24" i="163"/>
  <c r="O37" i="163"/>
  <c r="O35" i="163"/>
  <c r="O31" i="163"/>
  <c r="O30" i="163"/>
  <c r="O26" i="163"/>
  <c r="O36" i="163"/>
  <c r="O27" i="163"/>
  <c r="E10" i="25"/>
  <c r="AB32" i="163"/>
  <c r="AB37" i="163"/>
  <c r="AB27" i="163"/>
  <c r="AB31" i="163"/>
  <c r="AB30" i="163"/>
  <c r="AB35" i="163"/>
  <c r="AB36" i="163"/>
  <c r="X31" i="163"/>
  <c r="X30" i="163"/>
  <c r="X27" i="163"/>
  <c r="X32" i="163"/>
  <c r="X35" i="163"/>
  <c r="X37" i="163"/>
  <c r="X36" i="163"/>
  <c r="G37" i="163"/>
  <c r="G32" i="163"/>
  <c r="G30" i="163"/>
  <c r="G35" i="163"/>
  <c r="G31" i="163"/>
  <c r="G36" i="163"/>
  <c r="I6" i="163"/>
  <c r="I37" i="163"/>
  <c r="I35" i="163"/>
  <c r="I36" i="163"/>
  <c r="I32" i="163"/>
  <c r="I31" i="163"/>
  <c r="I27" i="163"/>
  <c r="I30" i="163"/>
  <c r="K24" i="163"/>
  <c r="K25" i="163"/>
  <c r="K26" i="163"/>
  <c r="V15" i="163"/>
  <c r="V21" i="163" s="1"/>
  <c r="V24" i="163"/>
  <c r="V25" i="163"/>
  <c r="V26" i="163"/>
  <c r="E26" i="163"/>
  <c r="E24" i="163"/>
  <c r="E25" i="163"/>
  <c r="I26" i="163"/>
  <c r="I25" i="163"/>
  <c r="I24" i="163"/>
  <c r="X15" i="163"/>
  <c r="X21" i="163" s="1"/>
  <c r="X24" i="163"/>
  <c r="X26" i="163"/>
  <c r="X25" i="163"/>
  <c r="AB11" i="163"/>
  <c r="AB25" i="163"/>
  <c r="AB26" i="163"/>
  <c r="AB24" i="163"/>
  <c r="Z15" i="163"/>
  <c r="Z21" i="163" s="1"/>
  <c r="Z25" i="163"/>
  <c r="Z24" i="163"/>
  <c r="Z26" i="163"/>
  <c r="AB10" i="163"/>
  <c r="AB20" i="163" s="1"/>
  <c r="O8" i="163"/>
  <c r="E11" i="163"/>
  <c r="G11" i="163" s="1"/>
  <c r="I11" i="163" s="1"/>
  <c r="K11" i="163" s="1"/>
  <c r="Z6" i="163"/>
  <c r="V11" i="163"/>
  <c r="I8" i="163"/>
  <c r="I9" i="163" s="1"/>
  <c r="K6" i="163"/>
  <c r="V8" i="163"/>
  <c r="O6" i="163"/>
  <c r="Z8" i="163"/>
  <c r="S6" i="163"/>
  <c r="C68" i="163" s="1"/>
  <c r="C12" i="161" s="1"/>
  <c r="AB6" i="163"/>
  <c r="AB8" i="163"/>
  <c r="AB9" i="163" s="1"/>
  <c r="O10" i="163"/>
  <c r="O20" i="163" s="1"/>
  <c r="S10" i="163"/>
  <c r="S20" i="163" s="1"/>
  <c r="E9" i="163"/>
  <c r="C61" i="163" s="1"/>
  <c r="C4" i="161"/>
  <c r="L91" i="163"/>
  <c r="Q6" i="163"/>
  <c r="G8" i="163"/>
  <c r="G9" i="163" s="1"/>
  <c r="X8" i="163"/>
  <c r="Q10" i="163"/>
  <c r="E15" i="163"/>
  <c r="AB15" i="163"/>
  <c r="AB21" i="163" s="1"/>
  <c r="E6" i="163"/>
  <c r="V6" i="163"/>
  <c r="K8" i="163"/>
  <c r="K9" i="163" s="1"/>
  <c r="E10" i="163"/>
  <c r="V10" i="163"/>
  <c r="G6" i="163"/>
  <c r="M8" i="163"/>
  <c r="G10" i="163"/>
  <c r="X10" i="163"/>
  <c r="X20" i="163" s="1"/>
  <c r="I10" i="163"/>
  <c r="Z10" i="163"/>
  <c r="Z20" i="163" s="1"/>
  <c r="X11" i="163"/>
  <c r="L67" i="163"/>
  <c r="M6" i="163"/>
  <c r="Z11" i="163"/>
  <c r="C75" i="163" l="1"/>
  <c r="C19" i="161" s="1"/>
  <c r="C64" i="163"/>
  <c r="C90" i="163" s="1"/>
  <c r="C38" i="161" s="1"/>
  <c r="C77" i="163"/>
  <c r="Q42" i="163"/>
  <c r="S42" i="163"/>
  <c r="Q48" i="163"/>
  <c r="Q53" i="163"/>
  <c r="Q55" i="163"/>
  <c r="I42" i="163"/>
  <c r="I55" i="163" s="1"/>
  <c r="O42" i="163"/>
  <c r="M12" i="163"/>
  <c r="M13" i="163" s="1"/>
  <c r="M14" i="163" s="1"/>
  <c r="C42" i="161"/>
  <c r="C18" i="161"/>
  <c r="K12" i="163"/>
  <c r="K13" i="163" s="1"/>
  <c r="K14" i="163" s="1"/>
  <c r="E42" i="163"/>
  <c r="M42" i="163"/>
  <c r="Y21" i="163"/>
  <c r="I48" i="163"/>
  <c r="I53" i="163"/>
  <c r="K42" i="163"/>
  <c r="C63" i="163"/>
  <c r="C78" i="163"/>
  <c r="C22" i="161" s="1"/>
  <c r="C23" i="161"/>
  <c r="AC21" i="163"/>
  <c r="AB12" i="163"/>
  <c r="AB13" i="163" s="1"/>
  <c r="O12" i="163"/>
  <c r="O13" i="163" s="1"/>
  <c r="P40" i="163"/>
  <c r="P39" i="163"/>
  <c r="P21" i="163"/>
  <c r="N39" i="163"/>
  <c r="T40" i="163"/>
  <c r="T42" i="163" s="1"/>
  <c r="T21" i="163"/>
  <c r="C5" i="161"/>
  <c r="N40" i="163"/>
  <c r="AA21" i="163"/>
  <c r="X12" i="163"/>
  <c r="X13" i="163" s="1"/>
  <c r="S12" i="163"/>
  <c r="Z12" i="163"/>
  <c r="Z13" i="163" s="1"/>
  <c r="Z14" i="163" s="1"/>
  <c r="L39" i="163"/>
  <c r="L40" i="163"/>
  <c r="D39" i="163"/>
  <c r="AB39" i="163"/>
  <c r="V12" i="163"/>
  <c r="V13" i="163" s="1"/>
  <c r="V20" i="163"/>
  <c r="Q12" i="163"/>
  <c r="Q13" i="163" s="1"/>
  <c r="Q20" i="163"/>
  <c r="R39" i="163" s="1"/>
  <c r="C87" i="163"/>
  <c r="C35" i="161" s="1"/>
  <c r="C86" i="163"/>
  <c r="C34" i="161" s="1"/>
  <c r="C88" i="163"/>
  <c r="C36" i="161" s="1"/>
  <c r="X39" i="163"/>
  <c r="E12" i="163"/>
  <c r="E13" i="163" s="1"/>
  <c r="E20" i="163"/>
  <c r="F39" i="163" s="1"/>
  <c r="C91" i="163"/>
  <c r="C46" i="161" s="1"/>
  <c r="C62" i="163"/>
  <c r="Z39" i="163"/>
  <c r="C92" i="163"/>
  <c r="C47" i="161" s="1"/>
  <c r="N21" i="163"/>
  <c r="X40" i="163"/>
  <c r="Y40" i="163" s="1"/>
  <c r="V40" i="163"/>
  <c r="D40" i="163"/>
  <c r="AB40" i="163"/>
  <c r="AC40" i="163" s="1"/>
  <c r="Z40" i="163"/>
  <c r="AA40" i="163" s="1"/>
  <c r="G15" i="163"/>
  <c r="E21" i="163"/>
  <c r="G20" i="163"/>
  <c r="H40" i="163" s="1"/>
  <c r="G12" i="163"/>
  <c r="G13" i="163" s="1"/>
  <c r="I20" i="163"/>
  <c r="I12" i="163"/>
  <c r="I13" i="163" s="1"/>
  <c r="C69" i="163"/>
  <c r="C13" i="161" s="1"/>
  <c r="B43" i="263" l="1"/>
  <c r="B42" i="259"/>
  <c r="B42" i="237"/>
  <c r="Z42" i="163"/>
  <c r="X42" i="163"/>
  <c r="AC39" i="163"/>
  <c r="AC42" i="163" s="1"/>
  <c r="AB42" i="163"/>
  <c r="AB53" i="163" s="1"/>
  <c r="C7" i="161"/>
  <c r="C76" i="163"/>
  <c r="E53" i="163"/>
  <c r="E55" i="163"/>
  <c r="E61" i="163" s="1"/>
  <c r="E77" i="163" s="1"/>
  <c r="Q54" i="163"/>
  <c r="C71" i="163" s="1"/>
  <c r="C15" i="161" s="1"/>
  <c r="C81" i="163"/>
  <c r="C21" i="161"/>
  <c r="C25" i="161" s="1"/>
  <c r="AB48" i="163"/>
  <c r="AB55" i="163"/>
  <c r="P42" i="163"/>
  <c r="X48" i="163"/>
  <c r="X53" i="163"/>
  <c r="X55" i="163"/>
  <c r="N42" i="163"/>
  <c r="AB54" i="163"/>
  <c r="M48" i="163"/>
  <c r="M53" i="163"/>
  <c r="M55" i="163"/>
  <c r="I54" i="163"/>
  <c r="O48" i="163"/>
  <c r="O53" i="163"/>
  <c r="O55" i="163"/>
  <c r="D42" i="163"/>
  <c r="L42" i="163"/>
  <c r="Y42" i="163"/>
  <c r="F9" i="25" s="1"/>
  <c r="E48" i="163"/>
  <c r="AA42" i="163"/>
  <c r="F10" i="25" s="1"/>
  <c r="S53" i="163"/>
  <c r="S48" i="163"/>
  <c r="S55" i="163"/>
  <c r="Z53" i="163"/>
  <c r="Z48" i="163"/>
  <c r="Z55" i="163"/>
  <c r="K48" i="163"/>
  <c r="K53" i="163"/>
  <c r="K55" i="163"/>
  <c r="C85" i="163"/>
  <c r="C33" i="161" s="1"/>
  <c r="C79" i="163"/>
  <c r="C26" i="161"/>
  <c r="AB14" i="163"/>
  <c r="O14" i="163"/>
  <c r="C82" i="163"/>
  <c r="C6" i="161"/>
  <c r="G39" i="175"/>
  <c r="G40" i="170"/>
  <c r="G40" i="171"/>
  <c r="G38" i="169"/>
  <c r="G39" i="168"/>
  <c r="X14" i="163"/>
  <c r="C8" i="161"/>
  <c r="R40" i="163"/>
  <c r="R42" i="163" s="1"/>
  <c r="S13" i="163"/>
  <c r="F21" i="163"/>
  <c r="I14" i="163"/>
  <c r="Q14" i="163"/>
  <c r="V14" i="163"/>
  <c r="G21" i="163"/>
  <c r="H21" i="163" s="1"/>
  <c r="I15" i="163"/>
  <c r="E14" i="163"/>
  <c r="C73" i="163"/>
  <c r="C17" i="161" s="1"/>
  <c r="C72" i="163"/>
  <c r="C16" i="161" s="1"/>
  <c r="C89" i="163"/>
  <c r="C37" i="161" s="1"/>
  <c r="C84" i="163"/>
  <c r="C32" i="161" s="1"/>
  <c r="C83" i="163"/>
  <c r="C31" i="161" s="1"/>
  <c r="C65" i="163"/>
  <c r="C9" i="161" s="1"/>
  <c r="C66" i="163"/>
  <c r="C10" i="161" s="1"/>
  <c r="C93" i="163"/>
  <c r="C48" i="161" s="1"/>
  <c r="C67" i="163"/>
  <c r="C11" i="161" s="1"/>
  <c r="J39" i="163"/>
  <c r="G14" i="163"/>
  <c r="V39" i="163"/>
  <c r="V42" i="163" s="1"/>
  <c r="W21" i="163"/>
  <c r="H39" i="163"/>
  <c r="H42" i="163" s="1"/>
  <c r="F40" i="163"/>
  <c r="F42" i="163" s="1"/>
  <c r="J40" i="163"/>
  <c r="W40" i="163"/>
  <c r="R21" i="163"/>
  <c r="E54" i="163" l="1"/>
  <c r="V53" i="163"/>
  <c r="V48" i="163"/>
  <c r="V55" i="163"/>
  <c r="O54" i="163"/>
  <c r="C94" i="163"/>
  <c r="C39" i="161" s="1"/>
  <c r="C40" i="161" s="1"/>
  <c r="C20" i="161"/>
  <c r="C24" i="161" s="1"/>
  <c r="X54" i="163"/>
  <c r="M54" i="163"/>
  <c r="S54" i="163"/>
  <c r="W42" i="163"/>
  <c r="F8" i="25" s="1"/>
  <c r="I8" i="25" s="1"/>
  <c r="J42" i="163"/>
  <c r="K54" i="163"/>
  <c r="V54" i="163"/>
  <c r="Z54" i="163"/>
  <c r="C27" i="161"/>
  <c r="I10" i="25"/>
  <c r="I9" i="25"/>
  <c r="S14" i="163"/>
  <c r="E75" i="163"/>
  <c r="D19" i="161" s="1"/>
  <c r="I21" i="163"/>
  <c r="K15" i="163"/>
  <c r="K21" i="163" s="1"/>
  <c r="B42" i="253" l="1"/>
  <c r="B42" i="168"/>
  <c r="B43" i="166"/>
  <c r="B42" i="247"/>
  <c r="B42" i="246"/>
  <c r="B42" i="260"/>
  <c r="B42" i="229"/>
  <c r="B42" i="256"/>
  <c r="B42" i="228"/>
  <c r="B41" i="169"/>
  <c r="B42" i="175"/>
  <c r="B42" i="250"/>
  <c r="B43" i="255"/>
  <c r="B44" i="263"/>
  <c r="B43" i="248"/>
  <c r="B43" i="237"/>
  <c r="B41" i="173"/>
  <c r="B42" i="241"/>
  <c r="B42" i="257"/>
  <c r="B42" i="251"/>
  <c r="B43" i="165"/>
  <c r="B42" i="249"/>
  <c r="B42" i="245"/>
  <c r="B42" i="242"/>
  <c r="B42" i="172"/>
  <c r="B43" i="171"/>
  <c r="B43" i="170"/>
  <c r="B42" i="254"/>
  <c r="B42" i="227"/>
  <c r="B42" i="167"/>
  <c r="B42" i="226"/>
  <c r="C41" i="161"/>
  <c r="C30" i="161"/>
  <c r="D23" i="161"/>
  <c r="F19" i="161"/>
  <c r="E19" i="161"/>
  <c r="E68" i="163"/>
  <c r="D5" i="161"/>
  <c r="L21" i="163"/>
  <c r="J21" i="163"/>
  <c r="E67" i="163"/>
  <c r="E69" i="163"/>
  <c r="E64" i="163"/>
  <c r="B42" i="174" l="1"/>
  <c r="E74" i="163"/>
  <c r="D42" i="161"/>
  <c r="F23" i="161"/>
  <c r="E23" i="161"/>
  <c r="G39" i="172"/>
  <c r="F37" i="229"/>
  <c r="G39" i="229" s="1"/>
  <c r="G38" i="173"/>
  <c r="G39" i="174"/>
  <c r="D8" i="161"/>
  <c r="E8" i="161" s="1"/>
  <c r="G68" i="163"/>
  <c r="D12" i="161"/>
  <c r="G69" i="163"/>
  <c r="D13" i="161"/>
  <c r="F5" i="161"/>
  <c r="E5" i="161"/>
  <c r="G67" i="163"/>
  <c r="D11" i="161"/>
  <c r="E90" i="163"/>
  <c r="I90" i="163" s="1"/>
  <c r="G61" i="163"/>
  <c r="G77" i="163" s="1"/>
  <c r="E73" i="163"/>
  <c r="E92" i="163"/>
  <c r="I92" i="163" s="1"/>
  <c r="E72" i="163"/>
  <c r="E71" i="163"/>
  <c r="E66" i="163"/>
  <c r="E93" i="163"/>
  <c r="I93" i="163" s="1"/>
  <c r="G64" i="163"/>
  <c r="F42" i="161" l="1"/>
  <c r="E42" i="161"/>
  <c r="E63" i="163"/>
  <c r="E78" i="163"/>
  <c r="D22" i="161" s="1"/>
  <c r="G74" i="163"/>
  <c r="F8" i="161"/>
  <c r="E11" i="161"/>
  <c r="F11" i="161"/>
  <c r="G93" i="163"/>
  <c r="D48" i="161"/>
  <c r="G90" i="163"/>
  <c r="D38" i="161"/>
  <c r="F13" i="161"/>
  <c r="E13" i="161"/>
  <c r="G73" i="163"/>
  <c r="D17" i="161"/>
  <c r="G66" i="163"/>
  <c r="D10" i="161"/>
  <c r="G71" i="163"/>
  <c r="D15" i="161"/>
  <c r="F12" i="161"/>
  <c r="E12" i="161"/>
  <c r="G72" i="163"/>
  <c r="D16" i="161"/>
  <c r="G92" i="163"/>
  <c r="D47" i="161"/>
  <c r="F34" i="56"/>
  <c r="F36" i="56"/>
  <c r="F17" i="56"/>
  <c r="F10" i="56"/>
  <c r="F11" i="56"/>
  <c r="F12" i="56"/>
  <c r="I17" i="25"/>
  <c r="I19" i="25"/>
  <c r="I15" i="25"/>
  <c r="D42" i="56"/>
  <c r="F42" i="56"/>
  <c r="G46" i="56" s="1"/>
  <c r="F25" i="56"/>
  <c r="F18" i="56"/>
  <c r="F19" i="56"/>
  <c r="F20" i="56"/>
  <c r="F21" i="56"/>
  <c r="F22" i="56"/>
  <c r="F23" i="56"/>
  <c r="F24" i="56"/>
  <c r="F27" i="56"/>
  <c r="D43" i="56"/>
  <c r="F43" i="56" s="1"/>
  <c r="F30" i="56"/>
  <c r="F29" i="56"/>
  <c r="F28" i="56"/>
  <c r="A4" i="56"/>
  <c r="A3" i="56"/>
  <c r="F26" i="56"/>
  <c r="I14" i="25"/>
  <c r="I25" i="25" s="1"/>
  <c r="J25" i="25" l="1"/>
  <c r="G14" i="56"/>
  <c r="G39" i="56"/>
  <c r="G63" i="163"/>
  <c r="G76" i="163" s="1"/>
  <c r="G94" i="163" s="1"/>
  <c r="E76" i="163"/>
  <c r="E94" i="163" s="1"/>
  <c r="G78" i="163"/>
  <c r="G31" i="56"/>
  <c r="G48" i="56" s="1"/>
  <c r="D7" i="161"/>
  <c r="E7" i="161" s="1"/>
  <c r="D26" i="161"/>
  <c r="F22" i="161"/>
  <c r="E22" i="161"/>
  <c r="D18" i="161"/>
  <c r="F10" i="161"/>
  <c r="E10" i="161"/>
  <c r="F48" i="161"/>
  <c r="E48" i="161"/>
  <c r="E38" i="161"/>
  <c r="F38" i="161"/>
  <c r="F47" i="161"/>
  <c r="E47" i="161"/>
  <c r="F15" i="161"/>
  <c r="E15" i="161"/>
  <c r="F16" i="161"/>
  <c r="E16" i="161"/>
  <c r="F17" i="161"/>
  <c r="E17" i="161"/>
  <c r="C43" i="263" l="1"/>
  <c r="D43" i="263" s="1"/>
  <c r="F43" i="263" s="1"/>
  <c r="C42" i="237"/>
  <c r="D42" i="237" s="1"/>
  <c r="F42" i="237" s="1"/>
  <c r="C42" i="259"/>
  <c r="D42" i="259" s="1"/>
  <c r="F42" i="259" s="1"/>
  <c r="G43" i="259" s="1"/>
  <c r="F7" i="161"/>
  <c r="F26" i="161"/>
  <c r="E26" i="161"/>
  <c r="E18" i="161"/>
  <c r="F18" i="161"/>
  <c r="D10" i="259" l="1"/>
  <c r="F10" i="259" s="1"/>
  <c r="G12" i="259" s="1"/>
  <c r="G45" i="259" s="1"/>
  <c r="K35" i="158" l="1"/>
  <c r="L35" i="158" s="1"/>
  <c r="K35" i="262"/>
  <c r="L35" i="262" s="1"/>
  <c r="K35" i="261"/>
  <c r="L35" i="261" s="1"/>
  <c r="G75" i="163" l="1"/>
  <c r="G13" i="162" l="1"/>
  <c r="C31" i="163" l="1"/>
  <c r="C42" i="163" s="1"/>
  <c r="C53" i="163" s="1"/>
  <c r="C48" i="163" l="1"/>
  <c r="C55" i="163"/>
  <c r="C54" i="163" s="1"/>
  <c r="C43" i="163"/>
  <c r="D21" i="161"/>
  <c r="E60" i="163" l="1"/>
  <c r="D4" i="161"/>
  <c r="E88" i="163"/>
  <c r="I88" i="163" s="1"/>
  <c r="D25" i="161"/>
  <c r="F21" i="161"/>
  <c r="E21" i="161"/>
  <c r="G88" i="163"/>
  <c r="D36" i="161"/>
  <c r="F4" i="161"/>
  <c r="E4" i="161"/>
  <c r="G60" i="163" l="1"/>
  <c r="E86" i="163"/>
  <c r="E87" i="163"/>
  <c r="E36" i="161"/>
  <c r="F36" i="161"/>
  <c r="E25" i="161"/>
  <c r="F25" i="161"/>
  <c r="G26" i="163"/>
  <c r="G27" i="163"/>
  <c r="G25" i="163"/>
  <c r="G24" i="163"/>
  <c r="G42" i="163" l="1"/>
  <c r="I86" i="163"/>
  <c r="G86" i="163"/>
  <c r="D34" i="161"/>
  <c r="I87" i="163"/>
  <c r="D35" i="161"/>
  <c r="G87" i="163"/>
  <c r="G48" i="163"/>
  <c r="G53" i="163"/>
  <c r="G55" i="163"/>
  <c r="G54" i="163" s="1"/>
  <c r="C70" i="163" s="1"/>
  <c r="C14" i="161" s="1"/>
  <c r="E62" i="163"/>
  <c r="E91" i="163"/>
  <c r="I91" i="163" s="1"/>
  <c r="E35" i="161" l="1"/>
  <c r="F35" i="161"/>
  <c r="F34" i="161"/>
  <c r="E34" i="161"/>
  <c r="E70" i="163"/>
  <c r="G70" i="163" s="1"/>
  <c r="G91" i="163"/>
  <c r="D46" i="161"/>
  <c r="D20" i="161"/>
  <c r="E81" i="163"/>
  <c r="E82" i="163"/>
  <c r="E65" i="163"/>
  <c r="E79" i="163"/>
  <c r="I94" i="163"/>
  <c r="E85" i="163"/>
  <c r="I85" i="163" s="1"/>
  <c r="E89" i="163"/>
  <c r="I89" i="163" s="1"/>
  <c r="E83" i="163"/>
  <c r="I83" i="163" s="1"/>
  <c r="E84" i="163"/>
  <c r="I84" i="163" s="1"/>
  <c r="D6" i="161"/>
  <c r="G62" i="163"/>
  <c r="D14" i="161"/>
  <c r="G82" i="163" l="1"/>
  <c r="I82" i="163"/>
  <c r="E14" i="161"/>
  <c r="F14" i="161"/>
  <c r="G84" i="163"/>
  <c r="D32" i="161"/>
  <c r="D37" i="161"/>
  <c r="G89" i="163"/>
  <c r="D27" i="161"/>
  <c r="G79" i="163"/>
  <c r="F46" i="161"/>
  <c r="E46" i="161"/>
  <c r="E6" i="161"/>
  <c r="F6" i="161"/>
  <c r="D31" i="161"/>
  <c r="G83" i="163"/>
  <c r="D33" i="161"/>
  <c r="G85" i="163"/>
  <c r="D30" i="161"/>
  <c r="D41" i="161"/>
  <c r="D39" i="161"/>
  <c r="D40" i="161" s="1"/>
  <c r="D9" i="161"/>
  <c r="G65" i="163"/>
  <c r="D24" i="161"/>
  <c r="F20" i="161"/>
  <c r="E20" i="161"/>
  <c r="C42" i="256" l="1"/>
  <c r="C42" i="228"/>
  <c r="C41" i="169"/>
  <c r="D41" i="169" s="1"/>
  <c r="F41" i="169" s="1"/>
  <c r="G42" i="169" s="1"/>
  <c r="C42" i="253"/>
  <c r="C42" i="251"/>
  <c r="C43" i="166"/>
  <c r="D43" i="166" s="1"/>
  <c r="F43" i="166" s="1"/>
  <c r="G44" i="166" s="1"/>
  <c r="D10" i="166" s="1"/>
  <c r="F10" i="166" s="1"/>
  <c r="G13" i="166" s="1"/>
  <c r="G46" i="166" s="1"/>
  <c r="C42" i="250"/>
  <c r="D42" i="250" s="1"/>
  <c r="F42" i="250" s="1"/>
  <c r="G43" i="250" s="1"/>
  <c r="D10" i="250" s="1"/>
  <c r="C42" i="249"/>
  <c r="D42" i="249" s="1"/>
  <c r="F42" i="249" s="1"/>
  <c r="G43" i="249" s="1"/>
  <c r="F40" i="161"/>
  <c r="C43" i="248"/>
  <c r="D43" i="248" s="1"/>
  <c r="F43" i="248" s="1"/>
  <c r="G44" i="248" s="1"/>
  <c r="C42" i="245"/>
  <c r="C42" i="260"/>
  <c r="D42" i="260" s="1"/>
  <c r="F42" i="260" s="1"/>
  <c r="G43" i="260" s="1"/>
  <c r="D10" i="260" s="1"/>
  <c r="C42" i="229"/>
  <c r="D42" i="229" s="1"/>
  <c r="F42" i="229" s="1"/>
  <c r="G43" i="229" s="1"/>
  <c r="D10" i="229" s="1"/>
  <c r="C43" i="165"/>
  <c r="D43" i="165" s="1"/>
  <c r="C41" i="173"/>
  <c r="D41" i="173" s="1"/>
  <c r="F41" i="173" s="1"/>
  <c r="G42" i="173" s="1"/>
  <c r="C43" i="171"/>
  <c r="D43" i="171" s="1"/>
  <c r="F43" i="171" s="1"/>
  <c r="G44" i="171" s="1"/>
  <c r="D10" i="171" s="1"/>
  <c r="F10" i="171" s="1"/>
  <c r="G13" i="171" s="1"/>
  <c r="G46" i="171" s="1"/>
  <c r="C43" i="170"/>
  <c r="D43" i="170" s="1"/>
  <c r="F43" i="170" s="1"/>
  <c r="G44" i="170" s="1"/>
  <c r="D10" i="170" s="1"/>
  <c r="F10" i="170" s="1"/>
  <c r="G13" i="170" s="1"/>
  <c r="G46" i="170" s="1"/>
  <c r="C42" i="254"/>
  <c r="C42" i="227"/>
  <c r="D42" i="227" s="1"/>
  <c r="F42" i="227" s="1"/>
  <c r="G43" i="227" s="1"/>
  <c r="D10" i="227" s="1"/>
  <c r="C42" i="167"/>
  <c r="D42" i="167" s="1"/>
  <c r="F42" i="167" s="1"/>
  <c r="G43" i="167" s="1"/>
  <c r="C42" i="175"/>
  <c r="D42" i="175" s="1"/>
  <c r="F42" i="175" s="1"/>
  <c r="G43" i="175" s="1"/>
  <c r="D10" i="175" s="1"/>
  <c r="C43" i="255"/>
  <c r="D43" i="255" s="1"/>
  <c r="F43" i="255" s="1"/>
  <c r="G44" i="255" s="1"/>
  <c r="D10" i="255" s="1"/>
  <c r="F10" i="255" s="1"/>
  <c r="G13" i="255" s="1"/>
  <c r="G46" i="255" s="1"/>
  <c r="C44" i="263"/>
  <c r="D44" i="263" s="1"/>
  <c r="F44" i="263" s="1"/>
  <c r="G45" i="263" s="1"/>
  <c r="D10" i="263" s="1"/>
  <c r="F10" i="263" s="1"/>
  <c r="G13" i="263" s="1"/>
  <c r="G47" i="263" s="1"/>
  <c r="C42" i="247"/>
  <c r="D42" i="247" s="1"/>
  <c r="F42" i="247" s="1"/>
  <c r="G43" i="247" s="1"/>
  <c r="D10" i="247" s="1"/>
  <c r="C42" i="246"/>
  <c r="D42" i="246" s="1"/>
  <c r="F42" i="246" s="1"/>
  <c r="G43" i="246" s="1"/>
  <c r="D10" i="246" s="1"/>
  <c r="C43" i="237"/>
  <c r="D43" i="237" s="1"/>
  <c r="F43" i="237" s="1"/>
  <c r="G44" i="237" s="1"/>
  <c r="D10" i="237" s="1"/>
  <c r="F10" i="237" s="1"/>
  <c r="G12" i="237" s="1"/>
  <c r="G46" i="237" s="1"/>
  <c r="C42" i="242"/>
  <c r="D42" i="242" s="1"/>
  <c r="F42" i="242" s="1"/>
  <c r="G43" i="242" s="1"/>
  <c r="D10" i="242" s="1"/>
  <c r="C42" i="241"/>
  <c r="D42" i="241" s="1"/>
  <c r="F42" i="241" s="1"/>
  <c r="G43" i="241" s="1"/>
  <c r="D10" i="241" s="1"/>
  <c r="C42" i="172"/>
  <c r="D42" i="172" s="1"/>
  <c r="F42" i="172" s="1"/>
  <c r="G43" i="172" s="1"/>
  <c r="D10" i="172" s="1"/>
  <c r="F10" i="172" s="1"/>
  <c r="G12" i="172" s="1"/>
  <c r="G45" i="172" s="1"/>
  <c r="C42" i="226"/>
  <c r="C42" i="168"/>
  <c r="D42" i="168" s="1"/>
  <c r="F42" i="168" s="1"/>
  <c r="G43" i="168" s="1"/>
  <c r="C42" i="257"/>
  <c r="F39" i="161"/>
  <c r="F31" i="161"/>
  <c r="E31" i="161"/>
  <c r="F9" i="161"/>
  <c r="E9" i="161"/>
  <c r="F33" i="161"/>
  <c r="E33" i="161"/>
  <c r="F24" i="161"/>
  <c r="E24" i="161"/>
  <c r="F32" i="161"/>
  <c r="E32" i="161"/>
  <c r="E27" i="161"/>
  <c r="F27" i="161"/>
  <c r="E37" i="161"/>
  <c r="F37" i="161"/>
  <c r="C42" i="174"/>
  <c r="D42" i="245"/>
  <c r="F42" i="245" s="1"/>
  <c r="G43" i="245" s="1"/>
  <c r="D10" i="245" s="1"/>
  <c r="D42" i="226"/>
  <c r="F42" i="226" s="1"/>
  <c r="G43" i="226" s="1"/>
  <c r="D10" i="226" s="1"/>
  <c r="D42" i="256"/>
  <c r="F42" i="256" s="1"/>
  <c r="G43" i="256" s="1"/>
  <c r="D42" i="254"/>
  <c r="F42" i="254" s="1"/>
  <c r="G43" i="254" s="1"/>
  <c r="D42" i="253"/>
  <c r="F42" i="253" s="1"/>
  <c r="G43" i="253" s="1"/>
  <c r="E39" i="161"/>
  <c r="E40" i="161" s="1"/>
  <c r="E41" i="161"/>
  <c r="F41" i="161"/>
  <c r="E30" i="161"/>
  <c r="D42" i="228"/>
  <c r="F42" i="228" s="1"/>
  <c r="G43" i="228" s="1"/>
  <c r="D10" i="228" s="1"/>
  <c r="D42" i="257"/>
  <c r="F42" i="257" s="1"/>
  <c r="G43" i="257" s="1"/>
  <c r="D42" i="251"/>
  <c r="F42" i="251" s="1"/>
  <c r="G43" i="251" s="1"/>
  <c r="F30" i="161"/>
  <c r="K24" i="262" l="1"/>
  <c r="L24" i="262" s="1"/>
  <c r="K24" i="261"/>
  <c r="L24" i="261" s="1"/>
  <c r="K24" i="158"/>
  <c r="L24" i="158" s="1"/>
  <c r="D42" i="174"/>
  <c r="F42" i="174" s="1"/>
  <c r="G43" i="174" s="1"/>
  <c r="C44" i="174"/>
  <c r="K16" i="262"/>
  <c r="L16" i="262" s="1"/>
  <c r="K16" i="158"/>
  <c r="L16" i="158" s="1"/>
  <c r="K16" i="261"/>
  <c r="L16" i="261" s="1"/>
  <c r="K20" i="261"/>
  <c r="L20" i="261" s="1"/>
  <c r="K20" i="158"/>
  <c r="L20" i="158" s="1"/>
  <c r="K20" i="262"/>
  <c r="L20" i="262" s="1"/>
  <c r="D10" i="167"/>
  <c r="F10" i="167" s="1"/>
  <c r="G12" i="167" s="1"/>
  <c r="G45" i="167"/>
  <c r="D10" i="173"/>
  <c r="F10" i="173" s="1"/>
  <c r="G12" i="173" s="1"/>
  <c r="G44" i="173"/>
  <c r="D10" i="248"/>
  <c r="F10" i="248" s="1"/>
  <c r="G13" i="248" s="1"/>
  <c r="G46" i="248" s="1"/>
  <c r="K17" i="262"/>
  <c r="L17" i="262" s="1"/>
  <c r="K17" i="261"/>
  <c r="L17" i="261" s="1"/>
  <c r="K17" i="158"/>
  <c r="L17" i="158" s="1"/>
  <c r="D10" i="169"/>
  <c r="F10" i="169" s="1"/>
  <c r="G12" i="169" s="1"/>
  <c r="G44" i="169"/>
  <c r="K23" i="262"/>
  <c r="L23" i="262" s="1"/>
  <c r="K23" i="158"/>
  <c r="L23" i="158" s="1"/>
  <c r="K23" i="261"/>
  <c r="L23" i="261" s="1"/>
  <c r="K12" i="158"/>
  <c r="L12" i="158" s="1"/>
  <c r="K12" i="262"/>
  <c r="L12" i="262" s="1"/>
  <c r="K12" i="261"/>
  <c r="L12" i="261" s="1"/>
  <c r="D10" i="168"/>
  <c r="F10" i="168" s="1"/>
  <c r="G12" i="168" s="1"/>
  <c r="G45" i="168" s="1"/>
  <c r="K18" i="158"/>
  <c r="L18" i="158" s="1"/>
  <c r="K18" i="261"/>
  <c r="L18" i="261" s="1"/>
  <c r="K18" i="262"/>
  <c r="L18" i="262" s="1"/>
  <c r="F10" i="250"/>
  <c r="G13" i="250" s="1"/>
  <c r="G45" i="250" s="1"/>
  <c r="D10" i="257"/>
  <c r="F10" i="257" s="1"/>
  <c r="G13" i="257" s="1"/>
  <c r="G45" i="257" s="1"/>
  <c r="F10" i="247"/>
  <c r="G13" i="247" s="1"/>
  <c r="G45" i="247" s="1"/>
  <c r="F10" i="242"/>
  <c r="G12" i="242" s="1"/>
  <c r="G45" i="242"/>
  <c r="K40" i="158" s="1"/>
  <c r="F10" i="229"/>
  <c r="G12" i="229" s="1"/>
  <c r="G45" i="229" s="1"/>
  <c r="D10" i="253"/>
  <c r="F10" i="253" s="1"/>
  <c r="G13" i="253" s="1"/>
  <c r="G45" i="253" s="1"/>
  <c r="D10" i="254"/>
  <c r="F10" i="254" s="1"/>
  <c r="G13" i="254" s="1"/>
  <c r="G45" i="254" s="1"/>
  <c r="D10" i="256"/>
  <c r="F10" i="256" s="1"/>
  <c r="G13" i="256" s="1"/>
  <c r="G45" i="256" s="1"/>
  <c r="F10" i="228"/>
  <c r="G12" i="228" s="1"/>
  <c r="G45" i="228" s="1"/>
  <c r="F10" i="260"/>
  <c r="G12" i="260" s="1"/>
  <c r="G45" i="260" s="1"/>
  <c r="F10" i="246"/>
  <c r="G13" i="246" s="1"/>
  <c r="G45" i="246" s="1"/>
  <c r="D10" i="249"/>
  <c r="F10" i="249" s="1"/>
  <c r="G13" i="249" s="1"/>
  <c r="G45" i="249" s="1"/>
  <c r="F10" i="175"/>
  <c r="G12" i="175" s="1"/>
  <c r="G45" i="175" s="1"/>
  <c r="F10" i="245"/>
  <c r="G13" i="245" s="1"/>
  <c r="G45" i="245" s="1"/>
  <c r="D10" i="251"/>
  <c r="F10" i="251" s="1"/>
  <c r="G13" i="251" s="1"/>
  <c r="G45" i="251" s="1"/>
  <c r="F10" i="241"/>
  <c r="G12" i="241" s="1"/>
  <c r="G45" i="241" s="1"/>
  <c r="F10" i="227"/>
  <c r="G12" i="227" s="1"/>
  <c r="G45" i="227" s="1"/>
  <c r="F10" i="226"/>
  <c r="G12" i="226" s="1"/>
  <c r="G45" i="226" s="1"/>
  <c r="K14" i="261" l="1"/>
  <c r="L14" i="261" s="1"/>
  <c r="K14" i="158"/>
  <c r="L14" i="158" s="1"/>
  <c r="K14" i="262"/>
  <c r="L14" i="262" s="1"/>
  <c r="K21" i="262"/>
  <c r="L21" i="262" s="1"/>
  <c r="K21" i="261"/>
  <c r="L21" i="261" s="1"/>
  <c r="K21" i="158"/>
  <c r="L21" i="158" s="1"/>
  <c r="K15" i="158"/>
  <c r="L15" i="158" s="1"/>
  <c r="K15" i="261"/>
  <c r="L15" i="261" s="1"/>
  <c r="K15" i="262"/>
  <c r="L15" i="262" s="1"/>
  <c r="K19" i="158"/>
  <c r="L19" i="158" s="1"/>
  <c r="K19" i="262"/>
  <c r="L19" i="262" s="1"/>
  <c r="K19" i="261"/>
  <c r="L19" i="261" s="1"/>
  <c r="D10" i="174"/>
  <c r="F10" i="174" s="1"/>
  <c r="G13" i="174" s="1"/>
  <c r="G45" i="174" s="1"/>
  <c r="K13" i="262"/>
  <c r="L13" i="262" s="1"/>
  <c r="K13" i="158"/>
  <c r="L13" i="158" s="1"/>
  <c r="K13" i="261"/>
  <c r="L13" i="261" s="1"/>
  <c r="F43" i="165"/>
  <c r="G44" i="165" s="1"/>
  <c r="D10" i="165" s="1"/>
  <c r="K41" i="158"/>
  <c r="L41" i="158" s="1"/>
  <c r="K41" i="261"/>
  <c r="L41" i="261" s="1"/>
  <c r="K41" i="262"/>
  <c r="L41" i="262" s="1"/>
  <c r="K33" i="261"/>
  <c r="L33" i="261" s="1"/>
  <c r="K33" i="262"/>
  <c r="L33" i="262" s="1"/>
  <c r="K33" i="158"/>
  <c r="L33" i="158" s="1"/>
  <c r="K46" i="158"/>
  <c r="L46" i="158" s="1"/>
  <c r="K46" i="262"/>
  <c r="L46" i="262" s="1"/>
  <c r="K46" i="261"/>
  <c r="L46" i="261" s="1"/>
  <c r="K50" i="262"/>
  <c r="L50" i="262" s="1"/>
  <c r="K50" i="158"/>
  <c r="L50" i="158" s="1"/>
  <c r="K50" i="261"/>
  <c r="L50" i="261" s="1"/>
  <c r="K39" i="158"/>
  <c r="L39" i="158" s="1"/>
  <c r="K39" i="261"/>
  <c r="L39" i="261" s="1"/>
  <c r="K39" i="262"/>
  <c r="L39" i="262" s="1"/>
  <c r="K45" i="261"/>
  <c r="L45" i="261" s="1"/>
  <c r="K45" i="158"/>
  <c r="L45" i="158" s="1"/>
  <c r="K45" i="262"/>
  <c r="L45" i="262" s="1"/>
  <c r="K47" i="262"/>
  <c r="L47" i="262" s="1"/>
  <c r="K47" i="261"/>
  <c r="L47" i="261" s="1"/>
  <c r="K47" i="158"/>
  <c r="L47" i="158" s="1"/>
  <c r="K31" i="262"/>
  <c r="L31" i="262" s="1"/>
  <c r="K31" i="158"/>
  <c r="L31" i="158" s="1"/>
  <c r="K31" i="261"/>
  <c r="L31" i="261" s="1"/>
  <c r="K44" i="261"/>
  <c r="L44" i="261" s="1"/>
  <c r="K44" i="158"/>
  <c r="L44" i="158" s="1"/>
  <c r="K44" i="262"/>
  <c r="L44" i="262" s="1"/>
  <c r="K40" i="262"/>
  <c r="L40" i="262" s="1"/>
  <c r="K40" i="261"/>
  <c r="L40" i="261" s="1"/>
  <c r="L40" i="158"/>
  <c r="K42" i="261"/>
  <c r="L42" i="261" s="1"/>
  <c r="K42" i="262"/>
  <c r="L42" i="262" s="1"/>
  <c r="K42" i="158"/>
  <c r="L42" i="158" s="1"/>
  <c r="K28" i="158"/>
  <c r="L28" i="158" s="1"/>
  <c r="K28" i="261"/>
  <c r="L28" i="261" s="1"/>
  <c r="K28" i="262"/>
  <c r="L28" i="262" s="1"/>
  <c r="K43" i="158"/>
  <c r="L43" i="158" s="1"/>
  <c r="K43" i="261"/>
  <c r="L43" i="261" s="1"/>
  <c r="K43" i="262"/>
  <c r="L43" i="262" s="1"/>
  <c r="K34" i="261"/>
  <c r="L34" i="261" s="1"/>
  <c r="K34" i="158"/>
  <c r="L34" i="158" s="1"/>
  <c r="K34" i="262"/>
  <c r="L34" i="262" s="1"/>
  <c r="K49" i="158"/>
  <c r="L49" i="158" s="1"/>
  <c r="K49" i="261"/>
  <c r="L49" i="261" s="1"/>
  <c r="K49" i="262"/>
  <c r="L49" i="262" s="1"/>
  <c r="K36" i="158"/>
  <c r="L36" i="158" s="1"/>
  <c r="K36" i="261"/>
  <c r="L36" i="261" s="1"/>
  <c r="K36" i="262"/>
  <c r="L36" i="262" s="1"/>
  <c r="K32" i="262"/>
  <c r="L32" i="262" s="1"/>
  <c r="K32" i="158"/>
  <c r="L32" i="158" s="1"/>
  <c r="K32" i="261"/>
  <c r="L32" i="261" s="1"/>
  <c r="K48" i="262"/>
  <c r="L48" i="262" s="1"/>
  <c r="K48" i="261"/>
  <c r="L48" i="261" s="1"/>
  <c r="K48" i="158"/>
  <c r="L48" i="158" s="1"/>
  <c r="K27" i="262" l="1"/>
  <c r="L27" i="262" s="1"/>
  <c r="K27" i="158"/>
  <c r="L27" i="158" s="1"/>
  <c r="L29" i="158" s="1"/>
  <c r="K27" i="261"/>
  <c r="L27" i="261" s="1"/>
  <c r="L51" i="158"/>
  <c r="L37" i="158"/>
  <c r="F10" i="165"/>
  <c r="G13" i="165" s="1"/>
  <c r="G46" i="165" s="1"/>
  <c r="K10" i="158" s="1"/>
  <c r="L10" i="158" s="1"/>
  <c r="L51" i="261"/>
  <c r="L29" i="261"/>
  <c r="L37" i="261"/>
  <c r="L51" i="262"/>
  <c r="L37" i="262"/>
  <c r="L29" i="262"/>
  <c r="K10" i="261" l="1"/>
  <c r="L10" i="261" s="1"/>
  <c r="K11" i="262"/>
  <c r="L11" i="262" s="1"/>
  <c r="L25" i="262" s="1"/>
  <c r="K11" i="158"/>
  <c r="L11" i="158" s="1"/>
  <c r="L25" i="158" s="1"/>
  <c r="L25" i="261" l="1"/>
  <c r="L56" i="261" s="1"/>
  <c r="L58" i="261" s="1"/>
  <c r="L56" i="158"/>
  <c r="L56" i="262"/>
  <c r="L58" i="158" l="1"/>
  <c r="I28" i="25"/>
  <c r="K25" i="25" s="1"/>
  <c r="K29" i="25"/>
  <c r="H25" i="25" s="1"/>
  <c r="I26" i="25"/>
  <c r="I27" i="25" s="1"/>
  <c r="I29" i="25" s="1"/>
  <c r="K57" i="262"/>
  <c r="K57" i="261"/>
  <c r="L57" i="261" s="1"/>
  <c r="L59" i="261" s="1"/>
  <c r="K57" i="158"/>
  <c r="L57" i="158" s="1"/>
  <c r="H27" i="25"/>
  <c r="L58" i="262"/>
  <c r="L57" i="262"/>
  <c r="L59" i="262" l="1"/>
  <c r="K24" i="25"/>
  <c r="K59" i="158"/>
  <c r="L59" i="158"/>
  <c r="K59" i="261"/>
  <c r="K59" i="262"/>
  <c r="S6" i="162"/>
  <c r="T14" i="162" s="1"/>
  <c r="W14" i="162" s="1"/>
  <c r="T11" i="162" l="1"/>
  <c r="W11" i="162" s="1"/>
  <c r="T12" i="162"/>
  <c r="W12" i="162" s="1"/>
  <c r="H6" i="162"/>
  <c r="C6" i="162" s="1"/>
  <c r="K6" i="162"/>
  <c r="W16" i="162" l="1"/>
  <c r="W19" i="162" s="1"/>
  <c r="W20" i="162" s="1"/>
  <c r="L60" i="262" s="1"/>
  <c r="L61" i="262" s="1"/>
  <c r="D11" i="162"/>
  <c r="G11" i="162" s="1"/>
  <c r="D14" i="162"/>
  <c r="G14" i="162" s="1"/>
  <c r="D12" i="162"/>
  <c r="G12" i="162" s="1"/>
  <c r="W22" i="162"/>
  <c r="G16" i="162" l="1"/>
  <c r="L65" i="158"/>
  <c r="L12" i="162"/>
  <c r="O12" i="162" s="1"/>
  <c r="L11" i="162"/>
  <c r="O11" i="162" s="1"/>
  <c r="L14" i="162"/>
  <c r="O14" i="162" s="1"/>
  <c r="G19" i="162" l="1"/>
  <c r="G20" i="162" s="1"/>
  <c r="G22" i="162" s="1"/>
  <c r="O16" i="162"/>
  <c r="O19" i="162" s="1"/>
  <c r="O20" i="162" s="1"/>
  <c r="L60" i="261" s="1"/>
  <c r="I30" i="25" l="1"/>
  <c r="I31" i="25" s="1"/>
  <c r="O22" i="162"/>
  <c r="L60" i="158" l="1"/>
  <c r="L61" i="158" s="1"/>
  <c r="L61" i="261"/>
  <c r="J69" i="261" s="1"/>
  <c r="L66" i="158" l="1"/>
  <c r="L67" i="158" s="1"/>
</calcChain>
</file>

<file path=xl/sharedStrings.xml><?xml version="1.0" encoding="utf-8"?>
<sst xmlns="http://schemas.openxmlformats.org/spreadsheetml/2006/main" count="3003" uniqueCount="526">
  <si>
    <t>AU
OFICIAL</t>
  </si>
  <si>
    <t>SECRETARÍA DE TALENTO HUMANO Y SERVICIOS ADMINISTRATIVOS- DIRECCIÓN DE SERVICIOS GENERALES</t>
  </si>
  <si>
    <t>ÍTEM</t>
  </si>
  <si>
    <t>DESCRIPCIÓN</t>
  </si>
  <si>
    <t>UNIDAD</t>
  </si>
  <si>
    <t>CANTIDAD</t>
  </si>
  <si>
    <t>VALOR MES</t>
  </si>
  <si>
    <t>FACTOR PRESTACIONAL</t>
  </si>
  <si>
    <t>DEDICACIÓN</t>
  </si>
  <si>
    <t>MESES</t>
  </si>
  <si>
    <t>VALOR TOTAL</t>
  </si>
  <si>
    <t>PERSONAL PROFESIONAL Y TÉCNICO</t>
  </si>
  <si>
    <t>1.1</t>
  </si>
  <si>
    <t xml:space="preserve">Coordinador Ingeniero electromecanico ó mecanico </t>
  </si>
  <si>
    <t>UN</t>
  </si>
  <si>
    <t xml:space="preserve">Profesional SISO </t>
  </si>
  <si>
    <t>1.3</t>
  </si>
  <si>
    <t xml:space="preserve">Técnico Administrativo </t>
  </si>
  <si>
    <t>SISTEMA DE COMPUTO, COMUNICACIONES Y SEÑALIZACIÓN</t>
  </si>
  <si>
    <t>2.1</t>
  </si>
  <si>
    <t>Computador (con office y AutoCAD)</t>
  </si>
  <si>
    <t>2.2</t>
  </si>
  <si>
    <t>Comunicaciones (Telefono, Fax, Internet etc.)</t>
  </si>
  <si>
    <t>GLOBAL</t>
  </si>
  <si>
    <t>2.3</t>
  </si>
  <si>
    <t xml:space="preserve">Señalización de zonas de trabajo, cintas, conos, etc </t>
  </si>
  <si>
    <t>PAPELERIA Y EQUIPO DE OFICINA</t>
  </si>
  <si>
    <t>3.1</t>
  </si>
  <si>
    <t>Papeleria, tinta fotocopias, impresiones de planos y otros.</t>
  </si>
  <si>
    <t>COMPONENTE SOCIO-AMBIENTAL</t>
  </si>
  <si>
    <t>4.1</t>
  </si>
  <si>
    <t>Dotación, elementos de seguridad, EPP,  implementos traslado RCD, Certificados, Capacitaciones, aseo y las demás que sean inherentes a sus funciones y/o que por razones del proyecto deban asumirse.</t>
  </si>
  <si>
    <t>GB</t>
  </si>
  <si>
    <t>Componente socio ambiental</t>
  </si>
  <si>
    <t xml:space="preserve">RECURSOS TECNICOS Y DE OPERACIÓN </t>
  </si>
  <si>
    <t>Item</t>
  </si>
  <si>
    <t>un</t>
  </si>
  <si>
    <t>Cant prom/ mes</t>
  </si>
  <si>
    <t>Valor $ /mes</t>
  </si>
  <si>
    <t>Subtotal</t>
  </si>
  <si>
    <t>Gastos Operativos por transportes,  Herramientas y consumibles menores</t>
  </si>
  <si>
    <t>Cascos</t>
  </si>
  <si>
    <t>IMPUESTOS</t>
  </si>
  <si>
    <t>gafas</t>
  </si>
  <si>
    <t>Impuesto 4/1000 (del costo total incluido AU) 50%</t>
  </si>
  <si>
    <t>botas</t>
  </si>
  <si>
    <t>guantes</t>
  </si>
  <si>
    <t>ADMINISTRACIÓN</t>
  </si>
  <si>
    <t>A</t>
  </si>
  <si>
    <t>tapa oidos</t>
  </si>
  <si>
    <t>UTILIDAD</t>
  </si>
  <si>
    <t>U</t>
  </si>
  <si>
    <t>tapabocas</t>
  </si>
  <si>
    <t>TOTAL AU</t>
  </si>
  <si>
    <t>camisa</t>
  </si>
  <si>
    <t>COSTO DIRECTO</t>
  </si>
  <si>
    <t>Identificación</t>
  </si>
  <si>
    <t>COSTO TOTAL INCLUIDO AU</t>
  </si>
  <si>
    <t>costales</t>
  </si>
  <si>
    <t>Pólizas ( Valor máximo a reconocer contra certificación de pago y/o facturas)</t>
  </si>
  <si>
    <t>canecas</t>
  </si>
  <si>
    <t>TOTAL PROYECTO  CON AU Y PÓLIZAS</t>
  </si>
  <si>
    <t>implementos aseo y limpieza</t>
  </si>
  <si>
    <t>mes</t>
  </si>
  <si>
    <t>Otros</t>
  </si>
  <si>
    <t>Nota 1: El valor definido por la Entidad por concepto de pólizas es un valor estimado que será un gasto comprobable, la entidad reconocerá al contratista el valor real efectivamente causado por
este concepto (Gasto Reembolsable), para el efecto, el contratista deberá presentar los documentos que soporten el valor facturado por las garantías.
Nota 2: Durante la ejecución del contrato la Entidad tendrá potestad de realizar deducciones y efectuar las respectivas multas y sanciones a las que haya lugar en las siguientes ocasiones:
• Si se evidencia personal pensionado y dentro del factor prestacional se reconoce dicha prestación
• Si se comprueba que el contratista está exonerado del pago de los aportes a SALUD (a cargo del empleador 8,5%), SENA (2%), ICBF (3%), y se está haciendo reconocimiento por estos dentro del
factor prestacional.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obra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</si>
  <si>
    <t>suma</t>
  </si>
  <si>
    <t>CALCULO POLIZAS</t>
  </si>
  <si>
    <t>Costodirecto + AU</t>
  </si>
  <si>
    <t>VALOR DEL CONTRATO ($)</t>
  </si>
  <si>
    <t>PLAZO DEL CONTRATO (DIAS)</t>
  </si>
  <si>
    <t>ANTICIPO</t>
  </si>
  <si>
    <t>Tipo de garantia</t>
  </si>
  <si>
    <t>Valor Asegurado</t>
  </si>
  <si>
    <t>Cobertura</t>
  </si>
  <si>
    <t>Tasa Anual</t>
  </si>
  <si>
    <t>Prima</t>
  </si>
  <si>
    <t>CUMPLIMIENTO</t>
  </si>
  <si>
    <t>PAGO DE SALARIOS Y PRESTACIONES SOCIALES</t>
  </si>
  <si>
    <t>ESTABILIDAD, CALIDAD Y CORRECTO FUNCIONAMIENTO DE LA OBRA</t>
  </si>
  <si>
    <t>CALIDAD Y CORRECTO FUNCIONAMIENTO</t>
  </si>
  <si>
    <t>RESPONABILIDAD CIVIL</t>
  </si>
  <si>
    <t>200 SMMLV</t>
  </si>
  <si>
    <t>Subtotal prima</t>
  </si>
  <si>
    <t>Gastos de expedición</t>
  </si>
  <si>
    <t>IVA</t>
  </si>
  <si>
    <t>TOTAL POLIZAS</t>
  </si>
  <si>
    <t>Relación</t>
  </si>
  <si>
    <t xml:space="preserve"> </t>
  </si>
  <si>
    <t xml:space="preserve">COORDINADOR </t>
  </si>
  <si>
    <t xml:space="preserve">PROFESIONAL </t>
  </si>
  <si>
    <t>SISO</t>
  </si>
  <si>
    <t xml:space="preserve">TÉCNICO ADMINISTRATIVO </t>
  </si>
  <si>
    <t>SALARIO</t>
  </si>
  <si>
    <t>VALOR $</t>
  </si>
  <si>
    <t>REF.</t>
  </si>
  <si>
    <t>SMMLV</t>
  </si>
  <si>
    <t>Dia sin subsidio de transporte</t>
  </si>
  <si>
    <t>Subsidio de transporte</t>
  </si>
  <si>
    <t>B</t>
  </si>
  <si>
    <t>Total Mensual</t>
  </si>
  <si>
    <t>C</t>
  </si>
  <si>
    <t>Valor Dia con Subsidio de transporte</t>
  </si>
  <si>
    <t>Anual (Ax12)</t>
  </si>
  <si>
    <t>D</t>
  </si>
  <si>
    <t>Costo Anual Subsidio de Transporte</t>
  </si>
  <si>
    <t>Total Anual con subsidio de transporte para calculo de liquidacion de cesantias y prima.</t>
  </si>
  <si>
    <t>E</t>
  </si>
  <si>
    <t>Cesantias y Prima</t>
  </si>
  <si>
    <t>1% interes cesantias</t>
  </si>
  <si>
    <t>Total Anual subsidio de transporte para calculo de hora efectiva y VRS</t>
  </si>
  <si>
    <t>CONCEPTO</t>
  </si>
  <si>
    <t>%</t>
  </si>
  <si>
    <t>SALARIO NOMINAL</t>
  </si>
  <si>
    <t>Salario Anual (360 dias)</t>
  </si>
  <si>
    <t>PRESTACIONES SOCIALES MES</t>
  </si>
  <si>
    <t>PRESTACIONES SOCIALES</t>
  </si>
  <si>
    <t xml:space="preserve">Cesantías </t>
  </si>
  <si>
    <t xml:space="preserve">Intereses sobre la  Cesantías </t>
  </si>
  <si>
    <t>Prima (30 dias)</t>
  </si>
  <si>
    <t>Vacaciones (15 dias)</t>
  </si>
  <si>
    <t>SEGURIDAD SOCIAL</t>
  </si>
  <si>
    <t>Pension</t>
  </si>
  <si>
    <t>Salud (Exonerado)</t>
  </si>
  <si>
    <t>ARL</t>
  </si>
  <si>
    <t>PARAFISCALES</t>
  </si>
  <si>
    <t>Caja de Compensación</t>
  </si>
  <si>
    <t>SENA</t>
  </si>
  <si>
    <t>ICBF</t>
  </si>
  <si>
    <t>DOTACIÓN</t>
  </si>
  <si>
    <t>Dotaciones</t>
  </si>
  <si>
    <t>Elementos de Seguridad Industrial</t>
  </si>
  <si>
    <t>VALOR REAL SALARIO</t>
  </si>
  <si>
    <t>VALOR HORA</t>
  </si>
  <si>
    <t>Hora Calendario Anuales  (360 dias X 7,33 horas)</t>
  </si>
  <si>
    <t>Horas Laborales mensuales (44/6*30)</t>
  </si>
  <si>
    <t>Horas Efectivas Anuales 2928 horas- (52 Domingos+18 festivos+3 permisos+15 dias Vacaciones)</t>
  </si>
  <si>
    <t>Valor Hora Laboral</t>
  </si>
  <si>
    <t>VALOR JORNAL</t>
  </si>
  <si>
    <t>Valor Jornal Con prestaciones</t>
  </si>
  <si>
    <t>Valor Jornal Sin Prestaciones</t>
  </si>
  <si>
    <t>Valor Prestaciones</t>
  </si>
  <si>
    <t>CUADRILLAS</t>
  </si>
  <si>
    <t>JORNAL</t>
  </si>
  <si>
    <t>PRESTACIONES</t>
  </si>
  <si>
    <t>TOTAL</t>
  </si>
  <si>
    <t>Ayudante   1 Salario minimo</t>
  </si>
  <si>
    <t>Ayudante   1,2 Salario minimo</t>
  </si>
  <si>
    <t>DOTACION</t>
  </si>
  <si>
    <t>Oficial    1.5 Salarios minimo</t>
  </si>
  <si>
    <t>BOTAS</t>
  </si>
  <si>
    <t>Oficial    1,8 Salarios minimo</t>
  </si>
  <si>
    <t>CAMISA</t>
  </si>
  <si>
    <t>Oficial  2,5 Salarios minimo</t>
  </si>
  <si>
    <t>PANTALON</t>
  </si>
  <si>
    <t>Estucador</t>
  </si>
  <si>
    <t>Carpintero</t>
  </si>
  <si>
    <t>AÑO</t>
  </si>
  <si>
    <t>Soldador 2,5 Salarios mínimo</t>
  </si>
  <si>
    <t>MES</t>
  </si>
  <si>
    <t>Topografo 5 salarios minimo</t>
  </si>
  <si>
    <t>Auxiliar Topografia</t>
  </si>
  <si>
    <t>Cadenero</t>
  </si>
  <si>
    <t>Encargado de Obra Elec  30% 3.5 Salarios minimo</t>
  </si>
  <si>
    <t xml:space="preserve">Encargado de Obra Elec Espc  60% 3.5 Salarios minimo </t>
  </si>
  <si>
    <t xml:space="preserve">Encargado de Obra </t>
  </si>
  <si>
    <t xml:space="preserve">Ingeniero Electrico </t>
  </si>
  <si>
    <t>Jefe de mantenimiento</t>
  </si>
  <si>
    <t>Tecnico HVAC</t>
  </si>
  <si>
    <t xml:space="preserve">Ayudante Tecnico </t>
  </si>
  <si>
    <t xml:space="preserve">Electricista </t>
  </si>
  <si>
    <t>Cuadrilla (Tecnico HVAC + Ayundante)</t>
  </si>
  <si>
    <t>Cuadrilla (Oficial + Ayudante)</t>
  </si>
  <si>
    <t>ELEMENTOS DE SEGURIDAD</t>
  </si>
  <si>
    <t>Cuadrilla (Oficial + Ayudante)2</t>
  </si>
  <si>
    <t>CASCO</t>
  </si>
  <si>
    <t>Cuadrilla (Oficial + 2 Ayudante)</t>
  </si>
  <si>
    <t>GUANTES DE CARNAZA</t>
  </si>
  <si>
    <t>Cuadrilla (Oficial + 3 Ayudantes)</t>
  </si>
  <si>
    <t>MONOGAFAS</t>
  </si>
  <si>
    <t>Cuadrilla (2 Ayudantes)</t>
  </si>
  <si>
    <t>BOTAS DE CAUCHO</t>
  </si>
  <si>
    <t>Cuadrilla (4 Ayudantes)</t>
  </si>
  <si>
    <t>TAPABOCAS (20U)</t>
  </si>
  <si>
    <t>Cuadrilla de Aseo KK</t>
  </si>
  <si>
    <t>TAPAOIDO (5 UN)</t>
  </si>
  <si>
    <t>Cuadrilla Jardineria (2 jardineros)</t>
  </si>
  <si>
    <t>Cuadrilla de Instalaciones Hidrosanitarias</t>
  </si>
  <si>
    <t>Pareja de Instalación Drywall (1 oficial + 1 ayud)</t>
  </si>
  <si>
    <t>Oficial de acabado Drywall</t>
  </si>
  <si>
    <t>Cuadrilla 1 Of Obra Blanca + 1 Ay Entendido</t>
  </si>
  <si>
    <t xml:space="preserve">Oficial HVAC+Ayudante </t>
  </si>
  <si>
    <t>Nominal con Sub. Transp</t>
  </si>
  <si>
    <t>Prestaciones</t>
  </si>
  <si>
    <t>Total Jornal</t>
  </si>
  <si>
    <t>Actualizados
2026</t>
  </si>
  <si>
    <t>Ingeniero Electrico HVAC</t>
  </si>
  <si>
    <t>1,9</t>
  </si>
  <si>
    <t xml:space="preserve">Jefe de mantenimiento </t>
  </si>
  <si>
    <t xml:space="preserve">Tecnico HVAC </t>
  </si>
  <si>
    <t>Ayudante Tecnico</t>
  </si>
  <si>
    <t xml:space="preserve">Jefe de mantenimiento 2.5 </t>
  </si>
  <si>
    <t xml:space="preserve">Tecnico HVAC 1.5 </t>
  </si>
  <si>
    <t>Ayudante Tecnico 1</t>
  </si>
  <si>
    <t>Profesional SISO 1.8</t>
  </si>
  <si>
    <t>Electricista</t>
  </si>
  <si>
    <t>Cuadrilla (Electrico + Ayudante)</t>
  </si>
  <si>
    <t xml:space="preserve">Cuadrilla  (Oficial + Ayudante) </t>
  </si>
  <si>
    <t>Cuadrilla (Oficial + 2 Ayudantes)</t>
  </si>
  <si>
    <t xml:space="preserve">Oficial HVAC+Ayudante hora </t>
  </si>
  <si>
    <t xml:space="preserve">Cuadrilla(Oficial+Ayudante) </t>
  </si>
  <si>
    <t>Ingeniero HVAC Automatización</t>
  </si>
  <si>
    <t xml:space="preserve">4 Salarios </t>
  </si>
  <si>
    <t>Cuadrilla armada y desarmada campamento</t>
  </si>
  <si>
    <t>Cuadrilla de Montaje de Estructuras Metálicas</t>
  </si>
  <si>
    <t>Transporte</t>
  </si>
  <si>
    <t>Volqueta (Viaje 6m³ 30 Km Aprox.) Con cargue</t>
  </si>
  <si>
    <t>viaje</t>
  </si>
  <si>
    <t xml:space="preserve">
Actualizados
2025</t>
  </si>
  <si>
    <t>Emvarios</t>
  </si>
  <si>
    <t xml:space="preserve">Acarreo  camioneta estacas o platon </t>
  </si>
  <si>
    <t>viaje area metropol</t>
  </si>
  <si>
    <t>Materiales</t>
  </si>
  <si>
    <t>Sikadur 32</t>
  </si>
  <si>
    <t>kg</t>
  </si>
  <si>
    <t>HomeCenter</t>
  </si>
  <si>
    <t>Pegacor</t>
  </si>
  <si>
    <t>Corona</t>
  </si>
  <si>
    <t>Royal Beta  e:1,5cm</t>
  </si>
  <si>
    <t>m2</t>
  </si>
  <si>
    <t>Meup.co</t>
  </si>
  <si>
    <t>Boquilla latex</t>
  </si>
  <si>
    <t>Rendimiento 4.5m2*kg</t>
  </si>
  <si>
    <t>Sellador hidrofugo</t>
  </si>
  <si>
    <t>gl</t>
  </si>
  <si>
    <t>Mortero 1:3 Impermeabilizado</t>
  </si>
  <si>
    <t>m3</t>
  </si>
  <si>
    <t>Mortero 1:3</t>
  </si>
  <si>
    <t>INVIAS</t>
  </si>
  <si>
    <t>Malla electrosoldada</t>
  </si>
  <si>
    <t>Vulkem 116 o similar</t>
  </si>
  <si>
    <t>300cc</t>
  </si>
  <si>
    <t>AcerOzuma</t>
  </si>
  <si>
    <t>Elpalustre.com.co</t>
  </si>
  <si>
    <t>Rendimiento 3.5ml*300cc</t>
  </si>
  <si>
    <t>Yumbolón 3/8" o similar</t>
  </si>
  <si>
    <t>ml</t>
  </si>
  <si>
    <t>Vulkem 171 primer o similar</t>
  </si>
  <si>
    <t>gal</t>
  </si>
  <si>
    <t>Centimped</t>
  </si>
  <si>
    <t>Rendimiento 35m2*gl</t>
  </si>
  <si>
    <t>Vulkem 350 NF</t>
  </si>
  <si>
    <t>Lista de precios 2018</t>
  </si>
  <si>
    <t>Rendimiento 3,7m2*gl</t>
  </si>
  <si>
    <t>Eucofiller</t>
  </si>
  <si>
    <t>Lista de precios 2019</t>
  </si>
  <si>
    <t>Rendimiento 0,8m2*kg</t>
  </si>
  <si>
    <t>Cinta de enmascarar</t>
  </si>
  <si>
    <t>Sikaplan 12R-CO</t>
  </si>
  <si>
    <t>https://fenusas.com.co/</t>
  </si>
  <si>
    <t>Sarnacol</t>
  </si>
  <si>
    <t>Rendimiento 0,6kg*m2</t>
  </si>
  <si>
    <t>SikaFelt</t>
  </si>
  <si>
    <t>Sika 1</t>
  </si>
  <si>
    <t>Hidrofugo</t>
  </si>
  <si>
    <t>Rendimiento 15m2*gl</t>
  </si>
  <si>
    <t>Perfiles de fijacion membrana</t>
  </si>
  <si>
    <t xml:space="preserve">Grama sintetica </t>
  </si>
  <si>
    <t>calypso y protezzioni</t>
  </si>
  <si>
    <t>Cemento de contacto Gramapeg</t>
  </si>
  <si>
    <t>Tuberia redonda en acero inoxidable de 2" calibre 18</t>
  </si>
  <si>
    <t>Brida y tapabrida</t>
  </si>
  <si>
    <t>Anchorfix</t>
  </si>
  <si>
    <t>cc</t>
  </si>
  <si>
    <t>Mercadolibre</t>
  </si>
  <si>
    <t>Chazo Concreto Expansivo 3/8X3</t>
  </si>
  <si>
    <t xml:space="preserve">Platina de anclaje e:4,5mm </t>
  </si>
  <si>
    <t>Tuberia estructural redonda 2" 2,5mm de espesor</t>
  </si>
  <si>
    <t>Pintura anticorrosiva y electrostatica</t>
  </si>
  <si>
    <t>Placa de yeso estandar de 1/2"</t>
  </si>
  <si>
    <t>Pinturas y yesos</t>
  </si>
  <si>
    <t>Piso vinilo 2mm antibacterial puesto en obra</t>
  </si>
  <si>
    <t>cotización</t>
  </si>
  <si>
    <t>Lavamanos en acero inox 304 cal 18 de 45cm x45cm x 20cm de pared</t>
  </si>
  <si>
    <t>cot de Inmedinox 09-11-22</t>
  </si>
  <si>
    <t>Barra de agarre  en acero inoxidable de 1 1/2"  x 24" (61cm)</t>
  </si>
  <si>
    <t xml:space="preserve">Barra de agarre abatible verticamente en acero inoxidable de 1 1/2"  de 60cm </t>
  </si>
  <si>
    <t>Frescasa ECO de 3 1/2 " (89mm) sin papel</t>
  </si>
  <si>
    <t>Anclaje Certificado para trabajo seguro en alturas en acero inoxidable 316L para exteriores marca Orbit, capacidad 5000lb, garantia 10 años. Incluye perforación, varilla perno estructural grado 8 de 1/2", epoxico alta resistencia, tuerca y arandela grado 8, anillo de anclaje tipo D marca Orbit de 5000lb en acero inoxidable, prueba y certificación bajo norma europea EN 795 de 2012 y todo lo necesario para su correcta instalación y funcionamiento. Aseo y retiro de escombros, capacitación al personal SGSST de la entidad y mantenimiento al año de insalación.</t>
  </si>
  <si>
    <t>V/Unitario</t>
  </si>
  <si>
    <t>LADRILLO 15X20X40</t>
  </si>
  <si>
    <t>MORTERO 1:4</t>
  </si>
  <si>
    <t>CONCRETO DE 21MPA PREPARADO EN OBRA</t>
  </si>
  <si>
    <t>SUPERT 19MM (UN)</t>
  </si>
  <si>
    <t>CLAVO 1"</t>
  </si>
  <si>
    <t>Lb</t>
  </si>
  <si>
    <t>ANGULO 2 1/2" X 1/4"</t>
  </si>
  <si>
    <t>m</t>
  </si>
  <si>
    <t>PISO CERAMICO 33.8 x 33.8 CM</t>
  </si>
  <si>
    <t>MORTERO 1:5</t>
  </si>
  <si>
    <t>PEGA CERAMICA</t>
  </si>
  <si>
    <t>BOQUILLA BLANCA</t>
  </si>
  <si>
    <t>CARNAZA</t>
  </si>
  <si>
    <t>CERAMICA EGEO PARED 20.5 X 20.5 CM</t>
  </si>
  <si>
    <t>ESTOPA</t>
  </si>
  <si>
    <t>PUERTA PERSIANA 1,90 X 2,10</t>
  </si>
  <si>
    <t>Cotización EUROPUERTAS</t>
  </si>
  <si>
    <t>PUERTA PERSIANA 0,90 X 2,10</t>
  </si>
  <si>
    <t xml:space="preserve">MODULO MALLA ONDULADA 2,70 X 1,80 </t>
  </si>
  <si>
    <t>Cotización METROMALLAS</t>
  </si>
  <si>
    <t>Equipos</t>
  </si>
  <si>
    <t>Demoledor pavimento</t>
  </si>
  <si>
    <t>hora</t>
  </si>
  <si>
    <t>Mezcladora</t>
  </si>
  <si>
    <t>Pulidora</t>
  </si>
  <si>
    <t>Cortadora de hormigón</t>
  </si>
  <si>
    <t>Hidrolavadora</t>
  </si>
  <si>
    <t>Pistola de aire caliente</t>
  </si>
  <si>
    <t>Taladro</t>
  </si>
  <si>
    <t>ANDAMIO COMPLETO + RUEDAS</t>
  </si>
  <si>
    <t>Dia</t>
  </si>
  <si>
    <t>CORTADORA DE LADRILLO + OPERADOR</t>
  </si>
  <si>
    <t>ANEXO 5 - PRESUPUESTO OFICIAL 2026</t>
  </si>
  <si>
    <t xml:space="preserve">MANTENIMIENTO EQUIPOS DE AIRE ACONDICIONADO </t>
  </si>
  <si>
    <t>Un</t>
  </si>
  <si>
    <t>Cant</t>
  </si>
  <si>
    <t xml:space="preserve">Rutinas </t>
  </si>
  <si>
    <t>Vr.Unit</t>
  </si>
  <si>
    <t>Vr. Total</t>
  </si>
  <si>
    <t xml:space="preserve">1. MANTENIMIENTO PREVENTIVO EQUIPOS DE AIRE ACONDICIONADO </t>
  </si>
  <si>
    <t>Mantenimiento Preventivo Integral de Unidades Manejadoras de Aire (4,000 a 21,696 CFM - 15 a 25 TR) Incluyendo: elementos de transmisión, componentes eléctricos y de control, elementos mecánicos y de soporte, componentes hidráulicos y de refrigeración, calidad de aire, conforme a actividades definidas en el anexo técnico.</t>
  </si>
  <si>
    <t>GLO</t>
  </si>
  <si>
    <t>Mantenimiento Preventivo Integral de Fancoils  incluyendo: inspección, ajuste, limpieza, lubricación, diagnóstico y pruebas funcionales en elementos de transmisión, componentes eléctricos y de control, elementos mecánicos y de soporte, componentes hidráulicos y de refrigeración, y sistemas de calidad de aire, conforme a actividades definidas en el anexo técnico</t>
  </si>
  <si>
    <t>Mantenimiento Preventivo Integral de Equipos Tipo Paquete de Agua Helada - Incluye: inspección, ajuste, limpieza, lubricación, diagnóstico y pruebas funcionales en elementos de transmisión, componentes eléctricos y de control, elementos mecánicos y de soporte, componentes hidráulicos y de refrigeración, y sistemas de calidad de aire, conforme a actividades definidas en el anexo técnico</t>
  </si>
  <si>
    <t>Mantenimiento Preventivo Integral de Equipos Tipo Paquete de Expansión Directa - Incluye: inspección, ajuste, limpieza, lubricación, diagnóstico y pruebas funcionales en elementos de transmisión, componentes eléctricos y de control, elementos mecánicos y de soporte, componentes hidráulicos y de refrigeración, y sistemas de calidad de aire, conforme a actividades definidas en el anexo técnico</t>
  </si>
  <si>
    <t>Mantenimiento Preventivo Integral de Equipos Tipo Ventana y Portátiles - Incluye: inspección, ajuste, limpieza, lubricación, diagnóstico y pruebas funcionales en elementos de transmisión, componentes eléctricos y de control, elementos mecánicos y de soporte, componentes hidráulicos y de refrigeración, y sistemas de calidad de aire, conforme a actividades definidas en el anexo técnico</t>
  </si>
  <si>
    <t>Mantenimiento Preventivo Integral de Unidad Interna (Evaporadora) de Aire Acondicionado de Expansión Directa (desde 9,000 BTU en adelante) - Incluye: inspección, limpieza, lubricación, ajuste, diagnóstico y pruebas funcionales en elementos mecánicos, eléctricos y de control, componentes de soporte, sistemas hidráulicos y de refrigeración, y calidad de aire, conforme a actividades definidas en el anexo técnico.</t>
  </si>
  <si>
    <t>Mantenimiento Preventivo Integral de Condensadoras de Aire Acondicionado de Expansión Directa (Desde 9,000 BTU en adelante): Incluye Limpieza Interior y Exterior, Revisión y Mantenimiento de Componentes Eléctricos, Mecánicos y de Refrigeración, Verificación de la Operación de Válvulas, Medición de Presión de Refrigerante y Control de Bandas, Poleas y Motores Eléctricos</t>
  </si>
  <si>
    <t>Mantenimiento Preventivo Integral de Condensadoras Tipo VRF - Incluye inspección, limpieza y mantenimiento de componentes eléctricos, mecánicos y del sistema de refrigeración, tales como compresores, serpentines, válvulas de servicio, sensores, ventiladores, bandejas, líneas de refrigerante y drenajes, conforme a actividades detalladas en el anexo técnico</t>
  </si>
  <si>
    <t>Mantenimiento Preventivo Integral de Unidad Interna (Evaporadora) de Aire Acondicionado de Expansión Directa (desde 9,000 BTU en adelante) del Laboratorio Departamental – Incluye: inspección, limpieza, lubricación, ajuste, diagnóstico y pruebas funcionales en elementos mecánicos, eléctricos y de control, componentes de soporte, sistemas hidráulicos y de refrigeración, y calidad de aire, conforme a actividades definidas en el anexo técnico.</t>
  </si>
  <si>
    <t xml:space="preserve">GLO </t>
  </si>
  <si>
    <t xml:space="preserve">Mantenimiento preventivo y correctivo de los sistemas de aire acondicionados de precisión del centro de computo ubicados en el edificio de la gobernación de antioquia, según actividades definidas en el anexo técnico </t>
  </si>
  <si>
    <t>1,12.1</t>
  </si>
  <si>
    <t xml:space="preserve">Mantenimiento preventivo y correctivo de los sistemas de aire acondicionados de precisión del Archivo y Edatel, según actividades definidas en el anexo técnico </t>
  </si>
  <si>
    <t>Mantenimiento preventivo de extractor de aire en laboratorio departamental. Incluye inspección general, limpieza del equipo (hélices, carcasa, rejillas), revisión y ajuste de partes mecánicas, verificación eléctrica, lubricación si aplica, pruebas de funcionamiento y reposición de filtros de aire.</t>
  </si>
  <si>
    <t xml:space="preserve">Total mantenimiento preventivo </t>
  </si>
  <si>
    <t>2. MANTENIMIENTO DISTRIBUCIÓN DE AIRE</t>
  </si>
  <si>
    <t>Mantenimiento de ductos del Sistema de Distribución de Aire – Incluye inspección del estado y aislamiento de ductos, reparación de fugas, y verificación de soportes, conforme a actividades detalladas en el anexo técnico</t>
  </si>
  <si>
    <t>Mantenimiento Preventivo de Rejillas y Difusores del Sistema de Distribución de Aire – Incluye limpieza y verificación funcional, conforme a actividades detalladas en el anexo técnico</t>
  </si>
  <si>
    <t xml:space="preserve">Total mantenimiento distribución de aire </t>
  </si>
  <si>
    <t xml:space="preserve">3. MANTENIMIENTO PREVENTIVO EQUIPOS COMPLEMENTARIOS </t>
  </si>
  <si>
    <t>Servicio de mantenimiento preventivo y habilitación operativa de extractores o inyectores de aire, que contempla la inspección del sistema eléctrico y de control, limpieza general, lubricación de componentes mecánicos, y elaboración de un informe del estado final del equipo, de acuerdo con las actividades establecidas en el anexo técnico</t>
  </si>
  <si>
    <t>Mantenimiento preventivo de puertas automatizadas de parqueadero – Incluye verificación del sistema de apertura y cierre, inspección de rieles, cadenas o cremalleras, lubricación de mecanismos móviles, revisión de sensores de presencia, chequeo del panel de control, aseguramiento de la estructura y prueba funcional completa, conforme a actividades definidas en el anexo técnico</t>
  </si>
  <si>
    <t>Mantenimiento preventivo de puertas presurizadas – Incluye revisión de gato hidráulico, comprobación de cierre automático, ajuste de velocidad y amortiguación, inspección y lubricación de bisagras, verificación de sellos perimetrales, alineamiento estructural, detección de obstrucciones y prueba funcional completa, conforme a actividades definidas en el anexo técnico</t>
  </si>
  <si>
    <t xml:space="preserve">Mantenimiento preventivo de equipos de gimnasio – Incluye inspección de funcionamiento general, lubricación de poleas y rieles, revisión de cables y bandas, verificación de pantallas o interfaces, comprobación de tornillería estructural, limpieza con productos no corrosivos y reporte de daños en tapicería, conforme a actividades definidas en el anexo técnico
</t>
  </si>
  <si>
    <t>Mantenimiento preventivo al sistema DMS2 del laboratorio Departamental, incluyendo respaldo de configuración, verificación de comunicación con equipos HVAC, análisis de alarmas y actualización del software de monitoreo.</t>
  </si>
  <si>
    <t>Mantenimiento preventivo a compactadora de 7 toneladas, incluyendo requintada de tornillos, ajustes en sensores de inicio y fin de carrera, limpieza general con aire a presión, lubricación de componentes móviles, revisión de filtros, inspección de tuberías, detección de posibles fugas, verificación de guías y control de niveles de aceite para asegurar su correcto funcionamiento.</t>
  </si>
  <si>
    <t>Total mantenimiento equipos complementarios.</t>
  </si>
  <si>
    <t xml:space="preserve">4. MANTENIMIENTO CORRECTIVO </t>
  </si>
  <si>
    <t>Reparación de electrobomba de impulsión de 12 a 15 HP 220/400V diámetro de salida 2", presión de 140 PSI, trifásica,
velocidad de 3500 RPM, incluye kit completo de rodamientos, embobinado, sello mecánico y pintura.</t>
  </si>
  <si>
    <t>Reparación de motor de puerta eléctrica 220V de 3HP, incluye mantenimiento y lubricación de partes móviles y cambio de
partes móviles dañadas.</t>
  </si>
  <si>
    <t>Mantenimiento correctivo de ductos del sistema de distribución de aire, que incluye la inspección del estado físico y del aislamiento, la reparación de fugas de aire mediante aplicación de selladores, cintas aluminizadas o refuerzos, y la verificación, ajuste o reposición de soportes estructurales deteriorados, de acuerdo con lo definido en el anexo técnico.</t>
  </si>
  <si>
    <t>Suministro, instalación, calibración y retiro del equipo existente para sistemas de presurización tipo HIDROFLO, utilizado en redes hidráulicas de edificaciones. El ítem contempla todas las actividades necesarias para garantizar el funcionamiento correcto del nuevo equipo, cumpliendo con los requisitos técnicos, eléctricos e hidráulicos.</t>
  </si>
  <si>
    <t>Reparación integral de motor eléctrico con potencia entre 1 y 10 HP, que incluye desmontaje, diagnóstico, sustitución de rodamientos, reparación o rectificación de eje, pintura, conexionado eléctrico y pruebas funcionales para asegurar el correcto funcionamiento del motor.</t>
  </si>
  <si>
    <t>Suministro, retiro e instalación de contactor trifásico 3 polos, 25 amperios, categoría AC3, tensión de bobina 220V 60Hz, con contacto auxiliar normalmente abierto (1NA). Incluye desconexión del contactor averiado, verificación del cableado, montaje del nuevo equipo, pruebas de funcionamiento y puesta en marcha.</t>
  </si>
  <si>
    <t>Suministro, retiro e instalación de relé térmico de 25 amperios compatible con contactor trifásico. Incluye desmontaje del relé averiado, conexión del nuevo equipo, verificación de fases, pruebas de disparo y puesta en funcionamiento del sistema.</t>
  </si>
  <si>
    <t>Suministro, retiro e instalación de temporizador electrónico AC110V 16A 250VAC. Incluye desmontaje del equipo anterior, instalación del nuevo dispositivo, conexión eléctrica, verificación de continuidad y puesta en funcionamiento del sistema.</t>
  </si>
  <si>
    <t>Suministro e instalación de chumacera tipo flanche cuadrado UCF209-28, con eje de 1-3/4", incluyendo retiro de la unidad existente, limpieza y preparación del área de montaje, montaje del nuevo rodamiento, alineación con el eje, fijación con pernos, aplicación de lubricante y verificación de funcionamiento.</t>
  </si>
  <si>
    <t>Suministro e instalación de bomba de condensado para sistema de drenaje incluyendo el retiro de la bomba existente (si aplica), desconexión eléctrica e hidráulica, limpieza del área de trabajo, preparación de puntos de anclaje, conexión de línea de drenaje, instalación del nuevo equipo, reconexión eléctrica con pruebas de funcionamiento.</t>
  </si>
  <si>
    <t>Suministro e instalación de prefiltros tipo guata y filtros HEPA en extractores y unidades manejadoras de aire (UMA) del laboratorio departamental, incluyendo retiro y disposición de filtros usados, limpieza de portafiltros, pruebas de ajuste y registro de mantenimiento preventivo, de acuerdo con especificaciones técnicas y normativas vigentes.</t>
  </si>
  <si>
    <t>Suministro, instalación y puesta en marcha de extractor axial de 6 pulgadas para baños y cafetines del Centro Administrativo Departamental (CAD), incluyendo materiales, conexión eléctrica, fijación mecánica, sellado y pruebas de funcionamiento, conforme a especificaciones técnicas del fabricante</t>
  </si>
  <si>
    <t>Total mantenimiento correctivos .</t>
  </si>
  <si>
    <t xml:space="preserve">5. BOLSA DE REPUESTOS </t>
  </si>
  <si>
    <t>Bolsa presupuestal para la provisión de repuestos, materiales o componentes no contemplados en el listado y que corresponden al alcance del contrato, que puedan ser requeridos durante la ejecución del contrato, previa justificación técnica y autorización expresa del supervisor o interventor.</t>
  </si>
  <si>
    <t xml:space="preserve">Total bolsa de repuestos </t>
  </si>
  <si>
    <t>COSTO DIRECTO SIN AU</t>
  </si>
  <si>
    <t>SUMA</t>
  </si>
  <si>
    <t xml:space="preserve">ADMINISTRACION </t>
  </si>
  <si>
    <t>UTILIDAD 5%</t>
  </si>
  <si>
    <t>TOTAL INCLUIDO AU</t>
  </si>
  <si>
    <t>PÓLIZAS DE GARANTÍA (Valor máximo a reconocer contra factura o comprobante de pago)</t>
  </si>
  <si>
    <t>TOTAL (INCLUIDO AU Y PÓLIZAS)</t>
  </si>
  <si>
    <t>PRESUPUESTO MANTENIMIENTO 2026</t>
  </si>
  <si>
    <t>Mantenimiento Preventivo Integral de Unidades Manejadoras de aire (4,000 a 21,696 CFM - 15 a 25 TR) Incluyendo: elementos de transmisión, componentes eléctricos y de control, elementos mecánicos y de soporte, componentes hidráulicos y de refrigeración, calidad de aire, conforme a actividades definidas en el anexo técnico.</t>
  </si>
  <si>
    <t>Mantenimiento preventivo y correctivo de los sistemas de aire acondicionados de precisión del centro de computo ubicados en el edificio de la gobernación de antioquia, según actividades definidas en el anexo técnico TIC</t>
  </si>
  <si>
    <t>Bolsa presupuestal para la provisión de repuestos, materiales o componentes no contemplados en el listado y que corresponden al aalcance del contrato, que puedan ser requeridos durante la ejecución del contrato, previa justificación técnica y autorización expresa del supervisor o interventor.</t>
  </si>
  <si>
    <t>PRESUPUESTO MANTENIMIENTO 2025</t>
  </si>
  <si>
    <t>Mantenimiento preventivo y correctivo de los sistemas de aire acondicionados de precisión del centro de computo ubicados en el edificio de la gobernación de antioquia, según actividades definidas en el anexo técnico (TIC)</t>
  </si>
  <si>
    <t>ANALISIS DE PRECIOS UNITARIOS</t>
  </si>
  <si>
    <t>ITEM:</t>
  </si>
  <si>
    <t>Subanálisis</t>
  </si>
  <si>
    <t>UNIDAD:</t>
  </si>
  <si>
    <t xml:space="preserve">DESCRIPCIÓN: </t>
  </si>
  <si>
    <t>TORRE DE ANDAMIOS ALTURA 3 METROS CON CANES Y RUEDAS</t>
  </si>
  <si>
    <t>I.   HERRAMIENTA</t>
  </si>
  <si>
    <t>Descripción</t>
  </si>
  <si>
    <t>Tipo</t>
  </si>
  <si>
    <t>Tarifa/Hora</t>
  </si>
  <si>
    <t>Rendimiento</t>
  </si>
  <si>
    <t>Valor Unitario</t>
  </si>
  <si>
    <t>SUB-TOTAL</t>
  </si>
  <si>
    <t>II.   MAQUINARIA Y EQUIPO</t>
  </si>
  <si>
    <t>Unidad</t>
  </si>
  <si>
    <t>Precio Unitario</t>
  </si>
  <si>
    <t>Cantidad</t>
  </si>
  <si>
    <t>III.   MATERIALES EN  OBRA</t>
  </si>
  <si>
    <t>CUERPOS DE ANDAMIOS</t>
  </si>
  <si>
    <t>CANES</t>
  </si>
  <si>
    <t>RUEDAS</t>
  </si>
  <si>
    <t>OTROS</t>
  </si>
  <si>
    <t>IV.   TRANSPORTES</t>
  </si>
  <si>
    <t>Material</t>
  </si>
  <si>
    <t xml:space="preserve">Vol-Peso </t>
  </si>
  <si>
    <t>Distancia</t>
  </si>
  <si>
    <t>(M3 ó Ton)/km</t>
  </si>
  <si>
    <t>Tarifa</t>
  </si>
  <si>
    <t>Trabajador</t>
  </si>
  <si>
    <t>Jornal</t>
  </si>
  <si>
    <t>Jornal Total</t>
  </si>
  <si>
    <t>IV.   MANO DE OBRA</t>
  </si>
  <si>
    <t>TOTAL COSTO DIRECTO :</t>
  </si>
  <si>
    <t>$ galon</t>
  </si>
  <si>
    <t>$ litro</t>
  </si>
  <si>
    <t>Mercado libre</t>
  </si>
  <si>
    <t>Formex</t>
  </si>
  <si>
    <t>Wellquem</t>
  </si>
  <si>
    <t>$ Prom.</t>
  </si>
  <si>
    <t>Herramienta menor</t>
  </si>
  <si>
    <t>Manual</t>
  </si>
  <si>
    <t xml:space="preserve">Hidrolavadora portatil </t>
  </si>
  <si>
    <t>hr</t>
  </si>
  <si>
    <t xml:space="preserve">Multimetro </t>
  </si>
  <si>
    <t xml:space="preserve">Termometro </t>
  </si>
  <si>
    <t xml:space="preserve">Alquiler </t>
  </si>
  <si>
    <t>Hora</t>
  </si>
  <si>
    <t>Limpiador quimico para serpentines</t>
  </si>
  <si>
    <t>L</t>
  </si>
  <si>
    <t xml:space="preserve">Jabón liquido </t>
  </si>
  <si>
    <t xml:space="preserve">Total </t>
  </si>
  <si>
    <t xml:space="preserve">Trapos </t>
  </si>
  <si>
    <t>und</t>
  </si>
  <si>
    <t xml:space="preserve">Cinta foil </t>
  </si>
  <si>
    <t xml:space="preserve">und </t>
  </si>
  <si>
    <t xml:space="preserve">Cinta aislante </t>
  </si>
  <si>
    <t xml:space="preserve">Limpiador de contactos </t>
  </si>
  <si>
    <t>Jornal (H)</t>
  </si>
  <si>
    <t>Prestaciones (H)</t>
  </si>
  <si>
    <t>Jornal Total (H)</t>
  </si>
  <si>
    <t>Rendimiento (HH)</t>
  </si>
  <si>
    <t xml:space="preserve">Valor total </t>
  </si>
  <si>
    <t>Cinta aislante</t>
  </si>
  <si>
    <t>Pintura</t>
  </si>
  <si>
    <t xml:space="preserve">gl </t>
  </si>
  <si>
    <t>Mantenimiento preventivo a Equipo  A.A.P  realizando las siguientes actividades:
Limpieza general de tapas y exteriores, Lavado de filtros, Lavado de serpentines evaporador y condensador, Verificación general de parámetros, Revisión y limpieza de la bandeja de condensados, Verificación y registro de parámetros de operación (temperaturas, presiones, corrientes, voltajes) los cuales se encuentran de acuerdo a cheklist, Revisión y ajuste de sistemas eléctricos y mecánicos, Validación de eventos.
Lavado de cilindro humectador, El equipo queda operando normalmente.</t>
  </si>
  <si>
    <t>Jabón líquido/desengrasante</t>
  </si>
  <si>
    <t>HEPA</t>
  </si>
  <si>
    <t>Lubricante multipropósito</t>
  </si>
  <si>
    <t>Tela guata</t>
  </si>
  <si>
    <t>Limpiador de contactos</t>
  </si>
  <si>
    <t>ACDEPOT</t>
  </si>
  <si>
    <t xml:space="preserve">Area  </t>
  </si>
  <si>
    <t xml:space="preserve">Precio </t>
  </si>
  <si>
    <t xml:space="preserve">INSULMARKET </t>
  </si>
  <si>
    <t xml:space="preserve">Equipo alturas </t>
  </si>
  <si>
    <t>Alturas</t>
  </si>
  <si>
    <t>Metros</t>
  </si>
  <si>
    <t xml:space="preserve">Empaquetaduras y empaques </t>
  </si>
  <si>
    <t>Cellux</t>
  </si>
  <si>
    <t>un dia dos personas un piso</t>
  </si>
  <si>
    <t xml:space="preserve">Herramienta menor </t>
  </si>
  <si>
    <t xml:space="preserve">Lubricante multiproposito </t>
  </si>
  <si>
    <t>Mantenimiento preventivo de equipos de gimnasio – Incluye inspección de funcionamiento general, lubricación de poleas y rieles, revisión de cables y bandas, verificación de pantallas o interfaces, comprobación de tornillería estructural, limpieza con productos no corrosivos y reporte de daños en tapicería, conforme a actividades definidas en el anexo técnico</t>
  </si>
  <si>
    <t xml:space="preserve">Grasa lubricante </t>
  </si>
  <si>
    <t xml:space="preserve">Pintura </t>
  </si>
  <si>
    <t>Reparación de motor de puerta eléctrica 220V de 3HP, incluye mantenimiento y lubricación de partes móviles y cambio de partes móviles dañadas.</t>
  </si>
  <si>
    <t xml:space="preserve">Lamina poliisocianurato </t>
  </si>
  <si>
    <t xml:space="preserve">Pegante industrial </t>
  </si>
  <si>
    <t>Gal</t>
  </si>
  <si>
    <t>Tanque hidroneumático hydrom-mac 380 L</t>
  </si>
  <si>
    <t xml:space="preserve">Cable para embobinado </t>
  </si>
  <si>
    <t xml:space="preserve">Tornilleria general </t>
  </si>
  <si>
    <t>UND</t>
  </si>
  <si>
    <t>Contactor 3P 1NA 25A AC3 220VAC 60 HZ</t>
  </si>
  <si>
    <t>Rele termico 17-25 A</t>
  </si>
  <si>
    <t>Temporizador electrónico AC110V 16A 250VAC</t>
  </si>
  <si>
    <t>Chumacera tipo flanche cuadrado UCF209-28, con eje de 1-3/4"</t>
  </si>
  <si>
    <t>Suministro e instalación de bomba de condensado para sistema de drenaje, incluyendo el retiro de la bomba existente (si aplica), desconexión eléctrica e hidráulica, limpieza del área de trabajo, preparación de puntos de anclaje, conexión de línea de drenaje, instalación del nuevo equipo, reconexión eléctrica con pruebas de funcionamiento.</t>
  </si>
  <si>
    <t xml:space="preserve">Bomba de condensado tipo tanque 220V </t>
  </si>
  <si>
    <t>I.   MAQUINARIA, EQUIPO Y HERRAMIENTA MENOR</t>
  </si>
  <si>
    <t>II.   MATERIALES EN  OBRA</t>
  </si>
  <si>
    <t>III.   TRANSPORTES</t>
  </si>
  <si>
    <t>Trasporte externo</t>
  </si>
  <si>
    <t>Trasiego interno (Trabajador)</t>
  </si>
  <si>
    <t xml:space="preserve">Filtro tipo cartucho HEPA </t>
  </si>
  <si>
    <t xml:space="preserve">Prefiltro tela guata </t>
  </si>
  <si>
    <t>Extractor de aire 6" con rejilla</t>
  </si>
  <si>
    <t>MT</t>
  </si>
  <si>
    <t>Reparación de electrobomba de impulsión de 12 a 15 HP 220/400V diámetro de salida 2", presión de 140 PSI, trifásica, velocidad de 3500 RPM, incluye kit completo de rodamientos, empaque, tornilleria, sello mecánico y pintura.</t>
  </si>
  <si>
    <t>lubricante</t>
  </si>
  <si>
    <t>Accesorios (tornillería, bisagras, pernos, rieles)</t>
  </si>
  <si>
    <t>Lubricante</t>
  </si>
  <si>
    <t>Rep. Kit Bomba de impulsión HP ( rodamientos, empaque, tornilleria, sello mecánico</t>
  </si>
  <si>
    <t>Mantenimiento Preventivo para electrobombas con potencia hasta 15 HP, según actividades establecidas en el anexo técnico.
Incluye kit completo de rodamientos, empaque, tornilleria, sello mecánico y pintura.</t>
  </si>
  <si>
    <t>se retira</t>
  </si>
  <si>
    <t>Kit reparación (</t>
  </si>
  <si>
    <t>Mantenimiento puerta electrica , incluye mantenimiento y lubricación de partes móviles, cambio de partes móviles dañadas y mantenimiento de motor  220V de 3HP</t>
  </si>
  <si>
    <t>4.2</t>
  </si>
  <si>
    <t>4.3</t>
  </si>
  <si>
    <t>4.4</t>
  </si>
  <si>
    <t>4.5</t>
  </si>
  <si>
    <t>4.6</t>
  </si>
  <si>
    <t>4.7</t>
  </si>
  <si>
    <t>4.8</t>
  </si>
  <si>
    <t>4.9</t>
  </si>
  <si>
    <t>Trasporte</t>
  </si>
  <si>
    <t>Bandas</t>
  </si>
  <si>
    <t>Refrigerante</t>
  </si>
  <si>
    <t>cantidad</t>
  </si>
  <si>
    <t xml:space="preserve">Valor </t>
  </si>
  <si>
    <t>Escalera de 12 peldaños</t>
  </si>
  <si>
    <t>Escalera de 5 peldaños</t>
  </si>
  <si>
    <t>Rep.kit mtto Bomba de impulsión HP (sello, empaque</t>
  </si>
  <si>
    <t xml:space="preserve">Mantenimiento del sistema de climatización y equipos electro mecánicos del Centro Administrativo Departamental y sus Sedes Externas	
LOTE 1		</t>
  </si>
  <si>
    <t xml:space="preserve">Mantenimiento del sistema de climatización y equipos electro mecánicos del Centro Administrativo Departamental y sus Sedes Externas-LOTE 1		</t>
  </si>
  <si>
    <t xml:space="preserve">Mantenimiento del sistema de climatización y equipos electro mecánicos del Centro Administrativo Departamental y sus Sedes Externas. LOTE 1			</t>
  </si>
  <si>
    <t>ESTUDIO PREVIO N°17059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</si>
</sst>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0.00_);_(&quot;$&quot;* \(#,##0.00\);_(&quot;$&quot;* &quot;-&quot;??_);_(@_)"/>
    <numFmt numFmtId="165" formatCode="_-&quot;$&quot;* #,##0_-;\-&quot;$&quot;* #,##0_-;_-&quot;$&quot;* &quot;-&quot;_-;_-@_-"/>
    <numFmt numFmtId="166" formatCode="_-&quot;$&quot;* #,##0.00_-;\-&quot;$&quot;* #,##0.00_-;_-&quot;$&quot;* &quot;-&quot;??_-;_-@_-"/>
    <numFmt numFmtId="167" formatCode="_-&quot;$&quot;\ * #,##0.00_-;\-&quot;$&quot;\ * #,##0.00_-;_-&quot;$&quot;\ * &quot;-&quot;_-;_-@_-"/>
    <numFmt numFmtId="168" formatCode="0.000"/>
    <numFmt numFmtId="169" formatCode="0.0"/>
    <numFmt numFmtId="170" formatCode="_ &quot;$&quot;\ * #,##0.00_ ;_ &quot;$&quot;\ * \-#,##0.00_ ;_ &quot;$&quot;\ * &quot;-&quot;??_ ;_ @_ "/>
    <numFmt numFmtId="171" formatCode="0.0%"/>
    <numFmt numFmtId="172" formatCode="&quot;$&quot;#,##0."/>
    <numFmt numFmtId="173" formatCode="_-* #.##0.00\ _€_-;\-* #.##0.00\ _€_-;_-* &quot;-&quot;??\ _€_-;_-@_-"/>
    <numFmt numFmtId="174" formatCode="_-&quot;$&quot;\ * #,##0.0_-;\-&quot;$&quot;\ * #,##0.0_-;_-&quot;$&quot;\ * &quot;-&quot;?_-;_-@_-"/>
    <numFmt numFmtId="175" formatCode="_-* #,##0.00\ &quot;pta&quot;_-;\-* #,##0.00\ &quot;pta&quot;_-;_-* &quot;-&quot;??\ &quot;pta&quot;_-;_-@_-"/>
    <numFmt numFmtId="176" formatCode="[$$-240A]\ #,##0.00;\-[$$-240A]\ #,##0.00"/>
    <numFmt numFmtId="177" formatCode="[$$-240A]\ #,##0;\-[$$-240A]\ #,##0"/>
    <numFmt numFmtId="178" formatCode="[$$-240A]\ #,##0.0;\-[$$-240A]\ #,##0.0"/>
    <numFmt numFmtId="179" formatCode="_-&quot;$&quot;* #,##0.00_-;\-&quot;$&quot;* #,##0.00_-;_-&quot;$&quot;* &quot;-&quot;_-;_-@_-"/>
    <numFmt numFmtId="180" formatCode="_-&quot;$&quot;* #,##0.00_-;\-&quot;$&quot;* #,##0.00_-;_-&quot;$&quot;* &quot;-&quot;?_-;_-@_-"/>
    <numFmt numFmtId="181" formatCode="_-&quot;$&quot;\ * #,##0.0000_-;\-&quot;$&quot;\ * #,##0.0000_-;_-&quot;$&quot;\ * &quot;-&quot;??_-;_-@_-"/>
    <numFmt numFmtId="182" formatCode="&quot;$&quot;\ #,##0.00"/>
    <numFmt numFmtId="183" formatCode="0.000%"/>
    <numFmt numFmtId="184" formatCode="_-&quot;$&quot;\ * #,##0_-;\-&quot;$&quot;\ * #,##0_-;_-&quot;$&quot;\ * &quot;-&quot;??_-;_-@_-"/>
    <numFmt numFmtId="185" formatCode="_(&quot;$&quot;\ * #,##0_);_(&quot;$&quot;\ * \(#,##0\);_(&quot;$&quot;\ * &quot;-&quot;??_);_(@_)"/>
    <numFmt numFmtId="186" formatCode="_-* #,##0.00000_-;\-* #,##0.00000_-;_-* &quot;-&quot;??_-;_-@_-"/>
    <numFmt numFmtId="187" formatCode="_-* #,##0.000_-;\-* #,##0.000_-;_-* &quot;-&quot;??_-;_-@_-"/>
    <numFmt numFmtId="188" formatCode="_-* #,##0.00\ &quot;Pts&quot;_-;\-* #,##0.00\ &quot;Pts&quot;_-;_-* &quot;-&quot;??\ &quot;Pts&quot;_-;_-@_-"/>
    <numFmt numFmtId="189" formatCode="_-* #,##0_-;\-* #,##0_-;_-* &quot;-&quot;??_-;_-@_-"/>
    <numFmt numFmtId="190" formatCode="#,##0.0"/>
    <numFmt numFmtId="191" formatCode="0.00000%"/>
  </numFmts>
  <fonts count="60">
    <font>
      <sz val="11"/>
      <color theme="1"/>
      <name val="Calibri"/>
      <family val="2"/>
      <scheme val="minor"/>
    </font>
    <font>
      <sz val="11"/>
      <color theme="1"/>
      <name val="Calibri"/>
      <family val="2"/>
      <scheme val="minor"/>
    </font>
    <font>
      <sz val="10"/>
      <color theme="1"/>
      <name val="Arial Narrow"/>
      <family val="2"/>
    </font>
    <font>
      <sz val="11"/>
      <color theme="1"/>
      <name val="Arial Narrow"/>
      <family val="2"/>
    </font>
    <font>
      <b/>
      <sz val="9"/>
      <color theme="1"/>
      <name val="Arial Narrow"/>
      <family val="2"/>
    </font>
    <font>
      <b/>
      <sz val="8"/>
      <color theme="1"/>
      <name val="Arial Narrow"/>
      <family val="2"/>
    </font>
    <font>
      <b/>
      <sz val="12"/>
      <color theme="1"/>
      <name val="Arial Narrow"/>
      <family val="2"/>
    </font>
    <font>
      <b/>
      <sz val="10"/>
      <color theme="1"/>
      <name val="Arial Narrow"/>
      <family val="2"/>
    </font>
    <font>
      <b/>
      <sz val="11"/>
      <color theme="1"/>
      <name val="Arial Narrow"/>
      <family val="2"/>
    </font>
    <font>
      <b/>
      <sz val="6"/>
      <color rgb="FF000080"/>
      <name val="Arial Narrow"/>
      <family val="2"/>
    </font>
    <font>
      <b/>
      <sz val="6"/>
      <color theme="1"/>
      <name val="Arial Narrow"/>
      <family val="2"/>
    </font>
    <font>
      <sz val="8"/>
      <color theme="1"/>
      <name val="Arial Narrow"/>
      <family val="2"/>
    </font>
    <font>
      <sz val="9"/>
      <color theme="1"/>
      <name val="Arial Narrow"/>
      <family val="2"/>
    </font>
    <font>
      <sz val="9"/>
      <color rgb="FF000000"/>
      <name val="Arial Narrow"/>
      <family val="2"/>
    </font>
    <font>
      <sz val="11"/>
      <color indexed="8"/>
      <name val="Calibri"/>
      <family val="2"/>
    </font>
    <font>
      <sz val="10"/>
      <name val="Arial"/>
      <family val="2"/>
    </font>
    <font>
      <sz val="11"/>
      <color indexed="17"/>
      <name val="Calibri"/>
      <family val="2"/>
    </font>
    <font>
      <sz val="12"/>
      <color theme="1"/>
      <name val="Arial"/>
      <family val="2"/>
    </font>
    <font>
      <sz val="11"/>
      <name val="Arial Narrow"/>
      <family val="2"/>
    </font>
    <font>
      <b/>
      <sz val="14"/>
      <color theme="1"/>
      <name val="Arial Narrow"/>
      <family val="2"/>
    </font>
    <font>
      <b/>
      <sz val="16"/>
      <color theme="1"/>
      <name val="Arial Narrow"/>
      <family val="2"/>
    </font>
    <font>
      <sz val="8"/>
      <color rgb="FF000000"/>
      <name val="Arial"/>
      <family val="2"/>
    </font>
    <font>
      <sz val="12"/>
      <color theme="1"/>
      <name val="Arial Narrow"/>
      <family val="2"/>
    </font>
    <font>
      <sz val="11"/>
      <color theme="1"/>
      <name val="Arial"/>
      <family val="2"/>
    </font>
    <font>
      <sz val="11"/>
      <name val="Arial"/>
      <family val="2"/>
    </font>
    <font>
      <sz val="10"/>
      <name val="Calibri"/>
      <family val="2"/>
      <scheme val="minor"/>
    </font>
    <font>
      <sz val="10"/>
      <color indexed="8"/>
      <name val="MS Sans Serif"/>
      <family val="2"/>
    </font>
    <font>
      <b/>
      <sz val="12"/>
      <name val="Arial"/>
      <family val="2"/>
    </font>
    <font>
      <sz val="11"/>
      <name val="Calibri"/>
      <family val="2"/>
      <scheme val="minor"/>
    </font>
    <font>
      <b/>
      <sz val="11"/>
      <name val="Arial"/>
      <family val="2"/>
    </font>
    <font>
      <b/>
      <sz val="11"/>
      <color theme="8" tint="0.39997558519241921"/>
      <name val="Arial"/>
      <family val="2"/>
    </font>
    <font>
      <sz val="11"/>
      <color theme="8" tint="0.39997558519241921"/>
      <name val="Arial"/>
      <family val="2"/>
    </font>
    <font>
      <sz val="12"/>
      <name val="Arial"/>
      <family val="2"/>
    </font>
    <font>
      <b/>
      <sz val="14"/>
      <name val="Arial"/>
      <family val="2"/>
    </font>
    <font>
      <b/>
      <sz val="14"/>
      <color theme="1"/>
      <name val="Arial"/>
      <family val="2"/>
    </font>
    <font>
      <b/>
      <sz val="11"/>
      <color theme="1"/>
      <name val="Calibri"/>
      <family val="2"/>
      <scheme val="minor"/>
    </font>
    <font>
      <b/>
      <sz val="14"/>
      <color theme="0"/>
      <name val="Arial Narrow"/>
      <family val="2"/>
    </font>
    <font>
      <b/>
      <sz val="12"/>
      <color theme="0"/>
      <name val="Arial Narrow"/>
      <family val="2"/>
    </font>
    <font>
      <sz val="11"/>
      <color theme="0"/>
      <name val="Arial Narrow"/>
      <family val="2"/>
    </font>
    <font>
      <b/>
      <sz val="11"/>
      <name val="Calibri"/>
      <family val="2"/>
      <scheme val="minor"/>
    </font>
    <font>
      <b/>
      <sz val="16"/>
      <name val="Calibri"/>
      <family val="2"/>
      <scheme val="minor"/>
    </font>
    <font>
      <sz val="11"/>
      <color theme="1"/>
      <name val="Arial Unicode MS"/>
      <family val="2"/>
    </font>
    <font>
      <sz val="11"/>
      <name val="Arial Unicode MS"/>
      <family val="2"/>
    </font>
    <font>
      <u/>
      <sz val="11"/>
      <color theme="10"/>
      <name val="Calibri"/>
      <family val="2"/>
      <scheme val="minor"/>
    </font>
    <font>
      <sz val="11"/>
      <color rgb="FFFF0000"/>
      <name val="Arial Narrow"/>
      <family val="2"/>
    </font>
    <font>
      <sz val="9"/>
      <name val="Arial"/>
      <family val="2"/>
    </font>
    <font>
      <sz val="8"/>
      <name val="Arial"/>
      <family val="2"/>
    </font>
    <font>
      <sz val="10"/>
      <name val="Arial Narrow"/>
      <family val="2"/>
    </font>
    <font>
      <sz val="11"/>
      <color rgb="FFFF0000"/>
      <name val="Arial"/>
      <family val="2"/>
    </font>
    <font>
      <sz val="12"/>
      <name val="Arial Narrow"/>
      <family val="2"/>
    </font>
    <font>
      <sz val="11"/>
      <color rgb="FFFF0000"/>
      <name val="Calibri"/>
      <family val="2"/>
      <scheme val="minor"/>
    </font>
    <font>
      <sz val="9"/>
      <color rgb="FF000000"/>
      <name val="Arial"/>
      <family val="2"/>
    </font>
    <font>
      <b/>
      <sz val="9"/>
      <color rgb="FF000080"/>
      <name val="Arial Narrow"/>
      <family val="2"/>
    </font>
    <font>
      <sz val="9"/>
      <color theme="1"/>
      <name val="Arial"/>
      <family val="2"/>
    </font>
    <font>
      <sz val="9"/>
      <name val="Arial Narrow"/>
      <family val="2"/>
    </font>
    <font>
      <sz val="9"/>
      <color theme="1"/>
      <name val="Calibri"/>
      <family val="2"/>
      <scheme val="minor"/>
    </font>
    <font>
      <b/>
      <sz val="9"/>
      <color theme="1"/>
      <name val="Calibri"/>
      <family val="2"/>
      <scheme val="minor"/>
    </font>
    <font>
      <sz val="12"/>
      <color rgb="FF222222"/>
      <name val="Arial"/>
      <family val="2"/>
    </font>
    <font>
      <sz val="12"/>
      <color rgb="FF000000"/>
      <name val="Calibri"/>
      <family val="2"/>
      <scheme val="minor"/>
    </font>
    <font>
      <sz val="11"/>
      <color theme="0" tint="-0.34998626667073579"/>
      <name val="Arial Narrow"/>
      <family val="2"/>
    </font>
  </fonts>
  <fills count="16">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C000"/>
        <bgColor indexed="64"/>
      </patternFill>
    </fill>
    <fill>
      <patternFill patternType="solid">
        <fgColor theme="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92D050"/>
        <bgColor indexed="64"/>
      </patternFill>
    </fill>
    <fill>
      <patternFill patternType="solid">
        <fgColor rgb="FF3485A2"/>
        <bgColor indexed="64"/>
      </patternFill>
    </fill>
    <fill>
      <patternFill patternType="solid">
        <fgColor rgb="FFFFFF00"/>
        <bgColor indexed="64"/>
      </patternFill>
    </fill>
    <fill>
      <patternFill patternType="solid">
        <fgColor rgb="FFAAD5E4"/>
        <bgColor indexed="64"/>
      </patternFill>
    </fill>
    <fill>
      <patternFill patternType="solid">
        <fgColor theme="4" tint="0.79998168889431442"/>
        <bgColor indexed="64"/>
      </patternFill>
    </fill>
    <fill>
      <patternFill patternType="solid">
        <fgColor rgb="FFFF0000"/>
        <bgColor indexed="64"/>
      </patternFill>
    </fill>
    <fill>
      <patternFill patternType="solid">
        <fgColor theme="5" tint="0.79998168889431442"/>
        <bgColor indexed="64"/>
      </patternFill>
    </fill>
  </fills>
  <borders count="8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rgb="FF000000"/>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rgb="FF000000"/>
      </right>
      <top style="thin">
        <color rgb="FF000000"/>
      </top>
      <bottom style="medium">
        <color indexed="64"/>
      </bottom>
      <diagonal/>
    </border>
    <border>
      <left/>
      <right style="thin">
        <color rgb="FF000000"/>
      </right>
      <top style="thin">
        <color rgb="FF000000"/>
      </top>
      <bottom/>
      <diagonal/>
    </border>
    <border>
      <left/>
      <right style="medium">
        <color indexed="64"/>
      </right>
      <top/>
      <bottom/>
      <diagonal/>
    </border>
    <border>
      <left style="thin">
        <color indexed="64"/>
      </left>
      <right style="thin">
        <color indexed="64"/>
      </right>
      <top style="thin">
        <color rgb="FF000000"/>
      </top>
      <bottom style="thin">
        <color rgb="FF000000"/>
      </bottom>
      <diagonal/>
    </border>
    <border>
      <left style="medium">
        <color indexed="64"/>
      </left>
      <right/>
      <top/>
      <bottom style="medium">
        <color indexed="64"/>
      </bottom>
      <diagonal/>
    </border>
    <border>
      <left style="thin">
        <color indexed="64"/>
      </left>
      <right style="thin">
        <color indexed="64"/>
      </right>
      <top style="thin">
        <color rgb="FF000000"/>
      </top>
      <bottom/>
      <diagonal/>
    </border>
    <border>
      <left/>
      <right style="thin">
        <color rgb="FF000000"/>
      </right>
      <top/>
      <bottom style="thin">
        <color rgb="FF000000"/>
      </bottom>
      <diagonal/>
    </border>
    <border>
      <left style="medium">
        <color indexed="64"/>
      </left>
      <right/>
      <top style="medium">
        <color indexed="64"/>
      </top>
      <bottom/>
      <diagonal/>
    </border>
    <border>
      <left style="medium">
        <color indexed="64"/>
      </left>
      <right/>
      <top/>
      <bottom/>
      <diagonal/>
    </border>
    <border>
      <left/>
      <right style="thin">
        <color indexed="64"/>
      </right>
      <top/>
      <bottom style="medium">
        <color indexed="64"/>
      </bottom>
      <diagonal/>
    </border>
    <border>
      <left style="medium">
        <color rgb="FF000000"/>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bottom/>
      <diagonal/>
    </border>
    <border>
      <left style="medium">
        <color rgb="FF000000"/>
      </left>
      <right/>
      <top style="thin">
        <color indexed="64"/>
      </top>
      <bottom style="medium">
        <color rgb="FF000000"/>
      </bottom>
      <diagonal/>
    </border>
    <border>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right style="thin">
        <color rgb="FF000000"/>
      </right>
      <top style="thin">
        <color rgb="FF000000"/>
      </top>
      <bottom style="medium">
        <color rgb="FF000000"/>
      </bottom>
      <diagonal/>
    </border>
    <border>
      <left style="thin">
        <color indexed="64"/>
      </left>
      <right style="medium">
        <color rgb="FF000000"/>
      </right>
      <top/>
      <bottom style="medium">
        <color rgb="FF000000"/>
      </bottom>
      <diagonal/>
    </border>
  </borders>
  <cellStyleXfs count="24">
    <xf numFmtId="0" fontId="0" fillId="0" borderId="0"/>
    <xf numFmtId="42" fontId="1" fillId="0" borderId="0" applyFont="0" applyFill="0" applyBorder="0" applyAlignment="0" applyProtection="0"/>
    <xf numFmtId="9" fontId="1" fillId="0" borderId="0" applyFont="0" applyFill="0" applyBorder="0" applyAlignment="0" applyProtection="0"/>
    <xf numFmtId="0" fontId="1" fillId="0" borderId="0"/>
    <xf numFmtId="0" fontId="14" fillId="0" borderId="0"/>
    <xf numFmtId="0" fontId="15" fillId="0" borderId="0"/>
    <xf numFmtId="0" fontId="1" fillId="0" borderId="0"/>
    <xf numFmtId="0" fontId="15" fillId="0" borderId="0"/>
    <xf numFmtId="13" fontId="16" fillId="0" borderId="0" applyFont="0" applyFill="0" applyProtection="0"/>
    <xf numFmtId="0" fontId="1" fillId="0" borderId="0"/>
    <xf numFmtId="9" fontId="17" fillId="0" borderId="0" applyFont="0" applyFill="0" applyBorder="0" applyAlignment="0" applyProtection="0"/>
    <xf numFmtId="170" fontId="15" fillId="0" borderId="0" applyFont="0" applyFill="0" applyBorder="0" applyAlignment="0" applyProtection="0"/>
    <xf numFmtId="165" fontId="1" fillId="0" borderId="0" applyFont="0" applyFill="0" applyBorder="0" applyAlignment="0" applyProtection="0"/>
    <xf numFmtId="173" fontId="15" fillId="0" borderId="0" applyFont="0" applyFill="0" applyBorder="0" applyAlignment="0" applyProtection="0"/>
    <xf numFmtId="0" fontId="26" fillId="0" borderId="0"/>
    <xf numFmtId="175"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4" fontId="1" fillId="0" borderId="0" applyFont="0" applyFill="0" applyBorder="0" applyAlignment="0" applyProtection="0"/>
    <xf numFmtId="0" fontId="43" fillId="0" borderId="0" applyNumberFormat="0" applyFill="0" applyBorder="0" applyAlignment="0" applyProtection="0"/>
    <xf numFmtId="188" fontId="15" fillId="0" borderId="0" applyFont="0" applyFill="0" applyBorder="0" applyAlignment="0" applyProtection="0"/>
    <xf numFmtId="0" fontId="1" fillId="0" borderId="0"/>
  </cellStyleXfs>
  <cellXfs count="1033">
    <xf numFmtId="0" fontId="0" fillId="0" borderId="0" xfId="0"/>
    <xf numFmtId="0" fontId="3" fillId="0" borderId="0" xfId="0" applyFont="1" applyAlignment="1">
      <alignment wrapText="1"/>
    </xf>
    <xf numFmtId="0" fontId="3" fillId="0" borderId="0" xfId="0" applyFont="1"/>
    <xf numFmtId="0" fontId="2" fillId="0" borderId="3" xfId="0" applyFont="1" applyBorder="1" applyAlignment="1">
      <alignment vertical="center"/>
    </xf>
    <xf numFmtId="0" fontId="5" fillId="0" borderId="0" xfId="0" applyFont="1" applyAlignment="1">
      <alignment horizontal="right" vertical="center"/>
    </xf>
    <xf numFmtId="0" fontId="7" fillId="0" borderId="4" xfId="0" applyFont="1" applyBorder="1" applyAlignment="1">
      <alignment horizontal="center" vertical="center"/>
    </xf>
    <xf numFmtId="0" fontId="7" fillId="0" borderId="1" xfId="0" applyFont="1" applyBorder="1" applyAlignment="1">
      <alignment vertical="center"/>
    </xf>
    <xf numFmtId="0" fontId="7" fillId="0" borderId="1" xfId="0" applyFont="1" applyBorder="1" applyAlignment="1">
      <alignment horizontal="left" vertical="center"/>
    </xf>
    <xf numFmtId="0" fontId="10" fillId="0" borderId="0" xfId="0" applyFont="1" applyAlignment="1">
      <alignment horizontal="center" vertical="center"/>
    </xf>
    <xf numFmtId="0" fontId="6" fillId="0" borderId="0" xfId="0" applyFont="1" applyAlignment="1">
      <alignment horizontal="center" vertical="center"/>
    </xf>
    <xf numFmtId="0" fontId="5" fillId="0" borderId="1" xfId="0" applyFont="1" applyBorder="1" applyAlignment="1">
      <alignment vertical="center"/>
    </xf>
    <xf numFmtId="167" fontId="5" fillId="2" borderId="5" xfId="1" applyNumberFormat="1" applyFont="1" applyFill="1" applyBorder="1" applyAlignment="1">
      <alignment horizontal="righ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11" fillId="0" borderId="19" xfId="0" applyFont="1" applyBorder="1" applyAlignment="1">
      <alignment horizontal="center" vertical="center"/>
    </xf>
    <xf numFmtId="0" fontId="2" fillId="0" borderId="20" xfId="0" applyFont="1" applyBorder="1" applyAlignment="1">
      <alignment vertical="center"/>
    </xf>
    <xf numFmtId="0" fontId="11" fillId="0" borderId="20" xfId="0" applyFont="1" applyBorder="1" applyAlignment="1">
      <alignment vertical="center"/>
    </xf>
    <xf numFmtId="0" fontId="11" fillId="0" borderId="21" xfId="0" applyFont="1" applyBorder="1" applyAlignment="1">
      <alignment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2" fillId="0" borderId="11" xfId="0" applyFont="1" applyBorder="1" applyAlignment="1">
      <alignment vertical="center"/>
    </xf>
    <xf numFmtId="42" fontId="12" fillId="0" borderId="11" xfId="1" applyFont="1" applyBorder="1" applyAlignment="1">
      <alignment vertical="center"/>
    </xf>
    <xf numFmtId="42" fontId="12" fillId="0" borderId="11" xfId="1" applyFont="1" applyBorder="1" applyAlignment="1">
      <alignment horizontal="right" vertical="center"/>
    </xf>
    <xf numFmtId="0" fontId="12" fillId="0" borderId="11" xfId="0" applyFont="1" applyBorder="1" applyAlignment="1">
      <alignment horizontal="right" vertical="center"/>
    </xf>
    <xf numFmtId="0" fontId="12" fillId="0" borderId="16" xfId="0" applyFont="1" applyBorder="1" applyAlignment="1">
      <alignment vertical="center"/>
    </xf>
    <xf numFmtId="167" fontId="4" fillId="2" borderId="5" xfId="1" applyNumberFormat="1" applyFont="1" applyFill="1" applyBorder="1" applyAlignment="1">
      <alignment horizontal="right" vertical="center"/>
    </xf>
    <xf numFmtId="0" fontId="12" fillId="0" borderId="11" xfId="0" applyFont="1" applyBorder="1" applyAlignment="1">
      <alignment horizontal="center" vertical="center"/>
    </xf>
    <xf numFmtId="2" fontId="12" fillId="0" borderId="11" xfId="0" applyNumberFormat="1" applyFont="1" applyBorder="1" applyAlignment="1">
      <alignment horizontal="center" vertical="center"/>
    </xf>
    <xf numFmtId="0" fontId="12" fillId="0" borderId="14" xfId="0" applyFont="1" applyBorder="1" applyAlignment="1">
      <alignment vertical="center"/>
    </xf>
    <xf numFmtId="0" fontId="12" fillId="0" borderId="15" xfId="0" applyFont="1" applyBorder="1" applyAlignment="1">
      <alignment vertical="center"/>
    </xf>
    <xf numFmtId="0" fontId="13" fillId="0" borderId="16" xfId="0" applyFont="1" applyBorder="1" applyAlignment="1">
      <alignment horizontal="right" vertical="center"/>
    </xf>
    <xf numFmtId="9" fontId="12" fillId="0" borderId="11" xfId="2" applyFont="1" applyBorder="1" applyAlignment="1">
      <alignment horizontal="center" vertical="center"/>
    </xf>
    <xf numFmtId="42" fontId="12" fillId="0" borderId="11" xfId="1" applyFont="1" applyBorder="1" applyAlignment="1">
      <alignment horizontal="center" vertical="center"/>
    </xf>
    <xf numFmtId="42" fontId="12" fillId="0" borderId="16" xfId="1" applyFont="1" applyBorder="1" applyAlignment="1">
      <alignment vertical="center"/>
    </xf>
    <xf numFmtId="168" fontId="12" fillId="0" borderId="11" xfId="0" applyNumberFormat="1" applyFont="1" applyBorder="1" applyAlignment="1">
      <alignment horizontal="center" vertical="center"/>
    </xf>
    <xf numFmtId="42" fontId="3" fillId="0" borderId="0" xfId="1" applyFont="1" applyAlignment="1">
      <alignment wrapText="1"/>
    </xf>
    <xf numFmtId="1" fontId="3" fillId="0" borderId="0" xfId="0" applyNumberFormat="1" applyFont="1" applyAlignment="1">
      <alignment horizontal="center" vertical="center" wrapText="1"/>
    </xf>
    <xf numFmtId="42" fontId="3" fillId="0" borderId="0" xfId="1" applyFont="1" applyBorder="1" applyAlignment="1">
      <alignment horizontal="right" vertical="center" wrapText="1"/>
    </xf>
    <xf numFmtId="6" fontId="3" fillId="0" borderId="0" xfId="0" applyNumberFormat="1"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42" fontId="3" fillId="0" borderId="0" xfId="1" applyFont="1" applyBorder="1" applyAlignment="1">
      <alignment horizontal="center" vertical="center" wrapText="1"/>
    </xf>
    <xf numFmtId="0" fontId="3" fillId="0" borderId="11" xfId="0" applyFont="1" applyBorder="1" applyAlignment="1">
      <alignment horizontal="center" vertical="center" wrapText="1"/>
    </xf>
    <xf numFmtId="9" fontId="3" fillId="0" borderId="11" xfId="2" applyFont="1" applyBorder="1" applyAlignment="1">
      <alignment horizontal="center" vertical="center" wrapText="1"/>
    </xf>
    <xf numFmtId="1" fontId="3" fillId="0" borderId="11" xfId="0" applyNumberFormat="1" applyFont="1" applyBorder="1" applyAlignment="1">
      <alignment horizontal="center" vertical="center" wrapText="1"/>
    </xf>
    <xf numFmtId="0" fontId="8" fillId="0" borderId="22"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justify"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justify" vertical="center" wrapText="1"/>
    </xf>
    <xf numFmtId="0" fontId="3" fillId="0" borderId="16" xfId="0" applyFont="1" applyBorder="1" applyAlignment="1">
      <alignment horizontal="center" vertical="center" wrapText="1"/>
    </xf>
    <xf numFmtId="1" fontId="3" fillId="0" borderId="16" xfId="0" applyNumberFormat="1"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justify" vertical="center" wrapText="1"/>
    </xf>
    <xf numFmtId="0" fontId="3" fillId="0" borderId="29" xfId="0" applyFont="1" applyBorder="1" applyAlignment="1">
      <alignment horizontal="center" vertical="center" wrapText="1"/>
    </xf>
    <xf numFmtId="0" fontId="8" fillId="3" borderId="28"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2" fillId="0" borderId="0" xfId="0" applyFont="1" applyAlignment="1">
      <alignment wrapText="1"/>
    </xf>
    <xf numFmtId="0" fontId="8" fillId="0" borderId="13" xfId="0" applyFont="1" applyBorder="1" applyAlignment="1">
      <alignment horizontal="center" vertical="center" wrapText="1"/>
    </xf>
    <xf numFmtId="0" fontId="8" fillId="3" borderId="38" xfId="0" applyFont="1" applyFill="1" applyBorder="1" applyAlignment="1">
      <alignment horizontal="center" vertical="center" wrapText="1"/>
    </xf>
    <xf numFmtId="42" fontId="12" fillId="0" borderId="11" xfId="1" applyFont="1" applyFill="1" applyBorder="1" applyAlignment="1">
      <alignment horizontal="right" vertical="center"/>
    </xf>
    <xf numFmtId="42" fontId="3" fillId="0" borderId="0" xfId="0" applyNumberFormat="1" applyFont="1" applyAlignment="1">
      <alignment wrapText="1"/>
    </xf>
    <xf numFmtId="42" fontId="12" fillId="0" borderId="11" xfId="0" applyNumberFormat="1" applyFont="1" applyBorder="1" applyAlignment="1">
      <alignment horizontal="right" vertical="center"/>
    </xf>
    <xf numFmtId="0" fontId="7" fillId="0" borderId="3" xfId="0" applyFont="1" applyBorder="1" applyAlignment="1">
      <alignment horizontal="left" vertical="center"/>
    </xf>
    <xf numFmtId="42" fontId="12" fillId="0" borderId="14" xfId="0" applyNumberFormat="1" applyFont="1" applyBorder="1" applyAlignment="1">
      <alignment vertical="center" wrapText="1"/>
    </xf>
    <xf numFmtId="42" fontId="13" fillId="0" borderId="16" xfId="0" applyNumberFormat="1" applyFont="1" applyBorder="1" applyAlignment="1">
      <alignment horizontal="right" vertical="center"/>
    </xf>
    <xf numFmtId="42" fontId="12" fillId="0" borderId="16" xfId="0" applyNumberFormat="1" applyFont="1" applyBorder="1" applyAlignment="1">
      <alignment horizontal="right" vertical="center"/>
    </xf>
    <xf numFmtId="42" fontId="5" fillId="2" borderId="1" xfId="1" applyFont="1" applyFill="1" applyBorder="1" applyAlignment="1">
      <alignment horizontal="right" vertical="center"/>
    </xf>
    <xf numFmtId="9" fontId="3" fillId="0" borderId="29" xfId="0" applyNumberFormat="1" applyFont="1" applyBorder="1" applyAlignment="1">
      <alignment horizontal="center" vertical="center" wrapText="1"/>
    </xf>
    <xf numFmtId="171" fontId="3" fillId="0" borderId="29" xfId="2" applyNumberFormat="1" applyFont="1" applyBorder="1" applyAlignment="1">
      <alignment horizontal="center" vertical="center" wrapText="1"/>
    </xf>
    <xf numFmtId="0" fontId="3" fillId="0" borderId="11" xfId="0" applyFont="1" applyBorder="1" applyAlignment="1">
      <alignment horizontal="justify" vertical="center" wrapText="1"/>
    </xf>
    <xf numFmtId="0" fontId="12" fillId="0" borderId="14" xfId="0" applyFont="1" applyBorder="1" applyAlignment="1">
      <alignment horizontal="left" vertical="center"/>
    </xf>
    <xf numFmtId="42" fontId="12" fillId="0" borderId="11" xfId="1" applyFont="1" applyBorder="1" applyAlignment="1">
      <alignment horizontal="left" vertical="center"/>
    </xf>
    <xf numFmtId="0" fontId="13" fillId="0" borderId="22" xfId="0" applyFont="1" applyBorder="1" applyAlignment="1">
      <alignment vertical="center"/>
    </xf>
    <xf numFmtId="42" fontId="13" fillId="0" borderId="22" xfId="0" applyNumberFormat="1" applyFont="1" applyBorder="1" applyAlignment="1">
      <alignment horizontal="right" vertical="center"/>
    </xf>
    <xf numFmtId="0" fontId="13" fillId="0" borderId="22" xfId="0" applyFont="1" applyBorder="1" applyAlignment="1">
      <alignment horizontal="right" vertical="center"/>
    </xf>
    <xf numFmtId="42" fontId="5" fillId="2" borderId="5" xfId="1" applyFont="1" applyFill="1" applyBorder="1" applyAlignment="1">
      <alignment horizontal="right" vertical="center"/>
    </xf>
    <xf numFmtId="42" fontId="12" fillId="0" borderId="11" xfId="0" applyNumberFormat="1" applyFont="1" applyBorder="1" applyAlignment="1">
      <alignment horizontal="center" vertical="center"/>
    </xf>
    <xf numFmtId="0" fontId="11" fillId="0" borderId="20" xfId="0" applyFont="1" applyBorder="1" applyAlignment="1">
      <alignment horizontal="center" vertical="center"/>
    </xf>
    <xf numFmtId="0" fontId="3" fillId="0" borderId="0" xfId="0" applyFont="1" applyAlignment="1">
      <alignment horizontal="center" vertical="center"/>
    </xf>
    <xf numFmtId="4" fontId="21" fillId="0" borderId="41" xfId="0" applyNumberFormat="1" applyFont="1" applyBorder="1" applyAlignment="1">
      <alignment horizontal="right" vertical="center" wrapText="1" readingOrder="1"/>
    </xf>
    <xf numFmtId="4" fontId="21" fillId="0" borderId="41" xfId="0" applyNumberFormat="1" applyFont="1" applyBorder="1" applyAlignment="1">
      <alignment horizontal="right" vertical="top" wrapText="1" readingOrder="1"/>
    </xf>
    <xf numFmtId="10" fontId="8" fillId="0" borderId="22" xfId="0" applyNumberFormat="1" applyFont="1" applyBorder="1" applyAlignment="1">
      <alignment horizontal="center" vertical="center" wrapText="1"/>
    </xf>
    <xf numFmtId="1" fontId="3" fillId="0" borderId="13" xfId="0" applyNumberFormat="1" applyFont="1" applyBorder="1" applyAlignment="1">
      <alignment horizontal="center" vertical="center" wrapText="1"/>
    </xf>
    <xf numFmtId="1" fontId="3" fillId="0" borderId="29" xfId="0" applyNumberFormat="1" applyFont="1" applyBorder="1" applyAlignment="1">
      <alignment horizontal="center" vertical="center" wrapText="1"/>
    </xf>
    <xf numFmtId="0" fontId="8" fillId="3" borderId="36"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3" xfId="0" applyFont="1" applyBorder="1" applyAlignment="1">
      <alignment horizontal="justify" vertical="center" wrapText="1"/>
    </xf>
    <xf numFmtId="42" fontId="3" fillId="4" borderId="13" xfId="1" applyFont="1" applyFill="1" applyBorder="1" applyAlignment="1">
      <alignment horizontal="center" vertical="center" wrapText="1"/>
    </xf>
    <xf numFmtId="42" fontId="3" fillId="4" borderId="11" xfId="1" applyFont="1" applyFill="1" applyBorder="1" applyAlignment="1">
      <alignment horizontal="center" vertical="center" wrapText="1"/>
    </xf>
    <xf numFmtId="42" fontId="3" fillId="4" borderId="16" xfId="1" applyFont="1" applyFill="1" applyBorder="1" applyAlignment="1">
      <alignment horizontal="center" vertical="center" wrapText="1"/>
    </xf>
    <xf numFmtId="2" fontId="3" fillId="4" borderId="11" xfId="0" applyNumberFormat="1" applyFont="1" applyFill="1" applyBorder="1" applyAlignment="1">
      <alignment horizontal="center" vertical="center" wrapText="1"/>
    </xf>
    <xf numFmtId="42" fontId="3" fillId="4" borderId="29" xfId="1" applyFont="1" applyFill="1" applyBorder="1" applyAlignment="1">
      <alignment horizontal="center" vertical="center" wrapText="1"/>
    </xf>
    <xf numFmtId="42" fontId="12" fillId="0" borderId="11" xfId="1" applyFont="1" applyFill="1" applyBorder="1" applyAlignment="1">
      <alignment vertical="center"/>
    </xf>
    <xf numFmtId="0" fontId="21" fillId="0" borderId="41" xfId="0" applyFont="1" applyBorder="1" applyAlignment="1">
      <alignment horizontal="center" vertical="center" wrapText="1"/>
    </xf>
    <xf numFmtId="172" fontId="21" fillId="0" borderId="41" xfId="0" applyNumberFormat="1" applyFont="1" applyBorder="1" applyAlignment="1">
      <alignment horizontal="right" vertical="center" wrapText="1"/>
    </xf>
    <xf numFmtId="0" fontId="21" fillId="0" borderId="41" xfId="0" applyFont="1" applyBorder="1" applyAlignment="1">
      <alignment horizontal="center" vertical="top" wrapText="1" readingOrder="1"/>
    </xf>
    <xf numFmtId="172" fontId="21" fillId="0" borderId="41" xfId="0" applyNumberFormat="1" applyFont="1" applyBorder="1" applyAlignment="1">
      <alignment horizontal="right" vertical="top" wrapText="1" readingOrder="1"/>
    </xf>
    <xf numFmtId="42" fontId="13" fillId="0" borderId="23" xfId="0" applyNumberFormat="1" applyFont="1" applyBorder="1" applyAlignment="1">
      <alignment vertical="center"/>
    </xf>
    <xf numFmtId="42" fontId="13" fillId="0" borderId="24" xfId="0" applyNumberFormat="1" applyFont="1" applyBorder="1" applyAlignment="1">
      <alignment vertical="center"/>
    </xf>
    <xf numFmtId="169" fontId="12" fillId="0" borderId="11" xfId="0" applyNumberFormat="1" applyFont="1" applyBorder="1" applyAlignment="1">
      <alignment horizontal="center" vertical="center"/>
    </xf>
    <xf numFmtId="42" fontId="12" fillId="0" borderId="11" xfId="1" applyFont="1" applyFill="1" applyBorder="1" applyAlignment="1">
      <alignment horizontal="center" vertical="center"/>
    </xf>
    <xf numFmtId="169" fontId="12" fillId="0" borderId="11" xfId="0" applyNumberFormat="1" applyFont="1" applyBorder="1" applyAlignment="1">
      <alignment horizontal="right" vertical="center"/>
    </xf>
    <xf numFmtId="174" fontId="12" fillId="0" borderId="11" xfId="1" applyNumberFormat="1" applyFont="1" applyBorder="1" applyAlignment="1">
      <alignment horizontal="center" vertical="center"/>
    </xf>
    <xf numFmtId="167" fontId="3" fillId="0" borderId="26" xfId="1" applyNumberFormat="1" applyFont="1" applyBorder="1" applyAlignment="1">
      <alignment horizontal="right" vertical="center" wrapText="1"/>
    </xf>
    <xf numFmtId="167" fontId="3" fillId="0" borderId="27" xfId="1" applyNumberFormat="1" applyFont="1" applyBorder="1" applyAlignment="1">
      <alignment horizontal="right" vertical="center" wrapText="1"/>
    </xf>
    <xf numFmtId="167" fontId="3" fillId="0" borderId="30" xfId="1" applyNumberFormat="1" applyFont="1" applyBorder="1" applyAlignment="1">
      <alignment horizontal="right" vertical="center" wrapText="1"/>
    </xf>
    <xf numFmtId="0" fontId="25" fillId="5" borderId="0" xfId="0" applyFont="1" applyFill="1"/>
    <xf numFmtId="0" fontId="28" fillId="5" borderId="0" xfId="0" applyFont="1" applyFill="1"/>
    <xf numFmtId="0" fontId="24" fillId="0" borderId="11" xfId="5" applyFont="1" applyBorder="1" applyAlignment="1" applyProtection="1">
      <alignment horizontal="center" vertical="center" wrapText="1"/>
      <protection locked="0"/>
    </xf>
    <xf numFmtId="4" fontId="23" fillId="0" borderId="11" xfId="0" applyNumberFormat="1" applyFont="1" applyBorder="1" applyAlignment="1">
      <alignment horizontal="center" vertical="center" wrapText="1"/>
    </xf>
    <xf numFmtId="177" fontId="23" fillId="0" borderId="11" xfId="1" applyNumberFormat="1" applyFont="1" applyBorder="1" applyAlignment="1">
      <alignment horizontal="center" vertical="center"/>
    </xf>
    <xf numFmtId="176" fontId="24" fillId="5" borderId="11" xfId="1" applyNumberFormat="1" applyFont="1" applyFill="1" applyBorder="1" applyAlignment="1">
      <alignment horizontal="center" vertical="center"/>
    </xf>
    <xf numFmtId="0" fontId="29" fillId="0" borderId="23" xfId="0" applyFont="1" applyBorder="1" applyAlignment="1">
      <alignment vertical="center"/>
    </xf>
    <xf numFmtId="0" fontId="29" fillId="0" borderId="44" xfId="0" applyFont="1" applyBorder="1" applyAlignment="1">
      <alignment vertical="center"/>
    </xf>
    <xf numFmtId="0" fontId="31" fillId="0" borderId="44" xfId="0" applyFont="1" applyBorder="1" applyAlignment="1">
      <alignment vertical="center" wrapText="1"/>
    </xf>
    <xf numFmtId="0" fontId="31" fillId="0" borderId="24" xfId="0" applyFont="1" applyBorder="1" applyAlignment="1">
      <alignment vertical="center" wrapText="1"/>
    </xf>
    <xf numFmtId="0" fontId="30" fillId="5" borderId="11" xfId="0" applyFont="1" applyFill="1" applyBorder="1" applyAlignment="1">
      <alignment horizontal="left"/>
    </xf>
    <xf numFmtId="0" fontId="28" fillId="5" borderId="0" xfId="0" applyFont="1" applyFill="1" applyAlignment="1">
      <alignment horizontal="center" vertical="center"/>
    </xf>
    <xf numFmtId="0" fontId="32" fillId="5" borderId="0" xfId="0" applyFont="1" applyFill="1" applyAlignment="1">
      <alignment horizontal="center"/>
    </xf>
    <xf numFmtId="0" fontId="32" fillId="5" borderId="0" xfId="0" applyFont="1" applyFill="1"/>
    <xf numFmtId="0" fontId="32" fillId="5" borderId="0" xfId="0" applyFont="1" applyFill="1" applyAlignment="1">
      <alignment horizontal="center" vertical="center"/>
    </xf>
    <xf numFmtId="4" fontId="32" fillId="5" borderId="0" xfId="0" applyNumberFormat="1" applyFont="1" applyFill="1" applyAlignment="1">
      <alignment vertical="center"/>
    </xf>
    <xf numFmtId="0" fontId="32" fillId="5" borderId="0" xfId="0" applyFont="1" applyFill="1" applyAlignment="1">
      <alignment vertical="center"/>
    </xf>
    <xf numFmtId="0" fontId="27" fillId="0" borderId="14" xfId="0" applyFont="1" applyBorder="1" applyAlignment="1">
      <alignment horizontal="left" vertical="center"/>
    </xf>
    <xf numFmtId="0" fontId="32" fillId="0" borderId="11" xfId="5" applyFont="1" applyBorder="1" applyAlignment="1" applyProtection="1">
      <alignment horizontal="center" vertical="center" wrapText="1"/>
      <protection locked="0"/>
    </xf>
    <xf numFmtId="4" fontId="17" fillId="0" borderId="11" xfId="0" applyNumberFormat="1" applyFont="1" applyBorder="1" applyAlignment="1">
      <alignment horizontal="center" vertical="center" wrapText="1"/>
    </xf>
    <xf numFmtId="177" fontId="17" fillId="0" borderId="11" xfId="1" applyNumberFormat="1" applyFont="1" applyBorder="1" applyAlignment="1">
      <alignment horizontal="center" vertical="center"/>
    </xf>
    <xf numFmtId="2" fontId="32" fillId="5" borderId="25" xfId="7" applyNumberFormat="1" applyFont="1" applyFill="1" applyBorder="1" applyAlignment="1">
      <alignment vertical="center" wrapText="1"/>
    </xf>
    <xf numFmtId="2" fontId="32" fillId="5" borderId="44" xfId="7" applyNumberFormat="1" applyFont="1" applyFill="1" applyBorder="1" applyAlignment="1">
      <alignment vertical="center" wrapText="1"/>
    </xf>
    <xf numFmtId="2" fontId="32" fillId="5" borderId="24" xfId="7" applyNumberFormat="1" applyFont="1" applyFill="1" applyBorder="1" applyAlignment="1">
      <alignment vertical="center" wrapText="1"/>
    </xf>
    <xf numFmtId="0" fontId="17" fillId="0" borderId="11" xfId="0" applyFont="1" applyBorder="1" applyAlignment="1">
      <alignment horizontal="center" vertical="center" wrapText="1"/>
    </xf>
    <xf numFmtId="176" fontId="32" fillId="5" borderId="11" xfId="1" applyNumberFormat="1" applyFont="1" applyFill="1" applyBorder="1" applyAlignment="1">
      <alignment horizontal="center" vertical="center"/>
    </xf>
    <xf numFmtId="178" fontId="32" fillId="5" borderId="49" xfId="1" applyNumberFormat="1" applyFont="1" applyFill="1" applyBorder="1" applyAlignment="1">
      <alignment horizontal="right" vertical="center"/>
    </xf>
    <xf numFmtId="178" fontId="27" fillId="5" borderId="49" xfId="1" applyNumberFormat="1" applyFont="1" applyFill="1" applyBorder="1" applyAlignment="1">
      <alignment horizontal="right" vertical="center"/>
    </xf>
    <xf numFmtId="177" fontId="32" fillId="5" borderId="49" xfId="1" applyNumberFormat="1" applyFont="1" applyFill="1" applyBorder="1" applyAlignment="1">
      <alignment horizontal="right" vertical="center"/>
    </xf>
    <xf numFmtId="177" fontId="27" fillId="5" borderId="49" xfId="1" applyNumberFormat="1" applyFont="1" applyFill="1" applyBorder="1" applyAlignment="1">
      <alignment horizontal="right" vertical="center"/>
    </xf>
    <xf numFmtId="177" fontId="24" fillId="5" borderId="27" xfId="1" applyNumberFormat="1" applyFont="1" applyFill="1" applyBorder="1" applyAlignment="1">
      <alignment horizontal="right" vertical="center"/>
    </xf>
    <xf numFmtId="4" fontId="34" fillId="8" borderId="42" xfId="0" applyNumberFormat="1" applyFont="1" applyFill="1" applyBorder="1" applyAlignment="1">
      <alignment horizontal="center" vertical="center" wrapText="1"/>
    </xf>
    <xf numFmtId="176" fontId="33" fillId="8" borderId="50" xfId="1" applyNumberFormat="1" applyFont="1" applyFill="1" applyBorder="1" applyAlignment="1">
      <alignment horizontal="center" vertical="center"/>
    </xf>
    <xf numFmtId="177" fontId="33" fillId="8" borderId="48" xfId="1" applyNumberFormat="1" applyFont="1" applyFill="1" applyBorder="1" applyAlignment="1">
      <alignment horizontal="right" vertical="center"/>
    </xf>
    <xf numFmtId="4" fontId="34" fillId="0" borderId="42" xfId="0" applyNumberFormat="1" applyFont="1" applyBorder="1" applyAlignment="1">
      <alignment horizontal="center" vertical="center" wrapText="1"/>
    </xf>
    <xf numFmtId="10" fontId="33" fillId="5" borderId="50" xfId="16" applyNumberFormat="1" applyFont="1" applyFill="1" applyBorder="1" applyAlignment="1">
      <alignment horizontal="center" vertical="center"/>
    </xf>
    <xf numFmtId="44" fontId="3" fillId="0" borderId="0" xfId="0" applyNumberFormat="1" applyFont="1"/>
    <xf numFmtId="0" fontId="36" fillId="10" borderId="0" xfId="0" applyFont="1" applyFill="1" applyAlignment="1">
      <alignment horizontal="center" vertical="center"/>
    </xf>
    <xf numFmtId="0" fontId="8" fillId="0" borderId="0" xfId="0" applyFont="1" applyAlignment="1">
      <alignment horizontal="center" vertical="center"/>
    </xf>
    <xf numFmtId="2" fontId="8" fillId="0" borderId="0" xfId="0" applyNumberFormat="1" applyFont="1" applyAlignment="1">
      <alignment horizontal="center" vertical="center"/>
    </xf>
    <xf numFmtId="0" fontId="3" fillId="0" borderId="47" xfId="0" applyFont="1" applyBorder="1"/>
    <xf numFmtId="179" fontId="3" fillId="9" borderId="42" xfId="12" applyNumberFormat="1" applyFont="1" applyFill="1" applyBorder="1"/>
    <xf numFmtId="0" fontId="3" fillId="2" borderId="53" xfId="0" applyFont="1" applyFill="1" applyBorder="1"/>
    <xf numFmtId="179" fontId="3" fillId="0" borderId="42" xfId="12" applyNumberFormat="1" applyFont="1" applyFill="1" applyBorder="1"/>
    <xf numFmtId="0" fontId="3" fillId="0" borderId="53" xfId="0" applyFont="1" applyBorder="1"/>
    <xf numFmtId="179" fontId="3" fillId="2" borderId="42" xfId="12" applyNumberFormat="1" applyFont="1" applyFill="1" applyBorder="1"/>
    <xf numFmtId="179" fontId="3" fillId="0" borderId="47" xfId="12" applyNumberFormat="1" applyFont="1" applyFill="1" applyBorder="1"/>
    <xf numFmtId="179" fontId="3" fillId="2" borderId="47" xfId="12" applyNumberFormat="1" applyFont="1" applyFill="1" applyBorder="1"/>
    <xf numFmtId="0" fontId="3" fillId="0" borderId="44" xfId="0" applyFont="1" applyBorder="1"/>
    <xf numFmtId="179" fontId="3" fillId="2" borderId="24" xfId="12" applyNumberFormat="1" applyFont="1" applyFill="1" applyBorder="1"/>
    <xf numFmtId="0" fontId="3" fillId="2" borderId="25" xfId="0" applyFont="1" applyFill="1" applyBorder="1"/>
    <xf numFmtId="179" fontId="3" fillId="0" borderId="24" xfId="12" applyNumberFormat="1" applyFont="1" applyFill="1" applyBorder="1"/>
    <xf numFmtId="0" fontId="3" fillId="0" borderId="25" xfId="0" applyFont="1" applyBorder="1"/>
    <xf numFmtId="179" fontId="18" fillId="9" borderId="24" xfId="12" applyNumberFormat="1" applyFont="1" applyFill="1" applyBorder="1"/>
    <xf numFmtId="179" fontId="3" fillId="0" borderId="24" xfId="0" applyNumberFormat="1" applyFont="1" applyBorder="1"/>
    <xf numFmtId="179" fontId="3" fillId="2" borderId="24" xfId="0" applyNumberFormat="1" applyFont="1" applyFill="1" applyBorder="1"/>
    <xf numFmtId="179" fontId="3" fillId="0" borderId="44" xfId="12" applyNumberFormat="1" applyFont="1" applyFill="1" applyBorder="1"/>
    <xf numFmtId="179" fontId="3" fillId="2" borderId="44" xfId="12" applyNumberFormat="1" applyFont="1" applyFill="1" applyBorder="1"/>
    <xf numFmtId="166" fontId="3" fillId="0" borderId="24" xfId="0" applyNumberFormat="1" applyFont="1" applyBorder="1"/>
    <xf numFmtId="166" fontId="3" fillId="2" borderId="24" xfId="0" applyNumberFormat="1" applyFont="1" applyFill="1" applyBorder="1"/>
    <xf numFmtId="179" fontId="3" fillId="0" borderId="44" xfId="0" applyNumberFormat="1" applyFont="1" applyBorder="1"/>
    <xf numFmtId="179" fontId="3" fillId="2" borderId="44" xfId="0" applyNumberFormat="1" applyFont="1" applyFill="1" applyBorder="1"/>
    <xf numFmtId="0" fontId="3" fillId="0" borderId="44" xfId="0" applyFont="1" applyBorder="1" applyAlignment="1">
      <alignment wrapText="1"/>
    </xf>
    <xf numFmtId="10" fontId="3" fillId="2" borderId="25" xfId="2" applyNumberFormat="1" applyFont="1" applyFill="1" applyBorder="1"/>
    <xf numFmtId="10" fontId="3" fillId="0" borderId="25" xfId="2" applyNumberFormat="1" applyFont="1" applyFill="1" applyBorder="1"/>
    <xf numFmtId="0" fontId="3" fillId="0" borderId="54" xfId="0" applyFont="1" applyBorder="1"/>
    <xf numFmtId="179" fontId="3" fillId="2" borderId="55" xfId="0" applyNumberFormat="1" applyFont="1" applyFill="1" applyBorder="1"/>
    <xf numFmtId="0" fontId="3" fillId="2" borderId="56" xfId="0" applyFont="1" applyFill="1" applyBorder="1"/>
    <xf numFmtId="179" fontId="3" fillId="0" borderId="55" xfId="12" applyNumberFormat="1" applyFont="1" applyFill="1" applyBorder="1"/>
    <xf numFmtId="0" fontId="3" fillId="0" borderId="56" xfId="0" applyFont="1" applyBorder="1"/>
    <xf numFmtId="179" fontId="3" fillId="2" borderId="55" xfId="12" applyNumberFormat="1" applyFont="1" applyFill="1" applyBorder="1"/>
    <xf numFmtId="179" fontId="3" fillId="0" borderId="0" xfId="0" applyNumberFormat="1" applyFont="1"/>
    <xf numFmtId="0" fontId="3" fillId="0" borderId="57" xfId="0" applyFont="1" applyBorder="1"/>
    <xf numFmtId="179" fontId="3" fillId="2" borderId="0" xfId="0" applyNumberFormat="1" applyFont="1" applyFill="1"/>
    <xf numFmtId="0" fontId="3" fillId="2" borderId="57" xfId="0" applyFont="1" applyFill="1" applyBorder="1"/>
    <xf numFmtId="0" fontId="3" fillId="11" borderId="0" xfId="0" applyFont="1" applyFill="1"/>
    <xf numFmtId="179" fontId="36" fillId="10" borderId="0" xfId="0" applyNumberFormat="1" applyFont="1" applyFill="1" applyAlignment="1">
      <alignment horizontal="center" vertical="center"/>
    </xf>
    <xf numFmtId="0" fontId="38" fillId="0" borderId="0" xfId="0" applyFont="1" applyAlignment="1">
      <alignment horizontal="center"/>
    </xf>
    <xf numFmtId="179" fontId="3" fillId="2" borderId="42" xfId="0" applyNumberFormat="1" applyFont="1" applyFill="1" applyBorder="1"/>
    <xf numFmtId="10" fontId="3" fillId="2" borderId="53" xfId="2" applyNumberFormat="1" applyFont="1" applyFill="1" applyBorder="1" applyAlignment="1">
      <alignment horizontal="center"/>
    </xf>
    <xf numFmtId="179" fontId="3" fillId="0" borderId="42" xfId="0" applyNumberFormat="1" applyFont="1" applyBorder="1"/>
    <xf numFmtId="10" fontId="3" fillId="0" borderId="53" xfId="2" applyNumberFormat="1" applyFont="1" applyFill="1" applyBorder="1" applyAlignment="1">
      <alignment horizontal="center"/>
    </xf>
    <xf numFmtId="10" fontId="3" fillId="2" borderId="53" xfId="2" applyNumberFormat="1" applyFont="1" applyFill="1" applyBorder="1"/>
    <xf numFmtId="10" fontId="3" fillId="0" borderId="0" xfId="2" applyNumberFormat="1" applyFont="1" applyFill="1" applyBorder="1"/>
    <xf numFmtId="10" fontId="3" fillId="0" borderId="53" xfId="2" applyNumberFormat="1" applyFont="1" applyBorder="1" applyAlignment="1">
      <alignment horizontal="center"/>
    </xf>
    <xf numFmtId="10" fontId="3" fillId="2" borderId="56" xfId="2" applyNumberFormat="1" applyFont="1" applyFill="1" applyBorder="1" applyAlignment="1">
      <alignment horizontal="center"/>
    </xf>
    <xf numFmtId="179" fontId="3" fillId="0" borderId="55" xfId="0" applyNumberFormat="1" applyFont="1" applyBorder="1"/>
    <xf numFmtId="10" fontId="3" fillId="0" borderId="56" xfId="2" applyNumberFormat="1" applyFont="1" applyFill="1" applyBorder="1" applyAlignment="1">
      <alignment horizontal="center"/>
    </xf>
    <xf numFmtId="10" fontId="3" fillId="2" borderId="56" xfId="2" applyNumberFormat="1" applyFont="1" applyFill="1" applyBorder="1"/>
    <xf numFmtId="10" fontId="3" fillId="0" borderId="56" xfId="2" applyNumberFormat="1" applyFont="1" applyBorder="1" applyAlignment="1">
      <alignment horizontal="center"/>
    </xf>
    <xf numFmtId="10" fontId="3" fillId="0" borderId="0" xfId="2" applyNumberFormat="1" applyFont="1" applyFill="1" applyBorder="1" applyAlignment="1">
      <alignment horizontal="center"/>
    </xf>
    <xf numFmtId="180" fontId="3" fillId="2" borderId="42" xfId="0" applyNumberFormat="1" applyFont="1" applyFill="1" applyBorder="1"/>
    <xf numFmtId="180" fontId="3" fillId="0" borderId="42" xfId="0" applyNumberFormat="1" applyFont="1" applyBorder="1"/>
    <xf numFmtId="180" fontId="3" fillId="2" borderId="24" xfId="0" applyNumberFormat="1" applyFont="1" applyFill="1" applyBorder="1"/>
    <xf numFmtId="10" fontId="3" fillId="2" borderId="25" xfId="2" applyNumberFormat="1" applyFont="1" applyFill="1" applyBorder="1" applyAlignment="1">
      <alignment horizontal="center"/>
    </xf>
    <xf numFmtId="180" fontId="3" fillId="0" borderId="24" xfId="0" applyNumberFormat="1" applyFont="1" applyBorder="1"/>
    <xf numFmtId="10" fontId="3" fillId="0" borderId="25" xfId="2" applyNumberFormat="1" applyFont="1" applyFill="1" applyBorder="1" applyAlignment="1">
      <alignment horizontal="center"/>
    </xf>
    <xf numFmtId="180" fontId="3" fillId="2" borderId="55" xfId="0" applyNumberFormat="1" applyFont="1" applyFill="1" applyBorder="1"/>
    <xf numFmtId="180" fontId="3" fillId="0" borderId="55" xfId="0" applyNumberFormat="1" applyFont="1" applyBorder="1"/>
    <xf numFmtId="180" fontId="3" fillId="0" borderId="0" xfId="0" applyNumberFormat="1" applyFont="1"/>
    <xf numFmtId="171" fontId="3" fillId="0" borderId="0" xfId="2" applyNumberFormat="1" applyFont="1"/>
    <xf numFmtId="171" fontId="3" fillId="0" borderId="0" xfId="2" applyNumberFormat="1" applyFont="1" applyFill="1" applyBorder="1"/>
    <xf numFmtId="171" fontId="3" fillId="0" borderId="0" xfId="2" applyNumberFormat="1" applyFont="1" applyFill="1"/>
    <xf numFmtId="0" fontId="8" fillId="0" borderId="0" xfId="0" applyFont="1"/>
    <xf numFmtId="0" fontId="36" fillId="10" borderId="0" xfId="0" applyFont="1" applyFill="1" applyAlignment="1">
      <alignment horizontal="left" vertical="center" wrapText="1"/>
    </xf>
    <xf numFmtId="180" fontId="36" fillId="10" borderId="0" xfId="0" applyNumberFormat="1" applyFont="1" applyFill="1" applyAlignment="1">
      <alignment horizontal="center" vertical="center"/>
    </xf>
    <xf numFmtId="10" fontId="36" fillId="10" borderId="0" xfId="0" applyNumberFormat="1" applyFont="1" applyFill="1" applyAlignment="1">
      <alignment horizontal="center" vertical="center"/>
    </xf>
    <xf numFmtId="10" fontId="8" fillId="0" borderId="0" xfId="0" applyNumberFormat="1" applyFont="1" applyAlignment="1">
      <alignment horizontal="center" vertical="center"/>
    </xf>
    <xf numFmtId="44" fontId="36" fillId="10" borderId="0" xfId="20" applyFont="1" applyFill="1" applyBorder="1" applyAlignment="1">
      <alignment horizontal="center" vertical="center"/>
    </xf>
    <xf numFmtId="10" fontId="8" fillId="0" borderId="0" xfId="2" applyNumberFormat="1" applyFont="1"/>
    <xf numFmtId="0" fontId="3" fillId="0" borderId="0" xfId="0" applyFont="1" applyAlignment="1">
      <alignment horizontal="left" vertical="center" wrapText="1"/>
    </xf>
    <xf numFmtId="181" fontId="3" fillId="0" borderId="0" xfId="0" applyNumberFormat="1" applyFont="1"/>
    <xf numFmtId="10" fontId="3" fillId="0" borderId="0" xfId="2" applyNumberFormat="1" applyFont="1"/>
    <xf numFmtId="0" fontId="3" fillId="0" borderId="47" xfId="0" applyFont="1" applyBorder="1" applyAlignment="1">
      <alignment horizontal="left" vertical="center" wrapText="1"/>
    </xf>
    <xf numFmtId="179" fontId="3" fillId="0" borderId="0" xfId="12" applyNumberFormat="1" applyFont="1" applyBorder="1" applyAlignment="1">
      <alignment vertical="center"/>
    </xf>
    <xf numFmtId="179" fontId="3" fillId="0" borderId="0" xfId="12" applyNumberFormat="1" applyFont="1" applyFill="1" applyBorder="1" applyAlignment="1">
      <alignment vertical="center"/>
    </xf>
    <xf numFmtId="0" fontId="3" fillId="0" borderId="44" xfId="0" applyFont="1" applyBorder="1" applyAlignment="1">
      <alignment horizontal="left" vertical="center"/>
    </xf>
    <xf numFmtId="0" fontId="3" fillId="0" borderId="54" xfId="0" applyFont="1" applyBorder="1" applyAlignment="1">
      <alignment horizontal="left" vertical="center"/>
    </xf>
    <xf numFmtId="10" fontId="3" fillId="0" borderId="0" xfId="2" applyNumberFormat="1" applyFont="1" applyBorder="1"/>
    <xf numFmtId="166" fontId="3" fillId="0" borderId="0" xfId="0" applyNumberFormat="1" applyFont="1" applyAlignment="1">
      <alignment horizontal="center" vertical="center"/>
    </xf>
    <xf numFmtId="166" fontId="3" fillId="0" borderId="0" xfId="0" applyNumberFormat="1" applyFont="1"/>
    <xf numFmtId="0" fontId="37" fillId="12" borderId="0" xfId="0" applyFont="1" applyFill="1" applyAlignment="1">
      <alignment horizontal="center"/>
    </xf>
    <xf numFmtId="0" fontId="8" fillId="0" borderId="0" xfId="0" applyFont="1" applyAlignment="1">
      <alignment horizontal="center"/>
    </xf>
    <xf numFmtId="166" fontId="8" fillId="0" borderId="0" xfId="0" applyNumberFormat="1" applyFont="1" applyAlignment="1">
      <alignment horizontal="center" vertical="center"/>
    </xf>
    <xf numFmtId="166" fontId="3" fillId="2" borderId="47" xfId="0" applyNumberFormat="1" applyFont="1" applyFill="1" applyBorder="1"/>
    <xf numFmtId="166" fontId="3" fillId="0" borderId="47" xfId="0" applyNumberFormat="1" applyFont="1" applyBorder="1" applyAlignment="1">
      <alignment vertical="center"/>
    </xf>
    <xf numFmtId="166" fontId="3" fillId="0" borderId="0" xfId="0" applyNumberFormat="1" applyFont="1" applyAlignment="1">
      <alignment vertical="center"/>
    </xf>
    <xf numFmtId="166" fontId="3" fillId="2" borderId="47" xfId="0" applyNumberFormat="1" applyFont="1" applyFill="1" applyBorder="1" applyAlignment="1">
      <alignment vertical="center"/>
    </xf>
    <xf numFmtId="166" fontId="3" fillId="2" borderId="44" xfId="0" applyNumberFormat="1" applyFont="1" applyFill="1" applyBorder="1"/>
    <xf numFmtId="166" fontId="3" fillId="0" borderId="44" xfId="0" applyNumberFormat="1" applyFont="1" applyBorder="1" applyAlignment="1">
      <alignment vertical="center"/>
    </xf>
    <xf numFmtId="166" fontId="3" fillId="2" borderId="44" xfId="0" applyNumberFormat="1" applyFont="1" applyFill="1" applyBorder="1" applyAlignment="1">
      <alignment vertical="center"/>
    </xf>
    <xf numFmtId="0" fontId="3" fillId="2" borderId="42" xfId="0" applyFont="1" applyFill="1" applyBorder="1"/>
    <xf numFmtId="44" fontId="8" fillId="9" borderId="53" xfId="20" applyFont="1" applyFill="1" applyBorder="1"/>
    <xf numFmtId="0" fontId="3" fillId="2" borderId="24" xfId="0" applyFont="1" applyFill="1" applyBorder="1"/>
    <xf numFmtId="44" fontId="8" fillId="9" borderId="25" xfId="20" applyFont="1" applyFill="1" applyBorder="1"/>
    <xf numFmtId="0" fontId="18" fillId="0" borderId="44" xfId="0" applyFont="1" applyBorder="1"/>
    <xf numFmtId="166" fontId="18" fillId="2" borderId="44" xfId="0" applyNumberFormat="1" applyFont="1" applyFill="1" applyBorder="1"/>
    <xf numFmtId="0" fontId="18" fillId="0" borderId="0" xfId="0" applyFont="1"/>
    <xf numFmtId="166" fontId="18" fillId="0" borderId="44" xfId="0" applyNumberFormat="1" applyFont="1" applyBorder="1"/>
    <xf numFmtId="0" fontId="3" fillId="2" borderId="24" xfId="0" applyFont="1" applyFill="1" applyBorder="1" applyAlignment="1">
      <alignment horizontal="right"/>
    </xf>
    <xf numFmtId="44" fontId="3" fillId="2" borderId="25" xfId="0" applyNumberFormat="1" applyFont="1" applyFill="1" applyBorder="1"/>
    <xf numFmtId="179" fontId="18" fillId="2" borderId="44" xfId="12" applyNumberFormat="1" applyFont="1" applyFill="1" applyBorder="1" applyAlignment="1"/>
    <xf numFmtId="179" fontId="18" fillId="0" borderId="0" xfId="12" applyNumberFormat="1" applyFont="1" applyFill="1" applyBorder="1" applyAlignment="1"/>
    <xf numFmtId="179" fontId="18" fillId="0" borderId="44" xfId="12" applyNumberFormat="1" applyFont="1" applyBorder="1" applyAlignment="1"/>
    <xf numFmtId="179" fontId="3" fillId="2" borderId="44" xfId="12" applyNumberFormat="1" applyFont="1" applyFill="1" applyBorder="1" applyAlignment="1"/>
    <xf numFmtId="179" fontId="3" fillId="0" borderId="0" xfId="12" applyNumberFormat="1" applyFont="1" applyFill="1" applyBorder="1" applyAlignment="1"/>
    <xf numFmtId="0" fontId="3" fillId="2" borderId="55" xfId="0" applyFont="1" applyFill="1" applyBorder="1"/>
    <xf numFmtId="44" fontId="3" fillId="2" borderId="56" xfId="0" applyNumberFormat="1" applyFont="1" applyFill="1" applyBorder="1"/>
    <xf numFmtId="179" fontId="3" fillId="2" borderId="54" xfId="12" applyNumberFormat="1" applyFont="1" applyFill="1" applyBorder="1" applyAlignment="1"/>
    <xf numFmtId="166" fontId="3" fillId="0" borderId="54" xfId="0" applyNumberFormat="1" applyFont="1" applyBorder="1" applyAlignment="1">
      <alignment vertical="center"/>
    </xf>
    <xf numFmtId="166" fontId="3" fillId="2" borderId="54" xfId="0" applyNumberFormat="1" applyFont="1" applyFill="1" applyBorder="1" applyAlignment="1">
      <alignment vertical="center"/>
    </xf>
    <xf numFmtId="166" fontId="3" fillId="0" borderId="47" xfId="0" applyNumberFormat="1" applyFont="1" applyBorder="1"/>
    <xf numFmtId="166" fontId="3" fillId="0" borderId="44" xfId="0" applyNumberFormat="1" applyFont="1" applyBorder="1"/>
    <xf numFmtId="44" fontId="3" fillId="2" borderId="25" xfId="20" applyFont="1" applyFill="1" applyBorder="1"/>
    <xf numFmtId="166" fontId="3" fillId="2" borderId="54" xfId="0" applyNumberFormat="1" applyFont="1" applyFill="1" applyBorder="1"/>
    <xf numFmtId="166" fontId="3" fillId="0" borderId="54" xfId="0" applyNumberFormat="1" applyFont="1" applyBorder="1"/>
    <xf numFmtId="0" fontId="39" fillId="0" borderId="0" xfId="0" applyFont="1" applyAlignment="1">
      <alignment horizontal="center" wrapText="1"/>
    </xf>
    <xf numFmtId="0" fontId="40" fillId="0" borderId="0" xfId="0" applyFont="1" applyAlignment="1">
      <alignment horizontal="center" wrapText="1"/>
    </xf>
    <xf numFmtId="42" fontId="0" fillId="0" borderId="0" xfId="1" applyFont="1"/>
    <xf numFmtId="9" fontId="0" fillId="0" borderId="0" xfId="2" applyFont="1"/>
    <xf numFmtId="0" fontId="0" fillId="0" borderId="0" xfId="0" applyAlignment="1">
      <alignment wrapText="1"/>
    </xf>
    <xf numFmtId="183" fontId="0" fillId="0" borderId="0" xfId="2" applyNumberFormat="1" applyFont="1"/>
    <xf numFmtId="0" fontId="35" fillId="0" borderId="0" xfId="0" applyFont="1"/>
    <xf numFmtId="0" fontId="40" fillId="0" borderId="11" xfId="0" applyFont="1" applyBorder="1" applyAlignment="1">
      <alignment horizontal="center" wrapText="1"/>
    </xf>
    <xf numFmtId="42" fontId="0" fillId="0" borderId="0" xfId="0" applyNumberFormat="1"/>
    <xf numFmtId="0" fontId="43" fillId="0" borderId="0" xfId="21"/>
    <xf numFmtId="42" fontId="0" fillId="0" borderId="0" xfId="1" applyFont="1" applyFill="1"/>
    <xf numFmtId="42" fontId="13" fillId="0" borderId="0" xfId="0" applyNumberFormat="1" applyFont="1" applyAlignment="1">
      <alignment vertical="center" wrapText="1"/>
    </xf>
    <xf numFmtId="42" fontId="0" fillId="0" borderId="0" xfId="0" applyNumberFormat="1" applyAlignment="1">
      <alignment horizontal="left"/>
    </xf>
    <xf numFmtId="42" fontId="0" fillId="0" borderId="0" xfId="0" applyNumberFormat="1" applyAlignment="1">
      <alignment horizontal="center"/>
    </xf>
    <xf numFmtId="0" fontId="15" fillId="0" borderId="0" xfId="0" applyFont="1" applyAlignment="1">
      <alignment horizontal="left" vertical="center" wrapText="1"/>
    </xf>
    <xf numFmtId="184" fontId="0" fillId="0" borderId="0" xfId="20" applyNumberFormat="1" applyFont="1"/>
    <xf numFmtId="42" fontId="0" fillId="0" borderId="0" xfId="1" applyFont="1" applyFill="1" applyAlignment="1">
      <alignment horizontal="center" wrapText="1"/>
    </xf>
    <xf numFmtId="0" fontId="41" fillId="0" borderId="0" xfId="0" applyFont="1"/>
    <xf numFmtId="0" fontId="42" fillId="0" borderId="0" xfId="0" applyFont="1"/>
    <xf numFmtId="167" fontId="3" fillId="0" borderId="11" xfId="1" applyNumberFormat="1" applyFont="1" applyBorder="1" applyAlignment="1">
      <alignment horizontal="right" vertical="center" wrapText="1"/>
    </xf>
    <xf numFmtId="0" fontId="3" fillId="0" borderId="0" xfId="0" applyFont="1" applyAlignment="1">
      <alignment vertical="center" wrapText="1"/>
    </xf>
    <xf numFmtId="9" fontId="3" fillId="0" borderId="0" xfId="2" applyFont="1" applyBorder="1" applyAlignment="1">
      <alignment horizontal="right" vertical="center" wrapText="1"/>
    </xf>
    <xf numFmtId="9" fontId="8" fillId="2" borderId="29" xfId="2" applyFont="1" applyFill="1" applyBorder="1" applyAlignment="1">
      <alignment horizontal="center" vertical="center" wrapText="1"/>
    </xf>
    <xf numFmtId="1" fontId="8" fillId="2" borderId="33" xfId="0" applyNumberFormat="1" applyFont="1" applyFill="1" applyBorder="1" applyAlignment="1">
      <alignment horizontal="center" vertical="center" wrapText="1"/>
    </xf>
    <xf numFmtId="42" fontId="8" fillId="2" borderId="1" xfId="1" applyFont="1" applyFill="1" applyBorder="1" applyAlignment="1">
      <alignment horizontal="center" vertical="center" wrapText="1"/>
    </xf>
    <xf numFmtId="9" fontId="3" fillId="11" borderId="50" xfId="2" applyFont="1" applyFill="1" applyBorder="1" applyAlignment="1">
      <alignment horizontal="center" vertical="center" wrapText="1"/>
    </xf>
    <xf numFmtId="6" fontId="3" fillId="0" borderId="50" xfId="0" applyNumberFormat="1" applyFont="1" applyBorder="1" applyAlignment="1">
      <alignment vertical="center" wrapText="1"/>
    </xf>
    <xf numFmtId="0" fontId="3" fillId="0" borderId="50" xfId="9" applyFont="1" applyBorder="1" applyAlignment="1">
      <alignment horizontal="center" vertical="center" wrapText="1"/>
    </xf>
    <xf numFmtId="171" fontId="3" fillId="0" borderId="53" xfId="9" applyNumberFormat="1" applyFont="1" applyBorder="1" applyAlignment="1">
      <alignment horizontal="center" vertical="center" wrapText="1"/>
    </xf>
    <xf numFmtId="185" fontId="3" fillId="0" borderId="59" xfId="11" applyNumberFormat="1" applyFont="1" applyBorder="1" applyAlignment="1">
      <alignment horizontal="right" vertical="center" wrapText="1"/>
    </xf>
    <xf numFmtId="9" fontId="3" fillId="11" borderId="11" xfId="2" applyFont="1" applyFill="1" applyBorder="1" applyAlignment="1">
      <alignment horizontal="center" vertical="center" wrapText="1"/>
    </xf>
    <xf numFmtId="6" fontId="3" fillId="0" borderId="11" xfId="0" applyNumberFormat="1" applyFont="1" applyBorder="1" applyAlignment="1">
      <alignment vertical="center" wrapText="1"/>
    </xf>
    <xf numFmtId="3" fontId="3" fillId="0" borderId="11" xfId="9" applyNumberFormat="1" applyFont="1" applyBorder="1" applyAlignment="1">
      <alignment horizontal="center" vertical="center" wrapText="1"/>
    </xf>
    <xf numFmtId="171" fontId="3" fillId="0" borderId="25" xfId="9" applyNumberFormat="1" applyFont="1" applyBorder="1" applyAlignment="1">
      <alignment horizontal="center" vertical="center" wrapText="1"/>
    </xf>
    <xf numFmtId="185" fontId="3" fillId="0" borderId="60" xfId="11" applyNumberFormat="1" applyFont="1" applyBorder="1" applyAlignment="1">
      <alignment horizontal="right" vertical="center" wrapText="1"/>
    </xf>
    <xf numFmtId="9" fontId="3" fillId="9" borderId="22" xfId="2" applyFont="1" applyFill="1" applyBorder="1" applyAlignment="1">
      <alignment horizontal="center" vertical="center" wrapText="1"/>
    </xf>
    <xf numFmtId="6" fontId="3" fillId="0" borderId="22" xfId="0" applyNumberFormat="1" applyFont="1" applyBorder="1" applyAlignment="1">
      <alignment vertical="center" wrapText="1"/>
    </xf>
    <xf numFmtId="0" fontId="3" fillId="0" borderId="22" xfId="9" applyFont="1" applyBorder="1" applyAlignment="1">
      <alignment horizontal="center" vertical="center" wrapText="1"/>
    </xf>
    <xf numFmtId="171" fontId="3" fillId="0" borderId="56" xfId="9" applyNumberFormat="1" applyFont="1" applyBorder="1" applyAlignment="1">
      <alignment horizontal="center" vertical="center" wrapText="1"/>
    </xf>
    <xf numFmtId="185" fontId="3" fillId="0" borderId="61" xfId="11" applyNumberFormat="1" applyFont="1" applyBorder="1" applyAlignment="1">
      <alignment horizontal="right" vertical="center" wrapText="1"/>
    </xf>
    <xf numFmtId="42" fontId="3" fillId="2" borderId="1" xfId="1" applyFont="1" applyFill="1" applyBorder="1" applyAlignment="1">
      <alignment horizontal="right" vertical="center" wrapText="1"/>
    </xf>
    <xf numFmtId="0" fontId="8" fillId="0" borderId="0" xfId="0" applyFont="1" applyAlignment="1">
      <alignment horizontal="right" vertical="center" wrapText="1"/>
    </xf>
    <xf numFmtId="42" fontId="3" fillId="0" borderId="62" xfId="1" applyFont="1" applyBorder="1" applyAlignment="1">
      <alignment horizontal="right" vertical="center" wrapText="1"/>
    </xf>
    <xf numFmtId="42" fontId="3" fillId="0" borderId="60" xfId="1" applyFont="1" applyBorder="1" applyAlignment="1">
      <alignment horizontal="right" vertical="center" wrapText="1"/>
    </xf>
    <xf numFmtId="42" fontId="8" fillId="3" borderId="63" xfId="1" applyFont="1" applyFill="1" applyBorder="1" applyAlignment="1">
      <alignment horizontal="right" vertical="center" wrapText="1"/>
    </xf>
    <xf numFmtId="0" fontId="8" fillId="0" borderId="0" xfId="0" applyFont="1" applyAlignment="1">
      <alignment horizontal="center" vertical="center" wrapText="1"/>
    </xf>
    <xf numFmtId="0" fontId="8" fillId="0" borderId="0" xfId="0" applyFont="1" applyAlignment="1">
      <alignment vertical="center" wrapText="1"/>
    </xf>
    <xf numFmtId="42" fontId="8" fillId="0" borderId="0" xfId="1" applyFont="1" applyBorder="1" applyAlignment="1">
      <alignment horizontal="right" vertical="center" wrapText="1"/>
    </xf>
    <xf numFmtId="9" fontId="3" fillId="0" borderId="0" xfId="0" applyNumberFormat="1" applyFont="1" applyAlignment="1">
      <alignment horizontal="center" vertical="center" wrapText="1"/>
    </xf>
    <xf numFmtId="6" fontId="8" fillId="0" borderId="0" xfId="0" applyNumberFormat="1" applyFont="1" applyAlignment="1">
      <alignment horizontal="right" vertical="center" wrapText="1"/>
    </xf>
    <xf numFmtId="42" fontId="8" fillId="0" borderId="26" xfId="1" applyFont="1" applyBorder="1" applyAlignment="1">
      <alignment horizontal="right" vertical="center" wrapText="1"/>
    </xf>
    <xf numFmtId="42" fontId="8" fillId="0" borderId="32" xfId="1" applyFont="1" applyBorder="1" applyAlignment="1">
      <alignment horizontal="right" vertical="center" wrapText="1"/>
    </xf>
    <xf numFmtId="42" fontId="8" fillId="2" borderId="30" xfId="1" applyFont="1" applyFill="1" applyBorder="1" applyAlignment="1">
      <alignment horizontal="right" vertical="center" wrapText="1"/>
    </xf>
    <xf numFmtId="42" fontId="8" fillId="0" borderId="20" xfId="1" applyFont="1" applyBorder="1" applyAlignment="1">
      <alignment horizontal="right" vertical="center" wrapText="1"/>
    </xf>
    <xf numFmtId="42" fontId="8" fillId="3" borderId="19" xfId="1" applyFont="1" applyFill="1" applyBorder="1" applyAlignment="1">
      <alignment horizontal="right" vertical="center" wrapText="1"/>
    </xf>
    <xf numFmtId="10" fontId="3" fillId="0" borderId="11" xfId="2" applyNumberFormat="1" applyFont="1" applyBorder="1" applyAlignment="1">
      <alignment horizontal="right" vertical="center" wrapText="1"/>
    </xf>
    <xf numFmtId="0" fontId="13" fillId="0" borderId="11" xfId="0" applyFont="1" applyBorder="1" applyAlignment="1">
      <alignment horizontal="center" vertical="center"/>
    </xf>
    <xf numFmtId="184" fontId="21" fillId="0" borderId="41" xfId="20" applyNumberFormat="1" applyFont="1" applyBorder="1" applyAlignment="1">
      <alignment horizontal="right" vertical="top" wrapText="1" readingOrder="1"/>
    </xf>
    <xf numFmtId="0" fontId="13" fillId="0" borderId="16" xfId="0" applyFont="1" applyBorder="1" applyAlignment="1">
      <alignment horizontal="center" vertical="center"/>
    </xf>
    <xf numFmtId="42" fontId="12" fillId="0" borderId="16" xfId="1" applyFont="1" applyBorder="1" applyAlignment="1">
      <alignment horizontal="right" vertical="center"/>
    </xf>
    <xf numFmtId="42" fontId="8" fillId="3" borderId="50" xfId="1" applyFont="1" applyFill="1" applyBorder="1" applyAlignment="1">
      <alignment horizontal="right" vertical="center" wrapText="1"/>
    </xf>
    <xf numFmtId="42" fontId="8" fillId="0" borderId="30" xfId="1" applyFont="1" applyFill="1" applyBorder="1" applyAlignment="1">
      <alignment vertical="center" wrapText="1"/>
    </xf>
    <xf numFmtId="177" fontId="33" fillId="5" borderId="48" xfId="1" applyNumberFormat="1" applyFont="1" applyFill="1" applyBorder="1" applyAlignment="1">
      <alignment horizontal="right" vertical="center"/>
    </xf>
    <xf numFmtId="0" fontId="3" fillId="0" borderId="11" xfId="0" applyFont="1" applyBorder="1" applyAlignment="1">
      <alignment wrapText="1"/>
    </xf>
    <xf numFmtId="0" fontId="3" fillId="0" borderId="11" xfId="0" applyFont="1" applyBorder="1" applyAlignment="1">
      <alignment vertical="center" wrapText="1"/>
    </xf>
    <xf numFmtId="169" fontId="3" fillId="0" borderId="11" xfId="0" applyNumberFormat="1" applyFont="1" applyBorder="1" applyAlignment="1">
      <alignment vertical="center" wrapText="1"/>
    </xf>
    <xf numFmtId="42" fontId="3" fillId="0" borderId="11" xfId="1" applyFont="1" applyBorder="1" applyAlignment="1">
      <alignment horizontal="right" vertical="center" wrapText="1"/>
    </xf>
    <xf numFmtId="42" fontId="3" fillId="0" borderId="11" xfId="0" applyNumberFormat="1" applyFont="1" applyBorder="1" applyAlignment="1">
      <alignment vertical="center" wrapText="1"/>
    </xf>
    <xf numFmtId="9" fontId="12" fillId="0" borderId="11" xfId="2" applyFont="1" applyBorder="1" applyAlignment="1">
      <alignment horizontal="right" vertical="center" indent="1"/>
    </xf>
    <xf numFmtId="167" fontId="4" fillId="0" borderId="0" xfId="1" applyNumberFormat="1" applyFont="1" applyFill="1" applyBorder="1" applyAlignment="1">
      <alignment horizontal="right" vertical="center"/>
    </xf>
    <xf numFmtId="42" fontId="13" fillId="0" borderId="11" xfId="1" applyFont="1" applyBorder="1" applyAlignment="1">
      <alignment horizontal="right" vertical="center"/>
    </xf>
    <xf numFmtId="0" fontId="13" fillId="0" borderId="22" xfId="0" applyFont="1" applyBorder="1" applyAlignment="1">
      <alignment horizontal="center" vertical="center"/>
    </xf>
    <xf numFmtId="184" fontId="21" fillId="0" borderId="66" xfId="20" applyNumberFormat="1" applyFont="1" applyBorder="1" applyAlignment="1">
      <alignment horizontal="right" vertical="top" wrapText="1" readingOrder="1"/>
    </xf>
    <xf numFmtId="0" fontId="21" fillId="0" borderId="66" xfId="20" applyNumberFormat="1" applyFont="1" applyBorder="1" applyAlignment="1">
      <alignment horizontal="center" vertical="top" wrapText="1" readingOrder="1"/>
    </xf>
    <xf numFmtId="184" fontId="21" fillId="0" borderId="11" xfId="20" applyNumberFormat="1" applyFont="1" applyBorder="1" applyAlignment="1">
      <alignment horizontal="right" vertical="top" wrapText="1" readingOrder="1"/>
    </xf>
    <xf numFmtId="0" fontId="21" fillId="0" borderId="11" xfId="20" applyNumberFormat="1" applyFont="1" applyBorder="1" applyAlignment="1">
      <alignment horizontal="center" vertical="top" wrapText="1" readingOrder="1"/>
    </xf>
    <xf numFmtId="0" fontId="11" fillId="0" borderId="67" xfId="0" applyFont="1" applyBorder="1" applyAlignment="1">
      <alignment vertical="center"/>
    </xf>
    <xf numFmtId="184" fontId="21" fillId="0" borderId="16" xfId="20" applyNumberFormat="1" applyFont="1" applyBorder="1" applyAlignment="1">
      <alignment horizontal="right" vertical="top" wrapText="1" readingOrder="1"/>
    </xf>
    <xf numFmtId="0" fontId="21" fillId="0" borderId="16" xfId="20" applyNumberFormat="1" applyFont="1" applyBorder="1" applyAlignment="1">
      <alignment horizontal="center" vertical="top" wrapText="1" readingOrder="1"/>
    </xf>
    <xf numFmtId="0" fontId="11" fillId="0" borderId="7" xfId="0" applyFont="1" applyBorder="1" applyAlignment="1">
      <alignment vertical="center"/>
    </xf>
    <xf numFmtId="186" fontId="13" fillId="0" borderId="41" xfId="0" applyNumberFormat="1" applyFont="1" applyBorder="1" applyAlignment="1">
      <alignment horizontal="center" vertical="center" wrapText="1" readingOrder="1"/>
    </xf>
    <xf numFmtId="184" fontId="21" fillId="0" borderId="41" xfId="20" applyNumberFormat="1" applyFont="1" applyBorder="1" applyAlignment="1">
      <alignment horizontal="right" vertical="center" wrapText="1" readingOrder="1"/>
    </xf>
    <xf numFmtId="184" fontId="21" fillId="0" borderId="65" xfId="20" applyNumberFormat="1" applyFont="1" applyBorder="1" applyAlignment="1">
      <alignment horizontal="right" vertical="center" wrapText="1" readingOrder="1"/>
    </xf>
    <xf numFmtId="186" fontId="13" fillId="0" borderId="65" xfId="0" applyNumberFormat="1" applyFont="1" applyBorder="1" applyAlignment="1">
      <alignment horizontal="center" vertical="center" wrapText="1" readingOrder="1"/>
    </xf>
    <xf numFmtId="42" fontId="12" fillId="0" borderId="14" xfId="0" applyNumberFormat="1" applyFont="1" applyBorder="1" applyAlignment="1">
      <alignment horizontal="left" vertical="center"/>
    </xf>
    <xf numFmtId="0" fontId="12" fillId="0" borderId="11" xfId="1" applyNumberFormat="1" applyFont="1" applyBorder="1" applyAlignment="1">
      <alignment horizontal="center" vertical="center"/>
    </xf>
    <xf numFmtId="0" fontId="5" fillId="2" borderId="14" xfId="0" applyFont="1" applyFill="1" applyBorder="1" applyAlignment="1">
      <alignment horizontal="center" vertical="center"/>
    </xf>
    <xf numFmtId="0" fontId="5" fillId="2" borderId="11" xfId="0" applyFont="1" applyFill="1" applyBorder="1" applyAlignment="1">
      <alignment horizontal="center" vertical="center"/>
    </xf>
    <xf numFmtId="42" fontId="12" fillId="0" borderId="11" xfId="0" applyNumberFormat="1" applyFont="1" applyBorder="1" applyAlignment="1">
      <alignment vertical="center"/>
    </xf>
    <xf numFmtId="42" fontId="12" fillId="0" borderId="15" xfId="0" applyNumberFormat="1" applyFont="1" applyBorder="1" applyAlignment="1">
      <alignment vertical="center"/>
    </xf>
    <xf numFmtId="0" fontId="5" fillId="0" borderId="21" xfId="0" applyFont="1" applyBorder="1" applyAlignment="1">
      <alignment horizontal="center" vertical="center"/>
    </xf>
    <xf numFmtId="187" fontId="13" fillId="0" borderId="41" xfId="0" applyNumberFormat="1" applyFont="1" applyBorder="1" applyAlignment="1">
      <alignment horizontal="center" vertical="center" wrapText="1" readingOrder="1"/>
    </xf>
    <xf numFmtId="4" fontId="46" fillId="0" borderId="56" xfId="0" applyNumberFormat="1" applyFont="1" applyBorder="1" applyAlignment="1">
      <alignment horizontal="center" vertical="center"/>
    </xf>
    <xf numFmtId="42" fontId="12" fillId="0" borderId="16" xfId="1" applyFont="1" applyBorder="1" applyAlignment="1">
      <alignment horizontal="left" vertical="center"/>
    </xf>
    <xf numFmtId="168" fontId="12" fillId="0" borderId="16" xfId="0" applyNumberFormat="1" applyFont="1" applyBorder="1" applyAlignment="1">
      <alignment horizontal="center" vertical="center"/>
    </xf>
    <xf numFmtId="187" fontId="13" fillId="0" borderId="68" xfId="0" applyNumberFormat="1" applyFont="1" applyBorder="1" applyAlignment="1">
      <alignment horizontal="center" vertical="center" wrapText="1" readingOrder="1"/>
    </xf>
    <xf numFmtId="0" fontId="7" fillId="11" borderId="4" xfId="0" applyFont="1" applyFill="1" applyBorder="1" applyAlignment="1">
      <alignment horizontal="center" vertical="center"/>
    </xf>
    <xf numFmtId="0" fontId="7" fillId="0" borderId="2" xfId="0" applyFont="1" applyBorder="1" applyAlignment="1">
      <alignment vertical="center"/>
    </xf>
    <xf numFmtId="0" fontId="7" fillId="11" borderId="11" xfId="0" applyFont="1" applyFill="1" applyBorder="1" applyAlignment="1">
      <alignment horizontal="center" vertical="center"/>
    </xf>
    <xf numFmtId="176" fontId="47" fillId="0" borderId="11" xfId="22" applyNumberFormat="1" applyFont="1" applyFill="1" applyBorder="1" applyAlignment="1">
      <alignment horizontal="center" vertical="center"/>
    </xf>
    <xf numFmtId="176" fontId="47" fillId="0" borderId="11" xfId="22" applyNumberFormat="1" applyFont="1" applyBorder="1" applyAlignment="1">
      <alignment horizontal="center" vertical="center"/>
    </xf>
    <xf numFmtId="9" fontId="12" fillId="0" borderId="16" xfId="2" applyFont="1" applyBorder="1" applyAlignment="1">
      <alignment horizontal="right" vertical="center" indent="1"/>
    </xf>
    <xf numFmtId="2" fontId="13" fillId="0" borderId="11" xfId="0" applyNumberFormat="1" applyFont="1" applyBorder="1" applyAlignment="1">
      <alignment horizontal="center" vertical="center"/>
    </xf>
    <xf numFmtId="2" fontId="21" fillId="0" borderId="66" xfId="20" applyNumberFormat="1" applyFont="1" applyBorder="1" applyAlignment="1">
      <alignment horizontal="center" vertical="top" wrapText="1" readingOrder="1"/>
    </xf>
    <xf numFmtId="2" fontId="21" fillId="0" borderId="66" xfId="20" applyNumberFormat="1" applyFont="1" applyBorder="1" applyAlignment="1">
      <alignment horizontal="center" vertical="center" wrapText="1" readingOrder="1"/>
    </xf>
    <xf numFmtId="0" fontId="7" fillId="11" borderId="29" xfId="0" applyFont="1" applyFill="1" applyBorder="1" applyAlignment="1">
      <alignment horizontal="center" vertical="center"/>
    </xf>
    <xf numFmtId="168" fontId="12" fillId="0" borderId="11" xfId="0" applyNumberFormat="1" applyFont="1" applyBorder="1" applyAlignment="1">
      <alignment horizontal="right" vertical="center"/>
    </xf>
    <xf numFmtId="177" fontId="47" fillId="0" borderId="0" xfId="22" applyNumberFormat="1" applyFont="1" applyFill="1" applyBorder="1" applyAlignment="1">
      <alignment horizontal="right" vertical="center"/>
    </xf>
    <xf numFmtId="169" fontId="12" fillId="0" borderId="16" xfId="0" applyNumberFormat="1" applyFont="1" applyBorder="1" applyAlignment="1">
      <alignment horizontal="center" vertical="center"/>
    </xf>
    <xf numFmtId="42" fontId="12" fillId="0" borderId="14" xfId="0" applyNumberFormat="1" applyFont="1" applyBorder="1" applyAlignment="1">
      <alignment vertical="center"/>
    </xf>
    <xf numFmtId="0" fontId="3" fillId="0" borderId="0" xfId="0" applyFont="1" applyAlignment="1">
      <alignment horizontal="center"/>
    </xf>
    <xf numFmtId="1" fontId="3" fillId="0" borderId="0" xfId="0" applyNumberFormat="1" applyFont="1"/>
    <xf numFmtId="1" fontId="3" fillId="0" borderId="0" xfId="0" applyNumberFormat="1" applyFont="1" applyAlignment="1">
      <alignment horizontal="center" vertical="center"/>
    </xf>
    <xf numFmtId="0" fontId="3" fillId="0" borderId="0" xfId="0" applyFont="1" applyAlignment="1">
      <alignment horizontal="right"/>
    </xf>
    <xf numFmtId="189" fontId="13" fillId="0" borderId="41" xfId="0" applyNumberFormat="1" applyFont="1" applyBorder="1" applyAlignment="1">
      <alignment horizontal="center" vertical="center" wrapText="1" readingOrder="1"/>
    </xf>
    <xf numFmtId="42" fontId="18" fillId="4" borderId="30" xfId="1" applyFont="1" applyFill="1" applyBorder="1" applyAlignment="1">
      <alignment horizontal="right" vertical="center" wrapText="1"/>
    </xf>
    <xf numFmtId="43" fontId="13" fillId="0" borderId="11" xfId="0" applyNumberFormat="1" applyFont="1" applyBorder="1" applyAlignment="1">
      <alignment horizontal="center" vertical="center" wrapText="1" readingOrder="1"/>
    </xf>
    <xf numFmtId="0" fontId="8" fillId="0" borderId="0" xfId="0" applyFont="1" applyAlignment="1">
      <alignment horizontal="left" vertical="center" wrapText="1"/>
    </xf>
    <xf numFmtId="44" fontId="24" fillId="0" borderId="56" xfId="20" applyFont="1" applyFill="1" applyBorder="1" applyAlignment="1" applyProtection="1">
      <alignment horizontal="right" vertical="center"/>
    </xf>
    <xf numFmtId="44" fontId="24" fillId="0" borderId="25" xfId="20" applyFont="1" applyFill="1" applyBorder="1" applyAlignment="1" applyProtection="1">
      <alignment horizontal="right" vertical="center"/>
    </xf>
    <xf numFmtId="184" fontId="3" fillId="0" borderId="0" xfId="0" applyNumberFormat="1" applyFont="1"/>
    <xf numFmtId="177" fontId="47" fillId="0" borderId="11" xfId="22" applyNumberFormat="1" applyFont="1" applyFill="1" applyBorder="1" applyAlignment="1">
      <alignment horizontal="center" vertical="center"/>
    </xf>
    <xf numFmtId="177" fontId="47" fillId="0" borderId="11" xfId="22" applyNumberFormat="1" applyFont="1" applyFill="1" applyBorder="1" applyAlignment="1">
      <alignment vertical="center"/>
    </xf>
    <xf numFmtId="177" fontId="47" fillId="0" borderId="0" xfId="22" applyNumberFormat="1" applyFont="1" applyFill="1" applyBorder="1" applyAlignment="1">
      <alignment vertical="center"/>
    </xf>
    <xf numFmtId="177" fontId="47" fillId="0" borderId="47" xfId="22" applyNumberFormat="1" applyFont="1" applyFill="1" applyBorder="1" applyAlignment="1">
      <alignment horizontal="right" vertical="center"/>
    </xf>
    <xf numFmtId="44" fontId="24" fillId="0" borderId="11" xfId="20" applyFont="1" applyFill="1" applyBorder="1" applyAlignment="1" applyProtection="1">
      <alignment horizontal="right" vertical="center"/>
    </xf>
    <xf numFmtId="42" fontId="13" fillId="0" borderId="0" xfId="1" applyFont="1" applyBorder="1" applyAlignment="1">
      <alignment horizontal="right" vertical="center"/>
    </xf>
    <xf numFmtId="42" fontId="3" fillId="0" borderId="0" xfId="0" applyNumberFormat="1" applyFont="1"/>
    <xf numFmtId="42" fontId="13" fillId="0" borderId="47" xfId="1" applyFont="1" applyBorder="1" applyAlignment="1">
      <alignment horizontal="right" vertical="center"/>
    </xf>
    <xf numFmtId="0" fontId="28" fillId="5" borderId="0" xfId="0" applyFont="1" applyFill="1" applyAlignment="1">
      <alignment horizontal="center"/>
    </xf>
    <xf numFmtId="177" fontId="32" fillId="5" borderId="0" xfId="0" applyNumberFormat="1" applyFont="1" applyFill="1" applyAlignment="1">
      <alignment vertical="center"/>
    </xf>
    <xf numFmtId="190" fontId="32" fillId="5" borderId="0" xfId="0" applyNumberFormat="1" applyFont="1" applyFill="1" applyAlignment="1">
      <alignment horizontal="right" vertical="center"/>
    </xf>
    <xf numFmtId="177" fontId="24" fillId="5" borderId="49" xfId="1" applyNumberFormat="1" applyFont="1" applyFill="1" applyBorder="1" applyAlignment="1">
      <alignment horizontal="right" vertical="center"/>
    </xf>
    <xf numFmtId="0" fontId="29" fillId="0" borderId="14" xfId="0" applyFont="1" applyBorder="1" applyAlignment="1">
      <alignment horizontal="left" vertical="center"/>
    </xf>
    <xf numFmtId="2" fontId="24" fillId="5" borderId="25" xfId="7" applyNumberFormat="1" applyFont="1" applyFill="1" applyBorder="1" applyAlignment="1">
      <alignment vertical="center"/>
    </xf>
    <xf numFmtId="2" fontId="24" fillId="5" borderId="44" xfId="7" applyNumberFormat="1" applyFont="1" applyFill="1" applyBorder="1" applyAlignment="1">
      <alignment vertical="center"/>
    </xf>
    <xf numFmtId="2" fontId="24" fillId="5" borderId="24" xfId="7" applyNumberFormat="1" applyFont="1" applyFill="1" applyBorder="1" applyAlignment="1">
      <alignment vertical="center"/>
    </xf>
    <xf numFmtId="0" fontId="23" fillId="0" borderId="50" xfId="0" applyFont="1" applyBorder="1" applyAlignment="1">
      <alignment horizontal="center" vertical="center" wrapText="1"/>
    </xf>
    <xf numFmtId="4" fontId="23" fillId="0" borderId="50" xfId="0" applyNumberFormat="1" applyFont="1" applyBorder="1" applyAlignment="1">
      <alignment horizontal="center" vertical="center" wrapText="1"/>
    </xf>
    <xf numFmtId="176" fontId="24" fillId="5" borderId="50" xfId="1" applyNumberFormat="1" applyFont="1" applyFill="1" applyBorder="1" applyAlignment="1">
      <alignment horizontal="center" vertical="center"/>
    </xf>
    <xf numFmtId="177" fontId="29" fillId="5" borderId="49" xfId="1" applyNumberFormat="1" applyFont="1" applyFill="1" applyBorder="1" applyAlignment="1">
      <alignment horizontal="right" vertical="center"/>
    </xf>
    <xf numFmtId="191" fontId="3" fillId="0" borderId="0" xfId="2" applyNumberFormat="1" applyFont="1" applyAlignment="1">
      <alignment wrapText="1"/>
    </xf>
    <xf numFmtId="2" fontId="21" fillId="0" borderId="11" xfId="20" applyNumberFormat="1" applyFont="1" applyBorder="1" applyAlignment="1">
      <alignment horizontal="center" vertical="top" wrapText="1" readingOrder="1"/>
    </xf>
    <xf numFmtId="177" fontId="48" fillId="11" borderId="11" xfId="1" applyNumberFormat="1" applyFont="1" applyFill="1" applyBorder="1" applyAlignment="1">
      <alignment horizontal="center" vertical="center"/>
    </xf>
    <xf numFmtId="0" fontId="3" fillId="0" borderId="0" xfId="0" applyFont="1" applyAlignment="1">
      <alignment horizontal="right" wrapText="1"/>
    </xf>
    <xf numFmtId="44" fontId="12" fillId="0" borderId="11" xfId="20" applyFont="1" applyBorder="1" applyAlignment="1">
      <alignment horizontal="center" vertical="center"/>
    </xf>
    <xf numFmtId="0" fontId="22" fillId="0" borderId="11" xfId="0" applyFont="1" applyBorder="1"/>
    <xf numFmtId="42" fontId="12" fillId="0" borderId="22" xfId="1" applyFont="1" applyBorder="1" applyAlignment="1">
      <alignment horizontal="right" vertical="center"/>
    </xf>
    <xf numFmtId="0" fontId="13" fillId="0" borderId="50" xfId="0" applyFont="1" applyBorder="1" applyAlignment="1">
      <alignment horizontal="center" vertical="center"/>
    </xf>
    <xf numFmtId="186" fontId="13" fillId="0" borderId="71" xfId="0" applyNumberFormat="1" applyFont="1" applyBorder="1" applyAlignment="1">
      <alignment horizontal="center" vertical="center" wrapText="1" readingOrder="1"/>
    </xf>
    <xf numFmtId="42" fontId="12" fillId="0" borderId="50" xfId="1" applyFont="1" applyBorder="1" applyAlignment="1">
      <alignment horizontal="right" vertical="center"/>
    </xf>
    <xf numFmtId="186" fontId="13" fillId="0" borderId="11" xfId="0" applyNumberFormat="1" applyFont="1" applyBorder="1" applyAlignment="1">
      <alignment horizontal="center" vertical="center" wrapText="1" readingOrder="1"/>
    </xf>
    <xf numFmtId="0" fontId="22" fillId="0" borderId="11" xfId="0" applyFont="1" applyBorder="1" applyAlignment="1">
      <alignment horizontal="center" vertical="center" wrapText="1"/>
    </xf>
    <xf numFmtId="0" fontId="22" fillId="0" borderId="11" xfId="0" applyFont="1" applyBorder="1" applyAlignment="1">
      <alignment horizontal="center" vertical="center"/>
    </xf>
    <xf numFmtId="44" fontId="49" fillId="0" borderId="11" xfId="20" applyFont="1" applyFill="1" applyBorder="1" applyAlignment="1" applyProtection="1">
      <alignment horizontal="center" vertical="center"/>
    </xf>
    <xf numFmtId="184" fontId="6" fillId="0" borderId="11" xfId="0" applyNumberFormat="1" applyFont="1" applyBorder="1" applyAlignment="1">
      <alignment horizontal="center" vertical="center"/>
    </xf>
    <xf numFmtId="0" fontId="22" fillId="0" borderId="11" xfId="0" applyFont="1" applyBorder="1" applyAlignment="1">
      <alignment horizontal="center"/>
    </xf>
    <xf numFmtId="0" fontId="50" fillId="0" borderId="0" xfId="0" applyFont="1"/>
    <xf numFmtId="42" fontId="50" fillId="0" borderId="0" xfId="1" applyFont="1"/>
    <xf numFmtId="9" fontId="50" fillId="0" borderId="0" xfId="2" applyFont="1"/>
    <xf numFmtId="0" fontId="44" fillId="0" borderId="0" xfId="0" applyFont="1"/>
    <xf numFmtId="176" fontId="28" fillId="5" borderId="0" xfId="0" applyNumberFormat="1" applyFont="1" applyFill="1"/>
    <xf numFmtId="176" fontId="28" fillId="5" borderId="0" xfId="0" applyNumberFormat="1" applyFont="1" applyFill="1" applyAlignment="1">
      <alignment horizontal="center"/>
    </xf>
    <xf numFmtId="0" fontId="3" fillId="0" borderId="11" xfId="0" applyFont="1" applyBorder="1" applyAlignment="1">
      <alignment horizontal="center"/>
    </xf>
    <xf numFmtId="2" fontId="3" fillId="11" borderId="11" xfId="0" applyNumberFormat="1" applyFont="1" applyFill="1" applyBorder="1" applyAlignment="1">
      <alignment horizontal="center"/>
    </xf>
    <xf numFmtId="2" fontId="3" fillId="0" borderId="0" xfId="0" applyNumberFormat="1" applyFont="1"/>
    <xf numFmtId="2" fontId="3" fillId="13" borderId="11" xfId="0" applyNumberFormat="1" applyFont="1" applyFill="1" applyBorder="1" applyAlignment="1">
      <alignment horizontal="center"/>
    </xf>
    <xf numFmtId="2" fontId="12" fillId="0" borderId="16" xfId="0" applyNumberFormat="1" applyFont="1" applyBorder="1" applyAlignment="1">
      <alignment horizontal="center" vertical="center"/>
    </xf>
    <xf numFmtId="0" fontId="5" fillId="2" borderId="58" xfId="0" applyFont="1" applyFill="1" applyBorder="1" applyAlignment="1">
      <alignment horizontal="center" vertical="center"/>
    </xf>
    <xf numFmtId="0" fontId="12" fillId="0" borderId="22" xfId="0" applyFont="1" applyBorder="1" applyAlignment="1">
      <alignment horizontal="center" vertical="center"/>
    </xf>
    <xf numFmtId="42" fontId="12" fillId="0" borderId="22" xfId="1" applyFont="1" applyBorder="1" applyAlignment="1">
      <alignment vertical="center"/>
    </xf>
    <xf numFmtId="42" fontId="12" fillId="0" borderId="18" xfId="0" applyNumberFormat="1" applyFont="1" applyBorder="1" applyAlignment="1">
      <alignment vertical="center"/>
    </xf>
    <xf numFmtId="42" fontId="12" fillId="0" borderId="11" xfId="0" applyNumberFormat="1" applyFont="1" applyBorder="1" applyAlignment="1">
      <alignment horizontal="left" vertical="center"/>
    </xf>
    <xf numFmtId="44" fontId="3" fillId="0" borderId="0" xfId="0" applyNumberFormat="1" applyFont="1" applyAlignment="1">
      <alignment horizontal="center" vertical="center"/>
    </xf>
    <xf numFmtId="0" fontId="12" fillId="0" borderId="11" xfId="0" applyFont="1" applyBorder="1" applyAlignment="1">
      <alignment horizontal="left" vertical="center"/>
    </xf>
    <xf numFmtId="43" fontId="13" fillId="0" borderId="41" xfId="0" applyNumberFormat="1" applyFont="1" applyBorder="1" applyAlignment="1">
      <alignment horizontal="center" vertical="center" wrapText="1" readingOrder="1"/>
    </xf>
    <xf numFmtId="43" fontId="13" fillId="0" borderId="70" xfId="0" applyNumberFormat="1" applyFont="1" applyBorder="1" applyAlignment="1">
      <alignment horizontal="center" vertical="center" wrapText="1" readingOrder="1"/>
    </xf>
    <xf numFmtId="43" fontId="13" fillId="0" borderId="71" xfId="0" applyNumberFormat="1" applyFont="1" applyBorder="1" applyAlignment="1">
      <alignment horizontal="center" vertical="center" wrapText="1" readingOrder="1"/>
    </xf>
    <xf numFmtId="42" fontId="13" fillId="0" borderId="11" xfId="1" applyFont="1" applyBorder="1" applyAlignment="1">
      <alignment horizontal="center" vertical="center"/>
    </xf>
    <xf numFmtId="44" fontId="45" fillId="0" borderId="56" xfId="20" applyFont="1" applyFill="1" applyBorder="1" applyAlignment="1" applyProtection="1">
      <alignment horizontal="center" vertical="center"/>
    </xf>
    <xf numFmtId="184" fontId="51" fillId="0" borderId="11" xfId="20" applyNumberFormat="1" applyFont="1" applyBorder="1" applyAlignment="1">
      <alignment horizontal="center" vertical="center" wrapText="1" readingOrder="1"/>
    </xf>
    <xf numFmtId="184" fontId="51" fillId="0" borderId="71" xfId="20" applyNumberFormat="1" applyFont="1" applyBorder="1" applyAlignment="1">
      <alignment horizontal="center" vertical="center" wrapText="1" readingOrder="1"/>
    </xf>
    <xf numFmtId="184" fontId="51" fillId="0" borderId="41" xfId="20" applyNumberFormat="1" applyFont="1" applyBorder="1" applyAlignment="1">
      <alignment horizontal="center" vertical="center" wrapText="1" readingOrder="1"/>
    </xf>
    <xf numFmtId="2" fontId="13" fillId="0" borderId="41" xfId="0" applyNumberFormat="1" applyFont="1" applyBorder="1" applyAlignment="1">
      <alignment horizontal="center" vertical="center" wrapText="1" readingOrder="1"/>
    </xf>
    <xf numFmtId="2" fontId="45" fillId="0" borderId="56" xfId="0" applyNumberFormat="1" applyFont="1" applyBorder="1" applyAlignment="1">
      <alignment horizontal="center" vertical="center"/>
    </xf>
    <xf numFmtId="0" fontId="4" fillId="0" borderId="0" xfId="0" applyFont="1" applyAlignment="1">
      <alignment horizontal="center" vertical="center"/>
    </xf>
    <xf numFmtId="0" fontId="4" fillId="0" borderId="2" xfId="0" applyFont="1" applyBorder="1" applyAlignment="1">
      <alignment vertical="center"/>
    </xf>
    <xf numFmtId="0" fontId="4" fillId="11" borderId="29" xfId="0" applyFont="1" applyFill="1" applyBorder="1" applyAlignment="1">
      <alignment horizontal="center" vertical="center"/>
    </xf>
    <xf numFmtId="0" fontId="12" fillId="0" borderId="3" xfId="0" applyFont="1" applyBorder="1" applyAlignment="1">
      <alignment vertical="center"/>
    </xf>
    <xf numFmtId="0" fontId="4" fillId="0" borderId="1" xfId="0" applyFont="1" applyBorder="1" applyAlignment="1">
      <alignment horizontal="left" vertical="center"/>
    </xf>
    <xf numFmtId="0" fontId="4" fillId="11" borderId="4" xfId="0" applyFont="1" applyFill="1" applyBorder="1" applyAlignment="1">
      <alignment horizontal="center" vertical="center"/>
    </xf>
    <xf numFmtId="0" fontId="4" fillId="0" borderId="1" xfId="0" applyFont="1" applyBorder="1" applyAlignment="1">
      <alignment vertical="center"/>
    </xf>
    <xf numFmtId="0" fontId="12" fillId="0" borderId="0" xfId="0" applyFont="1"/>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vertical="center"/>
    </xf>
    <xf numFmtId="0" fontId="12" fillId="0" borderId="21" xfId="0" applyFont="1" applyBorder="1" applyAlignment="1">
      <alignment vertical="center"/>
    </xf>
    <xf numFmtId="0" fontId="4" fillId="0" borderId="0" xfId="0" applyFont="1" applyAlignment="1">
      <alignment horizontal="right" vertical="center"/>
    </xf>
    <xf numFmtId="0" fontId="4" fillId="2" borderId="58" xfId="0" applyFont="1" applyFill="1" applyBorder="1" applyAlignment="1">
      <alignment horizontal="center" vertical="center"/>
    </xf>
    <xf numFmtId="0" fontId="4" fillId="0" borderId="19" xfId="0" applyFont="1" applyBorder="1" applyAlignment="1">
      <alignment horizontal="center" vertical="center"/>
    </xf>
    <xf numFmtId="176" fontId="54" fillId="0" borderId="11" xfId="22" applyNumberFormat="1" applyFont="1" applyFill="1" applyBorder="1" applyAlignment="1">
      <alignment horizontal="center" vertical="center"/>
    </xf>
    <xf numFmtId="2" fontId="51" fillId="0" borderId="66" xfId="20" applyNumberFormat="1" applyFont="1" applyBorder="1" applyAlignment="1">
      <alignment horizontal="center" vertical="top" wrapText="1" readingOrder="1"/>
    </xf>
    <xf numFmtId="0" fontId="51" fillId="0" borderId="11" xfId="20" applyNumberFormat="1" applyFont="1" applyBorder="1" applyAlignment="1">
      <alignment horizontal="center" vertical="top" wrapText="1" readingOrder="1"/>
    </xf>
    <xf numFmtId="0" fontId="12" fillId="0" borderId="67" xfId="0" applyFont="1" applyBorder="1" applyAlignment="1">
      <alignment vertical="center"/>
    </xf>
    <xf numFmtId="176" fontId="54" fillId="0" borderId="11" xfId="22" applyNumberFormat="1" applyFont="1" applyBorder="1" applyAlignment="1">
      <alignment horizontal="center" vertical="center"/>
    </xf>
    <xf numFmtId="184" fontId="51" fillId="0" borderId="16" xfId="20" applyNumberFormat="1" applyFont="1" applyBorder="1" applyAlignment="1">
      <alignment horizontal="right" vertical="top" wrapText="1" readingOrder="1"/>
    </xf>
    <xf numFmtId="0" fontId="51" fillId="0" borderId="16" xfId="20" applyNumberFormat="1" applyFont="1" applyBorder="1" applyAlignment="1">
      <alignment horizontal="center" vertical="top" wrapText="1" readingOrder="1"/>
    </xf>
    <xf numFmtId="0" fontId="12" fillId="0" borderId="7" xfId="0" applyFont="1" applyBorder="1" applyAlignment="1">
      <alignment vertical="center"/>
    </xf>
    <xf numFmtId="184" fontId="51" fillId="0" borderId="65" xfId="20" applyNumberFormat="1" applyFont="1" applyBorder="1" applyAlignment="1">
      <alignment horizontal="right" vertical="center" wrapText="1" readingOrder="1"/>
    </xf>
    <xf numFmtId="0" fontId="4" fillId="0" borderId="20" xfId="0" applyFont="1" applyBorder="1" applyAlignment="1">
      <alignment horizontal="center" vertical="center"/>
    </xf>
    <xf numFmtId="0" fontId="4" fillId="2" borderId="14" xfId="0" applyFont="1" applyFill="1" applyBorder="1" applyAlignment="1">
      <alignment horizontal="center" vertical="center"/>
    </xf>
    <xf numFmtId="0" fontId="4" fillId="2" borderId="11" xfId="0" applyFont="1" applyFill="1" applyBorder="1" applyAlignment="1">
      <alignment horizontal="center" vertical="center"/>
    </xf>
    <xf numFmtId="0" fontId="4" fillId="0" borderId="21" xfId="0" applyFont="1" applyBorder="1" applyAlignment="1">
      <alignment horizontal="center" vertical="center"/>
    </xf>
    <xf numFmtId="42" fontId="4" fillId="2" borderId="1" xfId="1" applyFont="1" applyFill="1" applyBorder="1" applyAlignment="1">
      <alignment horizontal="right" vertical="center"/>
    </xf>
    <xf numFmtId="184" fontId="51" fillId="0" borderId="11" xfId="20" applyNumberFormat="1" applyFont="1" applyBorder="1" applyAlignment="1">
      <alignment horizontal="right" vertical="center" wrapText="1" readingOrder="1"/>
    </xf>
    <xf numFmtId="42" fontId="13" fillId="0" borderId="11" xfId="1" applyFont="1" applyBorder="1" applyAlignment="1">
      <alignment horizontal="center" vertical="top"/>
    </xf>
    <xf numFmtId="42" fontId="12" fillId="0" borderId="11" xfId="1" applyFont="1" applyBorder="1" applyAlignment="1">
      <alignment horizontal="center" vertical="top"/>
    </xf>
    <xf numFmtId="44" fontId="45" fillId="0" borderId="11" xfId="20" applyFont="1" applyFill="1" applyBorder="1" applyAlignment="1" applyProtection="1">
      <alignment horizontal="center" vertical="top"/>
    </xf>
    <xf numFmtId="2" fontId="51" fillId="0" borderId="11" xfId="20" applyNumberFormat="1" applyFont="1" applyBorder="1" applyAlignment="1">
      <alignment horizontal="center" vertical="top" wrapText="1" readingOrder="1"/>
    </xf>
    <xf numFmtId="184" fontId="51" fillId="0" borderId="11" xfId="20" applyNumberFormat="1" applyFont="1" applyBorder="1" applyAlignment="1">
      <alignment horizontal="center" vertical="top" wrapText="1" readingOrder="1"/>
    </xf>
    <xf numFmtId="2" fontId="13" fillId="0" borderId="11" xfId="0" applyNumberFormat="1" applyFont="1" applyBorder="1" applyAlignment="1">
      <alignment horizontal="center" vertical="top" wrapText="1" readingOrder="1"/>
    </xf>
    <xf numFmtId="2" fontId="13" fillId="0" borderId="41" xfId="0" applyNumberFormat="1" applyFont="1" applyBorder="1" applyAlignment="1">
      <alignment horizontal="center" vertical="top" wrapText="1" readingOrder="1"/>
    </xf>
    <xf numFmtId="2" fontId="45" fillId="0" borderId="56" xfId="0" applyNumberFormat="1" applyFont="1" applyBorder="1" applyAlignment="1">
      <alignment horizontal="center" vertical="top"/>
    </xf>
    <xf numFmtId="0" fontId="4" fillId="11" borderId="11" xfId="0" applyFont="1" applyFill="1" applyBorder="1" applyAlignment="1">
      <alignment horizontal="center" vertical="center"/>
    </xf>
    <xf numFmtId="184" fontId="51" fillId="0" borderId="11" xfId="20" applyNumberFormat="1" applyFont="1" applyBorder="1" applyAlignment="1">
      <alignment horizontal="right" vertical="top" wrapText="1" readingOrder="1"/>
    </xf>
    <xf numFmtId="184" fontId="51" fillId="0" borderId="41" xfId="20" applyNumberFormat="1" applyFont="1" applyBorder="1" applyAlignment="1">
      <alignment horizontal="right" vertical="top" wrapText="1" readingOrder="1"/>
    </xf>
    <xf numFmtId="16" fontId="12" fillId="0" borderId="0" xfId="0" applyNumberFormat="1" applyFont="1"/>
    <xf numFmtId="44" fontId="12" fillId="0" borderId="0" xfId="0" applyNumberFormat="1" applyFont="1"/>
    <xf numFmtId="184" fontId="51" fillId="0" borderId="41" xfId="20" applyNumberFormat="1" applyFont="1" applyBorder="1" applyAlignment="1">
      <alignment horizontal="right" vertical="center" wrapText="1" readingOrder="1"/>
    </xf>
    <xf numFmtId="184" fontId="51" fillId="0" borderId="66" xfId="20" applyNumberFormat="1" applyFont="1" applyBorder="1" applyAlignment="1">
      <alignment horizontal="right" vertical="top" wrapText="1" readingOrder="1"/>
    </xf>
    <xf numFmtId="0" fontId="51" fillId="0" borderId="66" xfId="20" applyNumberFormat="1" applyFont="1" applyBorder="1" applyAlignment="1">
      <alignment horizontal="center" vertical="top" wrapText="1" readingOrder="1"/>
    </xf>
    <xf numFmtId="0" fontId="56" fillId="0" borderId="0" xfId="0" applyFont="1" applyAlignment="1">
      <alignment horizontal="center" vertical="center" wrapText="1"/>
    </xf>
    <xf numFmtId="0" fontId="55" fillId="0" borderId="0" xfId="0" applyFont="1" applyAlignment="1">
      <alignment vertical="center" wrapText="1"/>
    </xf>
    <xf numFmtId="6" fontId="55" fillId="0" borderId="0" xfId="0" applyNumberFormat="1" applyFont="1" applyAlignment="1">
      <alignment vertical="center" wrapText="1"/>
    </xf>
    <xf numFmtId="0" fontId="55" fillId="0" borderId="0" xfId="0" applyFont="1"/>
    <xf numFmtId="184" fontId="51" fillId="0" borderId="71" xfId="20" applyNumberFormat="1" applyFont="1" applyBorder="1" applyAlignment="1">
      <alignment horizontal="right" vertical="top" wrapText="1" readingOrder="1"/>
    </xf>
    <xf numFmtId="2" fontId="55" fillId="0" borderId="11" xfId="0" applyNumberFormat="1" applyFont="1" applyBorder="1" applyAlignment="1">
      <alignment horizontal="center" vertical="center" wrapText="1"/>
    </xf>
    <xf numFmtId="44" fontId="45" fillId="0" borderId="11" xfId="20" applyFont="1" applyFill="1" applyBorder="1" applyAlignment="1" applyProtection="1">
      <alignment horizontal="right" vertical="center"/>
    </xf>
    <xf numFmtId="0" fontId="12" fillId="0" borderId="16" xfId="0" applyFont="1" applyBorder="1" applyAlignment="1">
      <alignment horizontal="center" vertical="center"/>
    </xf>
    <xf numFmtId="182" fontId="13" fillId="0" borderId="11" xfId="1" applyNumberFormat="1" applyFont="1" applyBorder="1" applyAlignment="1">
      <alignment horizontal="center" vertical="center"/>
    </xf>
    <xf numFmtId="0" fontId="13" fillId="0" borderId="23" xfId="0" applyFont="1" applyBorder="1" applyAlignment="1">
      <alignment vertical="center"/>
    </xf>
    <xf numFmtId="0" fontId="13" fillId="0" borderId="24" xfId="0" applyFont="1" applyBorder="1" applyAlignment="1">
      <alignment vertical="center"/>
    </xf>
    <xf numFmtId="2" fontId="46" fillId="0" borderId="56" xfId="0" applyNumberFormat="1" applyFont="1" applyBorder="1" applyAlignment="1">
      <alignment horizontal="center" vertical="center"/>
    </xf>
    <xf numFmtId="182" fontId="54" fillId="0" borderId="11" xfId="22" applyNumberFormat="1" applyFont="1" applyFill="1" applyBorder="1" applyAlignment="1">
      <alignment horizontal="center" vertical="center"/>
    </xf>
    <xf numFmtId="42" fontId="12" fillId="0" borderId="22" xfId="1" applyFont="1" applyBorder="1" applyAlignment="1">
      <alignment horizontal="center" vertical="center"/>
    </xf>
    <xf numFmtId="44" fontId="12" fillId="0" borderId="16" xfId="0" applyNumberFormat="1" applyFont="1" applyBorder="1" applyAlignment="1">
      <alignment horizontal="center" vertical="center"/>
    </xf>
    <xf numFmtId="2" fontId="12" fillId="0" borderId="22" xfId="2" applyNumberFormat="1" applyFont="1" applyBorder="1" applyAlignment="1">
      <alignment horizontal="center" vertical="center"/>
    </xf>
    <xf numFmtId="182" fontId="45" fillId="0" borderId="56" xfId="20" applyNumberFormat="1" applyFont="1" applyFill="1" applyBorder="1" applyAlignment="1" applyProtection="1">
      <alignment horizontal="center" vertical="center"/>
    </xf>
    <xf numFmtId="182" fontId="51" fillId="0" borderId="11" xfId="20" applyNumberFormat="1" applyFont="1" applyBorder="1" applyAlignment="1">
      <alignment horizontal="center" vertical="center" wrapText="1" readingOrder="1"/>
    </xf>
    <xf numFmtId="182" fontId="51" fillId="0" borderId="71" xfId="20" applyNumberFormat="1" applyFont="1" applyBorder="1" applyAlignment="1">
      <alignment horizontal="center" vertical="center" wrapText="1" readingOrder="1"/>
    </xf>
    <xf numFmtId="182" fontId="51" fillId="0" borderId="41" xfId="20" applyNumberFormat="1" applyFont="1" applyBorder="1" applyAlignment="1">
      <alignment horizontal="center" vertical="center" wrapText="1" readingOrder="1"/>
    </xf>
    <xf numFmtId="44" fontId="0" fillId="0" borderId="0" xfId="0" applyNumberFormat="1" applyAlignment="1">
      <alignment wrapText="1"/>
    </xf>
    <xf numFmtId="9" fontId="0" fillId="0" borderId="0" xfId="2" applyFont="1" applyFill="1"/>
    <xf numFmtId="42" fontId="12" fillId="0" borderId="16" xfId="1" applyFont="1" applyFill="1" applyBorder="1" applyAlignment="1">
      <alignment horizontal="right" vertical="center"/>
    </xf>
    <xf numFmtId="0" fontId="55" fillId="0" borderId="11" xfId="0" applyFont="1" applyBorder="1" applyAlignment="1">
      <alignment horizontal="center" vertical="center" wrapText="1"/>
    </xf>
    <xf numFmtId="184" fontId="13" fillId="0" borderId="11" xfId="1" applyNumberFormat="1" applyFont="1" applyBorder="1" applyAlignment="1">
      <alignment horizontal="center" vertical="center"/>
    </xf>
    <xf numFmtId="184" fontId="45" fillId="0" borderId="11" xfId="20" applyNumberFormat="1" applyFont="1" applyFill="1" applyBorder="1" applyAlignment="1" applyProtection="1">
      <alignment horizontal="center" vertical="center"/>
    </xf>
    <xf numFmtId="0" fontId="3" fillId="0" borderId="6" xfId="0" applyFont="1" applyBorder="1"/>
    <xf numFmtId="0" fontId="12" fillId="0" borderId="0" xfId="0" applyFont="1" applyAlignment="1">
      <alignment vertical="center"/>
    </xf>
    <xf numFmtId="0" fontId="12" fillId="0" borderId="0" xfId="0" applyFont="1" applyAlignment="1">
      <alignment horizontal="center" vertical="center"/>
    </xf>
    <xf numFmtId="42" fontId="12" fillId="0" borderId="0" xfId="1" applyFont="1" applyBorder="1" applyAlignment="1">
      <alignment vertical="center"/>
    </xf>
    <xf numFmtId="0" fontId="12" fillId="0" borderId="0" xfId="2" applyNumberFormat="1" applyFont="1" applyBorder="1" applyAlignment="1">
      <alignment horizontal="right" vertical="center" indent="1"/>
    </xf>
    <xf numFmtId="42" fontId="12" fillId="0" borderId="0" xfId="1" applyFont="1" applyBorder="1" applyAlignment="1">
      <alignment horizontal="right" vertical="center"/>
    </xf>
    <xf numFmtId="44" fontId="12" fillId="0" borderId="0" xfId="0" applyNumberFormat="1" applyFont="1" applyAlignment="1">
      <alignment vertical="center"/>
    </xf>
    <xf numFmtId="0" fontId="32" fillId="0" borderId="14" xfId="0" applyFont="1" applyBorder="1" applyAlignment="1" applyProtection="1">
      <alignment horizontal="center" vertical="center"/>
      <protection locked="0"/>
    </xf>
    <xf numFmtId="0" fontId="32" fillId="0" borderId="14" xfId="5" applyFont="1" applyBorder="1" applyAlignment="1" applyProtection="1">
      <alignment horizontal="center" vertical="center" wrapText="1"/>
      <protection locked="0"/>
    </xf>
    <xf numFmtId="0" fontId="24" fillId="0" borderId="14" xfId="5" applyFont="1" applyBorder="1" applyAlignment="1" applyProtection="1">
      <alignment horizontal="center" vertical="center" wrapText="1"/>
      <protection locked="0"/>
    </xf>
    <xf numFmtId="2" fontId="12" fillId="0" borderId="22" xfId="2" applyNumberFormat="1" applyFont="1" applyBorder="1" applyAlignment="1">
      <alignment horizontal="right" vertical="center" indent="1"/>
    </xf>
    <xf numFmtId="182" fontId="47" fillId="0" borderId="11" xfId="22" applyNumberFormat="1" applyFont="1" applyFill="1" applyBorder="1" applyAlignment="1">
      <alignment horizontal="center" vertical="center"/>
    </xf>
    <xf numFmtId="182" fontId="21" fillId="0" borderId="41" xfId="20" applyNumberFormat="1" applyFont="1" applyBorder="1" applyAlignment="1">
      <alignment horizontal="center" vertical="top" wrapText="1" readingOrder="1"/>
    </xf>
    <xf numFmtId="2" fontId="17" fillId="0" borderId="11" xfId="0" applyNumberFormat="1" applyFont="1" applyBorder="1" applyAlignment="1">
      <alignment horizontal="center" vertical="center" wrapText="1"/>
    </xf>
    <xf numFmtId="2" fontId="3" fillId="0" borderId="0" xfId="0" applyNumberFormat="1" applyFont="1" applyAlignment="1">
      <alignment horizontal="center"/>
    </xf>
    <xf numFmtId="0" fontId="32" fillId="0" borderId="50" xfId="5" applyFont="1" applyBorder="1" applyAlignment="1" applyProtection="1">
      <alignment horizontal="center" vertical="center" wrapText="1"/>
      <protection locked="0"/>
    </xf>
    <xf numFmtId="4" fontId="17" fillId="0" borderId="50" xfId="0" applyNumberFormat="1" applyFont="1" applyBorder="1" applyAlignment="1">
      <alignment horizontal="center" vertical="center" wrapText="1"/>
    </xf>
    <xf numFmtId="2" fontId="32" fillId="0" borderId="14" xfId="0" applyNumberFormat="1" applyFont="1" applyBorder="1" applyAlignment="1" applyProtection="1">
      <alignment horizontal="center" vertical="center"/>
      <protection locked="0"/>
    </xf>
    <xf numFmtId="0" fontId="3" fillId="0" borderId="33" xfId="0" applyFont="1" applyBorder="1" applyAlignment="1">
      <alignment horizontal="left" vertical="center" wrapText="1"/>
    </xf>
    <xf numFmtId="42" fontId="3" fillId="0" borderId="11" xfId="1" applyFont="1" applyFill="1" applyBorder="1" applyAlignment="1">
      <alignment horizontal="center" vertical="center" wrapText="1"/>
    </xf>
    <xf numFmtId="2" fontId="3" fillId="0" borderId="11" xfId="0" applyNumberFormat="1" applyFont="1" applyBorder="1" applyAlignment="1">
      <alignment horizontal="center" vertical="center" wrapText="1"/>
    </xf>
    <xf numFmtId="9" fontId="3" fillId="0" borderId="11" xfId="2" applyFont="1" applyFill="1" applyBorder="1" applyAlignment="1">
      <alignment horizontal="center" vertical="center" wrapText="1"/>
    </xf>
    <xf numFmtId="167" fontId="3" fillId="0" borderId="11" xfId="1" applyNumberFormat="1" applyFont="1" applyFill="1" applyBorder="1" applyAlignment="1">
      <alignment horizontal="right" vertical="center" wrapText="1"/>
    </xf>
    <xf numFmtId="10" fontId="8" fillId="0" borderId="13" xfId="2" applyNumberFormat="1" applyFont="1" applyBorder="1" applyAlignment="1">
      <alignment horizontal="center" vertical="center" wrapText="1"/>
    </xf>
    <xf numFmtId="0" fontId="28" fillId="5" borderId="0" xfId="0" applyFont="1" applyFill="1" applyAlignment="1">
      <alignment vertical="center"/>
    </xf>
    <xf numFmtId="177" fontId="24" fillId="5" borderId="11" xfId="1" applyNumberFormat="1" applyFont="1" applyFill="1" applyBorder="1" applyAlignment="1">
      <alignment horizontal="center" vertical="center"/>
    </xf>
    <xf numFmtId="177" fontId="24" fillId="5" borderId="50" xfId="1" applyNumberFormat="1" applyFont="1" applyFill="1" applyBorder="1" applyAlignment="1">
      <alignment horizontal="center" vertical="center"/>
    </xf>
    <xf numFmtId="0" fontId="28" fillId="5" borderId="73" xfId="0" applyFont="1" applyFill="1" applyBorder="1" applyAlignment="1">
      <alignment horizontal="center" vertical="center"/>
    </xf>
    <xf numFmtId="0" fontId="32" fillId="5" borderId="67" xfId="0" applyFont="1" applyFill="1" applyBorder="1" applyAlignment="1">
      <alignment vertical="center"/>
    </xf>
    <xf numFmtId="0" fontId="34" fillId="8" borderId="6" xfId="0" applyFont="1" applyFill="1" applyBorder="1" applyAlignment="1">
      <alignment horizontal="center" vertical="center" wrapText="1"/>
    </xf>
    <xf numFmtId="4" fontId="34" fillId="8" borderId="74" xfId="0" applyNumberFormat="1" applyFont="1" applyFill="1" applyBorder="1" applyAlignment="1">
      <alignment horizontal="center" vertical="center" wrapText="1"/>
    </xf>
    <xf numFmtId="183" fontId="33" fillId="8" borderId="51" xfId="2" applyNumberFormat="1" applyFont="1" applyFill="1" applyBorder="1" applyAlignment="1">
      <alignment horizontal="center" vertical="center"/>
    </xf>
    <xf numFmtId="177" fontId="33" fillId="8" borderId="7" xfId="1" applyNumberFormat="1" applyFont="1" applyFill="1" applyBorder="1" applyAlignment="1">
      <alignment horizontal="right" vertical="center"/>
    </xf>
    <xf numFmtId="2" fontId="7" fillId="11" borderId="29" xfId="0" applyNumberFormat="1" applyFont="1" applyFill="1" applyBorder="1" applyAlignment="1">
      <alignment horizontal="center" vertical="center"/>
    </xf>
    <xf numFmtId="2" fontId="24" fillId="5" borderId="14" xfId="5" applyNumberFormat="1" applyFont="1" applyFill="1" applyBorder="1" applyAlignment="1" applyProtection="1">
      <alignment horizontal="center" vertical="center" wrapText="1"/>
      <protection locked="0"/>
    </xf>
    <xf numFmtId="0" fontId="24" fillId="5" borderId="14" xfId="5" applyFont="1" applyFill="1" applyBorder="1" applyAlignment="1" applyProtection="1">
      <alignment horizontal="center" vertical="center" wrapText="1"/>
      <protection locked="0"/>
    </xf>
    <xf numFmtId="10" fontId="8" fillId="2" borderId="29" xfId="0" applyNumberFormat="1" applyFont="1" applyFill="1" applyBorder="1" applyAlignment="1">
      <alignment horizontal="center" vertical="center" wrapText="1"/>
    </xf>
    <xf numFmtId="2" fontId="4" fillId="11" borderId="29" xfId="0" applyNumberFormat="1" applyFont="1" applyFill="1" applyBorder="1" applyAlignment="1">
      <alignment horizontal="center" vertical="center"/>
    </xf>
    <xf numFmtId="177" fontId="17" fillId="0" borderId="11" xfId="1" applyNumberFormat="1" applyFont="1" applyFill="1" applyBorder="1" applyAlignment="1">
      <alignment horizontal="center" vertical="center"/>
    </xf>
    <xf numFmtId="0" fontId="34" fillId="8" borderId="11" xfId="0" applyFont="1" applyFill="1" applyBorder="1" applyAlignment="1">
      <alignment horizontal="center" vertical="center" wrapText="1"/>
    </xf>
    <xf numFmtId="4" fontId="34" fillId="8" borderId="11" xfId="0" applyNumberFormat="1" applyFont="1" applyFill="1" applyBorder="1" applyAlignment="1">
      <alignment horizontal="center" vertical="center" wrapText="1"/>
    </xf>
    <xf numFmtId="0" fontId="34" fillId="0" borderId="11" xfId="0" applyFont="1" applyBorder="1" applyAlignment="1">
      <alignment horizontal="center" vertical="center" wrapText="1"/>
    </xf>
    <xf numFmtId="4" fontId="34" fillId="0" borderId="11" xfId="0" applyNumberFormat="1" applyFont="1" applyBorder="1" applyAlignment="1">
      <alignment horizontal="center" vertical="center" wrapText="1"/>
    </xf>
    <xf numFmtId="169" fontId="24" fillId="5" borderId="14" xfId="5" applyNumberFormat="1" applyFont="1" applyFill="1" applyBorder="1" applyAlignment="1" applyProtection="1">
      <alignment horizontal="center" vertical="center" wrapText="1"/>
      <protection locked="0"/>
    </xf>
    <xf numFmtId="169" fontId="7" fillId="11" borderId="29" xfId="0" applyNumberFormat="1" applyFont="1" applyFill="1" applyBorder="1" applyAlignment="1">
      <alignment horizontal="center" vertical="center"/>
    </xf>
    <xf numFmtId="10" fontId="33" fillId="8" borderId="50" xfId="2" applyNumberFormat="1" applyFont="1" applyFill="1" applyBorder="1" applyAlignment="1">
      <alignment horizontal="center" vertical="center"/>
    </xf>
    <xf numFmtId="2" fontId="12" fillId="11" borderId="16" xfId="0" applyNumberFormat="1" applyFont="1" applyFill="1" applyBorder="1" applyAlignment="1">
      <alignment horizontal="center" vertical="center"/>
    </xf>
    <xf numFmtId="1" fontId="3" fillId="0" borderId="0" xfId="0" applyNumberFormat="1" applyFont="1" applyAlignment="1">
      <alignment horizontal="left" vertical="center"/>
    </xf>
    <xf numFmtId="0" fontId="3" fillId="0" borderId="0" xfId="0" applyFont="1" applyAlignment="1">
      <alignment horizontal="left"/>
    </xf>
    <xf numFmtId="0" fontId="5" fillId="2" borderId="77" xfId="0" applyFont="1" applyFill="1" applyBorder="1" applyAlignment="1">
      <alignment horizontal="center" vertical="center"/>
    </xf>
    <xf numFmtId="0" fontId="5" fillId="0" borderId="78" xfId="0" applyFont="1" applyBorder="1" applyAlignment="1">
      <alignment horizontal="center" vertical="center"/>
    </xf>
    <xf numFmtId="0" fontId="11" fillId="0" borderId="80" xfId="0" applyFont="1" applyBorder="1" applyAlignment="1">
      <alignment vertical="center"/>
    </xf>
    <xf numFmtId="0" fontId="13" fillId="0" borderId="83" xfId="0" applyFont="1" applyBorder="1" applyAlignment="1">
      <alignment horizontal="center" vertical="center"/>
    </xf>
    <xf numFmtId="184" fontId="21" fillId="0" borderId="84" xfId="20" applyNumberFormat="1" applyFont="1" applyBorder="1" applyAlignment="1">
      <alignment horizontal="right" vertical="center" wrapText="1" readingOrder="1"/>
    </xf>
    <xf numFmtId="186" fontId="13" fillId="0" borderId="84" xfId="0" applyNumberFormat="1" applyFont="1" applyBorder="1" applyAlignment="1">
      <alignment horizontal="center" vertical="center" wrapText="1" readingOrder="1"/>
    </xf>
    <xf numFmtId="42" fontId="12" fillId="0" borderId="83" xfId="1" applyFont="1" applyBorder="1" applyAlignment="1">
      <alignment horizontal="right" vertical="center"/>
    </xf>
    <xf numFmtId="0" fontId="11" fillId="0" borderId="85" xfId="0" applyFont="1" applyBorder="1" applyAlignment="1">
      <alignment vertical="center"/>
    </xf>
    <xf numFmtId="177" fontId="24" fillId="0" borderId="50" xfId="1" applyNumberFormat="1" applyFont="1" applyFill="1" applyBorder="1" applyAlignment="1">
      <alignment horizontal="center" vertical="center"/>
    </xf>
    <xf numFmtId="0" fontId="57" fillId="0" borderId="0" xfId="0" applyFont="1"/>
    <xf numFmtId="164" fontId="3" fillId="0" borderId="0" xfId="0" applyNumberFormat="1" applyFont="1" applyAlignment="1">
      <alignment wrapText="1"/>
    </xf>
    <xf numFmtId="177" fontId="17" fillId="0" borderId="50" xfId="1" applyNumberFormat="1" applyFont="1" applyBorder="1" applyAlignment="1">
      <alignment horizontal="center" vertical="center"/>
    </xf>
    <xf numFmtId="0" fontId="25" fillId="0" borderId="0" xfId="0" applyFont="1"/>
    <xf numFmtId="0" fontId="28" fillId="0" borderId="73" xfId="0" applyFont="1" applyBorder="1" applyAlignment="1">
      <alignment horizontal="center" vertical="center"/>
    </xf>
    <xf numFmtId="0" fontId="32" fillId="0" borderId="0" xfId="0" applyFont="1" applyAlignment="1">
      <alignment horizontal="center"/>
    </xf>
    <xf numFmtId="0" fontId="32" fillId="0" borderId="0" xfId="0" applyFont="1"/>
    <xf numFmtId="0" fontId="32" fillId="0" borderId="0" xfId="0" applyFont="1" applyAlignment="1">
      <alignment horizontal="center" vertical="center"/>
    </xf>
    <xf numFmtId="4" fontId="32" fillId="0" borderId="0" xfId="0" applyNumberFormat="1" applyFont="1" applyAlignment="1">
      <alignment vertical="center"/>
    </xf>
    <xf numFmtId="0" fontId="32" fillId="0" borderId="67" xfId="0" applyFont="1" applyBorder="1" applyAlignment="1">
      <alignment vertical="center"/>
    </xf>
    <xf numFmtId="0" fontId="28" fillId="0" borderId="0" xfId="0" applyFont="1"/>
    <xf numFmtId="0" fontId="28" fillId="0" borderId="0" xfId="0" applyFont="1" applyAlignment="1">
      <alignment horizontal="center"/>
    </xf>
    <xf numFmtId="176" fontId="28" fillId="0" borderId="0" xfId="0" applyNumberFormat="1" applyFont="1" applyAlignment="1">
      <alignment horizontal="center"/>
    </xf>
    <xf numFmtId="0" fontId="28" fillId="0" borderId="0" xfId="0" applyFont="1" applyAlignment="1">
      <alignment horizontal="center" vertical="center"/>
    </xf>
    <xf numFmtId="177" fontId="32" fillId="0" borderId="0" xfId="0" applyNumberFormat="1" applyFont="1" applyAlignment="1">
      <alignment vertical="center"/>
    </xf>
    <xf numFmtId="190" fontId="32" fillId="0" borderId="0" xfId="0" applyNumberFormat="1" applyFont="1" applyAlignment="1">
      <alignment horizontal="right" vertical="center"/>
    </xf>
    <xf numFmtId="0" fontId="32" fillId="0" borderId="0" xfId="0" applyFont="1" applyAlignment="1">
      <alignment vertical="center"/>
    </xf>
    <xf numFmtId="44" fontId="32" fillId="5" borderId="0" xfId="20" applyFont="1" applyFill="1" applyAlignment="1">
      <alignment vertical="center"/>
    </xf>
    <xf numFmtId="6" fontId="58" fillId="0" borderId="0" xfId="0" applyNumberFormat="1" applyFont="1"/>
    <xf numFmtId="0" fontId="44" fillId="0" borderId="54" xfId="0" applyFont="1" applyBorder="1"/>
    <xf numFmtId="180" fontId="3" fillId="11" borderId="42" xfId="0" applyNumberFormat="1" applyFont="1" applyFill="1" applyBorder="1"/>
    <xf numFmtId="180" fontId="3" fillId="11" borderId="24" xfId="0" applyNumberFormat="1" applyFont="1" applyFill="1" applyBorder="1"/>
    <xf numFmtId="0" fontId="44" fillId="0" borderId="47" xfId="0" applyFont="1" applyBorder="1" applyAlignment="1">
      <alignment horizontal="left" vertical="center" wrapText="1"/>
    </xf>
    <xf numFmtId="0" fontId="44" fillId="0" borderId="44" xfId="0" applyFont="1" applyBorder="1" applyAlignment="1">
      <alignment horizontal="left" vertical="center" wrapText="1"/>
    </xf>
    <xf numFmtId="0" fontId="44" fillId="0" borderId="54" xfId="0" applyFont="1" applyBorder="1" applyAlignment="1">
      <alignment horizontal="left" vertical="center" wrapText="1"/>
    </xf>
    <xf numFmtId="0" fontId="44" fillId="0" borderId="47" xfId="0" applyFont="1" applyBorder="1"/>
    <xf numFmtId="10" fontId="3" fillId="11" borderId="25" xfId="2" applyNumberFormat="1" applyFont="1" applyFill="1" applyBorder="1" applyAlignment="1">
      <alignment horizontal="center"/>
    </xf>
    <xf numFmtId="9" fontId="3" fillId="0" borderId="0" xfId="2" applyFont="1" applyAlignment="1"/>
    <xf numFmtId="44" fontId="3" fillId="0" borderId="0" xfId="20" applyFont="1" applyAlignment="1">
      <alignment wrapText="1"/>
    </xf>
    <xf numFmtId="44" fontId="2" fillId="0" borderId="0" xfId="20" applyFont="1" applyAlignment="1">
      <alignment wrapText="1"/>
    </xf>
    <xf numFmtId="0" fontId="44" fillId="9" borderId="0" xfId="0" applyFont="1" applyFill="1"/>
    <xf numFmtId="42" fontId="0" fillId="9" borderId="0" xfId="1" applyFont="1" applyFill="1"/>
    <xf numFmtId="166" fontId="18" fillId="0" borderId="0" xfId="0" applyNumberFormat="1" applyFont="1" applyAlignment="1">
      <alignment vertical="center"/>
    </xf>
    <xf numFmtId="166" fontId="18" fillId="2" borderId="0" xfId="0" applyNumberFormat="1" applyFont="1" applyFill="1" applyAlignment="1">
      <alignment vertical="center"/>
    </xf>
    <xf numFmtId="179" fontId="18" fillId="2" borderId="0" xfId="12" applyNumberFormat="1" applyFont="1" applyFill="1" applyBorder="1" applyAlignment="1"/>
    <xf numFmtId="0" fontId="18" fillId="9" borderId="0" xfId="0" applyFont="1" applyFill="1"/>
    <xf numFmtId="179" fontId="18" fillId="9" borderId="0" xfId="12" applyNumberFormat="1" applyFont="1" applyFill="1" applyBorder="1" applyAlignment="1"/>
    <xf numFmtId="166" fontId="3" fillId="9" borderId="24" xfId="0" applyNumberFormat="1" applyFont="1" applyFill="1" applyBorder="1"/>
    <xf numFmtId="0" fontId="28" fillId="9" borderId="0" xfId="0" applyFont="1" applyFill="1"/>
    <xf numFmtId="42" fontId="28" fillId="9" borderId="0" xfId="1" applyFont="1" applyFill="1"/>
    <xf numFmtId="9" fontId="28" fillId="9" borderId="0" xfId="2" applyFont="1" applyFill="1"/>
    <xf numFmtId="0" fontId="0" fillId="9" borderId="0" xfId="0" applyFill="1" applyAlignment="1">
      <alignment wrapText="1"/>
    </xf>
    <xf numFmtId="0" fontId="3" fillId="9" borderId="0" xfId="0" applyFont="1" applyFill="1"/>
    <xf numFmtId="44" fontId="3" fillId="9" borderId="0" xfId="0" applyNumberFormat="1" applyFont="1" applyFill="1"/>
    <xf numFmtId="0" fontId="3" fillId="9" borderId="44" xfId="0" applyFont="1" applyFill="1" applyBorder="1"/>
    <xf numFmtId="166" fontId="3" fillId="9" borderId="44" xfId="0" applyNumberFormat="1" applyFont="1" applyFill="1" applyBorder="1"/>
    <xf numFmtId="166" fontId="3" fillId="9" borderId="0" xfId="0" applyNumberFormat="1" applyFont="1" applyFill="1"/>
    <xf numFmtId="166" fontId="3" fillId="9" borderId="44" xfId="0" applyNumberFormat="1" applyFont="1" applyFill="1" applyBorder="1" applyAlignment="1">
      <alignment vertical="center"/>
    </xf>
    <xf numFmtId="166" fontId="3" fillId="9" borderId="0" xfId="0" applyNumberFormat="1" applyFont="1" applyFill="1" applyAlignment="1">
      <alignment vertical="center"/>
    </xf>
    <xf numFmtId="177" fontId="17" fillId="11" borderId="11" xfId="1" applyNumberFormat="1" applyFont="1" applyFill="1" applyBorder="1" applyAlignment="1">
      <alignment horizontal="center" vertical="center"/>
    </xf>
    <xf numFmtId="0" fontId="50" fillId="9" borderId="0" xfId="0" applyFont="1" applyFill="1"/>
    <xf numFmtId="9" fontId="3" fillId="0" borderId="0" xfId="0" applyNumberFormat="1" applyFont="1"/>
    <xf numFmtId="179" fontId="18" fillId="9" borderId="54" xfId="12" applyNumberFormat="1" applyFont="1" applyFill="1" applyBorder="1" applyAlignment="1"/>
    <xf numFmtId="166" fontId="18" fillId="9" borderId="0" xfId="0" applyNumberFormat="1" applyFont="1" applyFill="1" applyAlignment="1">
      <alignment vertical="center"/>
    </xf>
    <xf numFmtId="0" fontId="12" fillId="9" borderId="11" xfId="0" applyFont="1" applyFill="1" applyBorder="1" applyAlignment="1">
      <alignment horizontal="center" vertical="center"/>
    </xf>
    <xf numFmtId="177" fontId="47" fillId="0" borderId="11" xfId="22" applyNumberFormat="1" applyFont="1" applyFill="1" applyBorder="1" applyAlignment="1">
      <alignment horizontal="left" vertical="center" indent="2"/>
    </xf>
    <xf numFmtId="0" fontId="3" fillId="0" borderId="11" xfId="0" applyFont="1" applyBorder="1" applyAlignment="1">
      <alignment horizontal="center" vertical="center" wrapText="1"/>
    </xf>
    <xf numFmtId="176" fontId="47" fillId="11" borderId="11" xfId="22" applyNumberFormat="1" applyFont="1" applyFill="1" applyBorder="1" applyAlignment="1">
      <alignment horizontal="center" vertical="center"/>
    </xf>
    <xf numFmtId="2" fontId="21" fillId="11" borderId="66" xfId="20" applyNumberFormat="1" applyFont="1" applyFill="1" applyBorder="1" applyAlignment="1">
      <alignment horizontal="center" vertical="center" wrapText="1" readingOrder="1"/>
    </xf>
    <xf numFmtId="182" fontId="51" fillId="14" borderId="11" xfId="20" applyNumberFormat="1" applyFont="1" applyFill="1" applyBorder="1" applyAlignment="1">
      <alignment horizontal="center" vertical="center" wrapText="1" readingOrder="1"/>
    </xf>
    <xf numFmtId="0" fontId="28" fillId="14" borderId="0" xfId="0" applyFont="1" applyFill="1"/>
    <xf numFmtId="0" fontId="32" fillId="14" borderId="11" xfId="5" applyFont="1" applyFill="1" applyBorder="1" applyAlignment="1" applyProtection="1">
      <alignment horizontal="center" vertical="center" wrapText="1"/>
      <protection locked="0"/>
    </xf>
    <xf numFmtId="4" fontId="17" fillId="14" borderId="11" xfId="0" applyNumberFormat="1" applyFont="1" applyFill="1" applyBorder="1" applyAlignment="1">
      <alignment horizontal="center" vertical="center" wrapText="1"/>
    </xf>
    <xf numFmtId="177" fontId="17" fillId="14" borderId="11" xfId="1" applyNumberFormat="1" applyFont="1" applyFill="1" applyBorder="1" applyAlignment="1">
      <alignment horizontal="center" vertical="center"/>
    </xf>
    <xf numFmtId="0" fontId="24" fillId="14" borderId="14" xfId="5" applyFont="1" applyFill="1" applyBorder="1" applyAlignment="1" applyProtection="1">
      <alignment horizontal="center" vertical="center" wrapText="1"/>
      <protection locked="0"/>
    </xf>
    <xf numFmtId="2" fontId="17" fillId="14" borderId="11" xfId="0" applyNumberFormat="1" applyFont="1" applyFill="1" applyBorder="1" applyAlignment="1">
      <alignment horizontal="center" vertical="center" wrapText="1"/>
    </xf>
    <xf numFmtId="177" fontId="24" fillId="14" borderId="49" xfId="1" applyNumberFormat="1" applyFont="1" applyFill="1" applyBorder="1" applyAlignment="1">
      <alignment horizontal="right" vertical="center"/>
    </xf>
    <xf numFmtId="0" fontId="32" fillId="14" borderId="50" xfId="5" applyFont="1" applyFill="1" applyBorder="1" applyAlignment="1" applyProtection="1">
      <alignment horizontal="center" vertical="center" wrapText="1"/>
      <protection locked="0"/>
    </xf>
    <xf numFmtId="4" fontId="17" fillId="14" borderId="50" xfId="0" applyNumberFormat="1" applyFont="1" applyFill="1" applyBorder="1" applyAlignment="1">
      <alignment horizontal="center" vertical="center" wrapText="1"/>
    </xf>
    <xf numFmtId="177" fontId="24" fillId="14" borderId="11" xfId="1" applyNumberFormat="1" applyFont="1" applyFill="1" applyBorder="1" applyAlignment="1">
      <alignment horizontal="center" vertical="center"/>
    </xf>
    <xf numFmtId="182" fontId="47" fillId="14" borderId="11" xfId="22" applyNumberFormat="1" applyFont="1" applyFill="1" applyBorder="1" applyAlignment="1">
      <alignment horizontal="center" vertical="center"/>
    </xf>
    <xf numFmtId="177" fontId="24" fillId="14" borderId="27" xfId="1" applyNumberFormat="1" applyFont="1" applyFill="1" applyBorder="1" applyAlignment="1">
      <alignment horizontal="right" vertical="center"/>
    </xf>
    <xf numFmtId="177" fontId="32" fillId="0" borderId="49" xfId="1" applyNumberFormat="1" applyFont="1" applyFill="1" applyBorder="1" applyAlignment="1">
      <alignment horizontal="right" vertical="center"/>
    </xf>
    <xf numFmtId="0" fontId="32" fillId="0" borderId="14" xfId="0" applyFont="1" applyFill="1" applyBorder="1" applyAlignment="1" applyProtection="1">
      <alignment horizontal="center" vertical="center"/>
      <protection locked="0"/>
    </xf>
    <xf numFmtId="0" fontId="32" fillId="0" borderId="11" xfId="5" applyFont="1" applyFill="1" applyBorder="1" applyAlignment="1" applyProtection="1">
      <alignment horizontal="center" vertical="center" wrapText="1"/>
      <protection locked="0"/>
    </xf>
    <xf numFmtId="4" fontId="17" fillId="0" borderId="11" xfId="0" applyNumberFormat="1" applyFont="1" applyFill="1" applyBorder="1" applyAlignment="1">
      <alignment horizontal="center" vertical="center" wrapText="1"/>
    </xf>
    <xf numFmtId="0" fontId="28" fillId="0" borderId="0" xfId="0" applyFont="1" applyFill="1"/>
    <xf numFmtId="176" fontId="28" fillId="0" borderId="0" xfId="0" applyNumberFormat="1" applyFont="1" applyFill="1"/>
    <xf numFmtId="0" fontId="59" fillId="0" borderId="0" xfId="0" applyFont="1" applyAlignment="1">
      <alignment wrapText="1"/>
    </xf>
    <xf numFmtId="42" fontId="59" fillId="3" borderId="0" xfId="1" applyFont="1" applyFill="1" applyAlignment="1">
      <alignment wrapText="1"/>
    </xf>
    <xf numFmtId="0" fontId="59" fillId="3" borderId="0" xfId="0" applyFont="1" applyFill="1" applyAlignment="1">
      <alignment wrapText="1"/>
    </xf>
    <xf numFmtId="42" fontId="59" fillId="3" borderId="0" xfId="0" applyNumberFormat="1" applyFont="1" applyFill="1" applyAlignment="1">
      <alignment wrapText="1"/>
    </xf>
    <xf numFmtId="171" fontId="59" fillId="3" borderId="0" xfId="0" applyNumberFormat="1" applyFont="1" applyFill="1" applyAlignment="1">
      <alignment horizontal="left" wrapText="1" indent="2"/>
    </xf>
    <xf numFmtId="6" fontId="22" fillId="0" borderId="0" xfId="0" applyNumberFormat="1" applyFont="1"/>
    <xf numFmtId="183" fontId="18" fillId="11" borderId="0" xfId="2" applyNumberFormat="1" applyFont="1" applyFill="1" applyAlignment="1">
      <alignment wrapText="1"/>
    </xf>
    <xf numFmtId="44" fontId="32" fillId="0" borderId="0" xfId="20" applyFont="1"/>
    <xf numFmtId="44" fontId="22" fillId="0" borderId="0" xfId="20" applyFont="1"/>
    <xf numFmtId="4" fontId="32" fillId="0" borderId="0" xfId="0" applyNumberFormat="1" applyFont="1" applyAlignment="1">
      <alignment horizontal="center"/>
    </xf>
    <xf numFmtId="171" fontId="32" fillId="0" borderId="0" xfId="2" applyNumberFormat="1" applyFont="1" applyAlignment="1">
      <alignment horizontal="center"/>
    </xf>
    <xf numFmtId="0" fontId="8" fillId="3" borderId="33" xfId="0"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6" xfId="0" applyFont="1" applyFill="1" applyBorder="1" applyAlignment="1">
      <alignment horizontal="left" vertical="center" wrapText="1"/>
    </xf>
    <xf numFmtId="0" fontId="8" fillId="3" borderId="7" xfId="0" applyFont="1" applyFill="1" applyBorder="1" applyAlignment="1">
      <alignment horizontal="left" vertical="center" wrapText="1"/>
    </xf>
    <xf numFmtId="0" fontId="3" fillId="0" borderId="47" xfId="0" applyFont="1" applyBorder="1" applyAlignment="1">
      <alignment horizontal="center" wrapText="1"/>
    </xf>
    <xf numFmtId="0" fontId="3" fillId="0" borderId="33"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0" xfId="0" applyFont="1" applyAlignment="1">
      <alignment horizontal="left" vertical="top" wrapText="1"/>
    </xf>
    <xf numFmtId="0" fontId="8" fillId="3" borderId="37" xfId="0" applyFont="1" applyFill="1" applyBorder="1" applyAlignment="1">
      <alignment horizontal="left" vertical="center" wrapText="1"/>
    </xf>
    <xf numFmtId="0" fontId="8" fillId="3" borderId="19" xfId="0" applyFont="1" applyFill="1" applyBorder="1" applyAlignment="1">
      <alignment horizontal="left" vertical="center" wrapText="1"/>
    </xf>
    <xf numFmtId="0" fontId="8" fillId="3" borderId="8" xfId="0" applyFont="1" applyFill="1" applyBorder="1" applyAlignment="1">
      <alignment horizontal="center" vertical="center" wrapText="1"/>
    </xf>
    <xf numFmtId="42" fontId="3" fillId="0" borderId="33" xfId="1" applyFont="1" applyBorder="1" applyAlignment="1">
      <alignment horizontal="center" vertical="center" wrapText="1"/>
    </xf>
    <xf numFmtId="42" fontId="3" fillId="0" borderId="3" xfId="1" applyFont="1" applyBorder="1" applyAlignment="1">
      <alignment horizontal="center" vertical="center" wrapText="1"/>
    </xf>
    <xf numFmtId="42" fontId="3" fillId="0" borderId="39" xfId="1" applyFont="1" applyBorder="1" applyAlignment="1">
      <alignment horizontal="center" vertical="center" wrapText="1"/>
    </xf>
    <xf numFmtId="0" fontId="8" fillId="3" borderId="28" xfId="0" applyFont="1" applyFill="1" applyBorder="1" applyAlignment="1">
      <alignment vertical="center" wrapText="1"/>
    </xf>
    <xf numFmtId="0" fontId="8" fillId="3" borderId="37" xfId="0" applyFont="1" applyFill="1" applyBorder="1" applyAlignment="1">
      <alignment vertical="center" wrapText="1"/>
    </xf>
    <xf numFmtId="0" fontId="8" fillId="3" borderId="4" xfId="0" applyFont="1" applyFill="1" applyBorder="1" applyAlignment="1">
      <alignment horizontal="left" vertical="center" wrapText="1"/>
    </xf>
    <xf numFmtId="0" fontId="8" fillId="0" borderId="12" xfId="0" applyFont="1" applyBorder="1" applyAlignment="1">
      <alignment vertical="center" wrapText="1"/>
    </xf>
    <xf numFmtId="0" fontId="8" fillId="0" borderId="13" xfId="0" applyFont="1" applyBorder="1" applyAlignment="1">
      <alignment vertical="center" wrapText="1"/>
    </xf>
    <xf numFmtId="0" fontId="8" fillId="0" borderId="31" xfId="0" applyFont="1" applyBorder="1" applyAlignment="1">
      <alignment vertical="center" wrapText="1"/>
    </xf>
    <xf numFmtId="0" fontId="8" fillId="0" borderId="22" xfId="0" applyFont="1" applyBorder="1" applyAlignment="1">
      <alignment vertical="center" wrapText="1"/>
    </xf>
    <xf numFmtId="0" fontId="8" fillId="0" borderId="36" xfId="0" applyFont="1" applyBorder="1" applyAlignment="1">
      <alignment vertical="center" wrapText="1"/>
    </xf>
    <xf numFmtId="0" fontId="8" fillId="0" borderId="35" xfId="0" applyFont="1" applyBorder="1" applyAlignment="1">
      <alignment vertical="center" wrapText="1"/>
    </xf>
    <xf numFmtId="0" fontId="3" fillId="0" borderId="33" xfId="0" applyFont="1" applyBorder="1" applyAlignment="1">
      <alignment horizontal="left" vertical="center" wrapText="1"/>
    </xf>
    <xf numFmtId="0" fontId="3" fillId="0" borderId="3" xfId="0" applyFont="1" applyBorder="1" applyAlignment="1">
      <alignment horizontal="left" vertical="center" wrapText="1"/>
    </xf>
    <xf numFmtId="0" fontId="3" fillId="0" borderId="39" xfId="0" applyFont="1" applyBorder="1" applyAlignment="1">
      <alignment horizontal="left"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xf>
    <xf numFmtId="0" fontId="19" fillId="0" borderId="4"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3" fillId="0" borderId="13" xfId="0" applyFont="1" applyBorder="1" applyAlignment="1">
      <alignment horizontal="center" vertical="center" wrapText="1"/>
    </xf>
    <xf numFmtId="0" fontId="3" fillId="0" borderId="11" xfId="0" applyFont="1" applyBorder="1" applyAlignment="1">
      <alignment horizontal="center" vertical="center" wrapText="1"/>
    </xf>
    <xf numFmtId="0" fontId="8" fillId="3" borderId="29" xfId="0" applyFont="1" applyFill="1" applyBorder="1" applyAlignment="1">
      <alignment horizontal="left" vertical="center" wrapText="1"/>
    </xf>
    <xf numFmtId="0" fontId="8" fillId="3" borderId="30" xfId="0"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8" fillId="3" borderId="40" xfId="0" applyFont="1" applyFill="1" applyBorder="1" applyAlignment="1">
      <alignment horizontal="left" vertical="center" wrapText="1"/>
    </xf>
    <xf numFmtId="0" fontId="8" fillId="3" borderId="8" xfId="0" applyFont="1" applyFill="1" applyBorder="1" applyAlignment="1">
      <alignment horizontal="left" vertical="center" wrapText="1"/>
    </xf>
    <xf numFmtId="0" fontId="8" fillId="3" borderId="9" xfId="0" applyFont="1" applyFill="1" applyBorder="1" applyAlignment="1">
      <alignment horizontal="left" vertical="center" wrapText="1"/>
    </xf>
    <xf numFmtId="0" fontId="8" fillId="3" borderId="35" xfId="0" applyFont="1" applyFill="1" applyBorder="1" applyAlignment="1">
      <alignment horizontal="left" vertical="center" wrapText="1"/>
    </xf>
    <xf numFmtId="0" fontId="8" fillId="3" borderId="20" xfId="0"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3" fillId="0" borderId="2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45" xfId="0" applyFont="1" applyBorder="1" applyAlignment="1">
      <alignment horizontal="right" vertical="center" wrapText="1"/>
    </xf>
    <xf numFmtId="0" fontId="3" fillId="0" borderId="34" xfId="0" applyFont="1" applyBorder="1" applyAlignment="1">
      <alignment horizontal="right" vertical="center" wrapText="1"/>
    </xf>
    <xf numFmtId="0" fontId="3" fillId="0" borderId="52" xfId="0" applyFont="1" applyBorder="1" applyAlignment="1">
      <alignment horizontal="right" vertical="center" wrapText="1"/>
    </xf>
    <xf numFmtId="0" fontId="3" fillId="0" borderId="23" xfId="0" applyFont="1" applyBorder="1" applyAlignment="1">
      <alignment horizontal="right" vertical="center" wrapText="1"/>
    </xf>
    <xf numFmtId="0" fontId="3" fillId="0" borderId="44" xfId="0" applyFont="1" applyBorder="1" applyAlignment="1">
      <alignment horizontal="right" vertical="center" wrapText="1"/>
    </xf>
    <xf numFmtId="0" fontId="3" fillId="0" borderId="49" xfId="0" applyFont="1" applyBorder="1" applyAlignment="1">
      <alignment horizontal="right" vertical="center" wrapText="1"/>
    </xf>
    <xf numFmtId="0" fontId="8" fillId="3" borderId="17" xfId="0" applyFont="1" applyFill="1" applyBorder="1" applyAlignment="1">
      <alignment horizontal="right" vertical="center" wrapText="1"/>
    </xf>
    <xf numFmtId="0" fontId="8" fillId="3" borderId="43" xfId="0" applyFont="1" applyFill="1" applyBorder="1" applyAlignment="1">
      <alignment horizontal="right" vertical="center" wrapText="1"/>
    </xf>
    <xf numFmtId="0" fontId="8" fillId="3" borderId="64" xfId="0" applyFont="1" applyFill="1" applyBorder="1" applyAlignment="1">
      <alignment horizontal="right" vertical="center" wrapText="1"/>
    </xf>
    <xf numFmtId="0" fontId="8" fillId="0" borderId="45" xfId="0" applyFont="1" applyBorder="1" applyAlignment="1">
      <alignment horizontal="left" vertical="center" wrapText="1"/>
    </xf>
    <xf numFmtId="0" fontId="8" fillId="0" borderId="58" xfId="0" applyFont="1" applyBorder="1" applyAlignment="1">
      <alignment horizontal="left" vertical="center" wrapText="1"/>
    </xf>
    <xf numFmtId="0" fontId="8" fillId="0" borderId="23" xfId="0" applyFont="1" applyBorder="1" applyAlignment="1">
      <alignment horizontal="left" vertical="center" wrapText="1"/>
    </xf>
    <xf numFmtId="0" fontId="8" fillId="0" borderId="24" xfId="0" applyFont="1" applyBorder="1" applyAlignment="1">
      <alignment horizontal="left" vertical="center" wrapText="1"/>
    </xf>
    <xf numFmtId="0" fontId="8" fillId="14" borderId="23" xfId="0" applyFont="1" applyFill="1" applyBorder="1" applyAlignment="1">
      <alignment horizontal="left" vertical="center" wrapText="1"/>
    </xf>
    <xf numFmtId="0" fontId="8" fillId="14" borderId="24" xfId="0" applyFont="1" applyFill="1" applyBorder="1" applyAlignment="1">
      <alignment horizontal="left" vertical="center" wrapText="1"/>
    </xf>
    <xf numFmtId="0" fontId="8" fillId="0" borderId="17" xfId="0" applyFont="1" applyBorder="1" applyAlignment="1">
      <alignment horizontal="left" vertical="center" wrapText="1"/>
    </xf>
    <xf numFmtId="0" fontId="8" fillId="0" borderId="18" xfId="0" applyFont="1" applyBorder="1" applyAlignment="1">
      <alignment horizontal="left" vertical="center" wrapText="1"/>
    </xf>
    <xf numFmtId="0" fontId="3" fillId="2" borderId="2"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2" borderId="4" xfId="0" applyFont="1" applyFill="1" applyBorder="1" applyAlignment="1">
      <alignment horizontal="right" vertical="center" wrapText="1"/>
    </xf>
    <xf numFmtId="0" fontId="8" fillId="2" borderId="33" xfId="0" applyFont="1" applyFill="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3" borderId="2"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8" fillId="3" borderId="45" xfId="0" applyFont="1" applyFill="1" applyBorder="1" applyAlignment="1">
      <alignment horizontal="left" vertical="center" wrapText="1"/>
    </xf>
    <xf numFmtId="0" fontId="8" fillId="3" borderId="52" xfId="0" applyFont="1" applyFill="1" applyBorder="1" applyAlignment="1">
      <alignment horizontal="left" vertical="center" wrapText="1"/>
    </xf>
    <xf numFmtId="182" fontId="8" fillId="11" borderId="45" xfId="0" applyNumberFormat="1" applyFont="1" applyFill="1" applyBorder="1" applyAlignment="1">
      <alignment horizontal="center" vertical="center" wrapText="1"/>
    </xf>
    <xf numFmtId="182" fontId="8" fillId="11" borderId="34" xfId="0" applyNumberFormat="1" applyFont="1" applyFill="1" applyBorder="1" applyAlignment="1">
      <alignment horizontal="center" vertical="center" wrapText="1"/>
    </xf>
    <xf numFmtId="182" fontId="8" fillId="11" borderId="52" xfId="0" applyNumberFormat="1" applyFont="1" applyFill="1" applyBorder="1" applyAlignment="1">
      <alignment horizontal="center" vertical="center" wrapText="1"/>
    </xf>
    <xf numFmtId="0" fontId="8" fillId="2" borderId="23" xfId="0" applyFont="1" applyFill="1" applyBorder="1" applyAlignment="1">
      <alignment horizontal="left" vertical="center" wrapText="1"/>
    </xf>
    <xf numFmtId="0" fontId="8" fillId="2" borderId="49" xfId="0" applyFont="1" applyFill="1" applyBorder="1" applyAlignment="1">
      <alignment horizontal="left" vertical="center" wrapText="1"/>
    </xf>
    <xf numFmtId="0" fontId="8" fillId="2" borderId="23"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8" fillId="2" borderId="49" xfId="0" applyFont="1" applyFill="1" applyBorder="1" applyAlignment="1">
      <alignment horizontal="center" vertical="center" wrapText="1"/>
    </xf>
    <xf numFmtId="0" fontId="8" fillId="0" borderId="64" xfId="0" applyFont="1" applyBorder="1" applyAlignment="1">
      <alignment horizontal="left" vertical="center" wrapText="1"/>
    </xf>
    <xf numFmtId="9" fontId="8" fillId="0" borderId="17" xfId="2" applyFont="1" applyBorder="1" applyAlignment="1">
      <alignment horizontal="center" vertical="center" wrapText="1"/>
    </xf>
    <xf numFmtId="9" fontId="8" fillId="0" borderId="43" xfId="2" applyFont="1" applyBorder="1" applyAlignment="1">
      <alignment horizontal="center" vertical="center" wrapText="1"/>
    </xf>
    <xf numFmtId="9" fontId="8" fillId="0" borderId="64" xfId="2" applyFont="1" applyBorder="1" applyAlignment="1">
      <alignment horizontal="center" vertical="center" wrapText="1"/>
    </xf>
    <xf numFmtId="166" fontId="3" fillId="0" borderId="0" xfId="0" applyNumberFormat="1" applyFont="1" applyAlignment="1">
      <alignment horizontal="center"/>
    </xf>
    <xf numFmtId="166" fontId="3" fillId="0" borderId="0" xfId="0" applyNumberFormat="1" applyFont="1" applyAlignment="1">
      <alignment horizontal="center" vertical="center"/>
    </xf>
    <xf numFmtId="166" fontId="8" fillId="12" borderId="0" xfId="0" applyNumberFormat="1" applyFont="1" applyFill="1" applyAlignment="1">
      <alignment horizontal="center" vertical="center"/>
    </xf>
    <xf numFmtId="179" fontId="18" fillId="0" borderId="0" xfId="12" applyNumberFormat="1" applyFont="1" applyBorder="1" applyAlignment="1">
      <alignment horizontal="center"/>
    </xf>
    <xf numFmtId="166" fontId="18" fillId="0" borderId="0" xfId="0" applyNumberFormat="1" applyFont="1" applyAlignment="1">
      <alignment horizontal="center"/>
    </xf>
    <xf numFmtId="0" fontId="18" fillId="0" borderId="0" xfId="0" applyFont="1" applyAlignment="1">
      <alignment horizontal="center"/>
    </xf>
    <xf numFmtId="0" fontId="37" fillId="12" borderId="0" xfId="0" applyFont="1" applyFill="1" applyAlignment="1">
      <alignment horizontal="center" vertical="center"/>
    </xf>
    <xf numFmtId="166" fontId="37" fillId="12" borderId="0" xfId="0" applyNumberFormat="1" applyFont="1" applyFill="1" applyAlignment="1">
      <alignment horizontal="center" vertical="center"/>
    </xf>
    <xf numFmtId="182" fontId="3" fillId="0" borderId="55" xfId="20" applyNumberFormat="1" applyFont="1" applyFill="1" applyBorder="1" applyAlignment="1">
      <alignment horizontal="center"/>
    </xf>
    <xf numFmtId="182" fontId="3" fillId="0" borderId="56" xfId="20" applyNumberFormat="1" applyFont="1" applyFill="1" applyBorder="1" applyAlignment="1">
      <alignment horizontal="center"/>
    </xf>
    <xf numFmtId="182" fontId="3" fillId="0" borderId="24" xfId="20" applyNumberFormat="1" applyFont="1" applyFill="1" applyBorder="1" applyAlignment="1">
      <alignment horizontal="center"/>
    </xf>
    <xf numFmtId="182" fontId="3" fillId="0" borderId="25" xfId="20" applyNumberFormat="1" applyFont="1" applyFill="1" applyBorder="1" applyAlignment="1">
      <alignment horizontal="center"/>
    </xf>
    <xf numFmtId="182" fontId="3" fillId="2" borderId="24" xfId="20" applyNumberFormat="1" applyFont="1" applyFill="1" applyBorder="1" applyAlignment="1">
      <alignment horizontal="center"/>
    </xf>
    <xf numFmtId="182" fontId="3" fillId="2" borderId="25" xfId="20" applyNumberFormat="1" applyFont="1" applyFill="1" applyBorder="1" applyAlignment="1">
      <alignment horizontal="center"/>
    </xf>
    <xf numFmtId="182" fontId="3" fillId="2" borderId="55" xfId="20" applyNumberFormat="1" applyFont="1" applyFill="1" applyBorder="1" applyAlignment="1">
      <alignment horizontal="center"/>
    </xf>
    <xf numFmtId="182" fontId="3" fillId="2" borderId="56" xfId="20" applyNumberFormat="1" applyFont="1" applyFill="1" applyBorder="1" applyAlignment="1">
      <alignment horizontal="center"/>
    </xf>
    <xf numFmtId="182" fontId="3" fillId="9" borderId="55" xfId="20" applyNumberFormat="1" applyFont="1" applyFill="1" applyBorder="1" applyAlignment="1">
      <alignment horizontal="center"/>
    </xf>
    <xf numFmtId="182" fontId="3" fillId="9" borderId="56" xfId="20" applyNumberFormat="1" applyFont="1" applyFill="1" applyBorder="1" applyAlignment="1">
      <alignment horizontal="center"/>
    </xf>
    <xf numFmtId="182" fontId="3" fillId="9" borderId="24" xfId="20" applyNumberFormat="1" applyFont="1" applyFill="1" applyBorder="1" applyAlignment="1">
      <alignment horizontal="center"/>
    </xf>
    <xf numFmtId="182" fontId="3" fillId="9" borderId="25" xfId="20" applyNumberFormat="1" applyFont="1" applyFill="1" applyBorder="1" applyAlignment="1">
      <alignment horizontal="center"/>
    </xf>
    <xf numFmtId="0" fontId="37" fillId="12" borderId="0" xfId="0" applyFont="1" applyFill="1" applyAlignment="1">
      <alignment horizontal="left"/>
    </xf>
    <xf numFmtId="182" fontId="3" fillId="2" borderId="42" xfId="20" applyNumberFormat="1" applyFont="1" applyFill="1" applyBorder="1" applyAlignment="1">
      <alignment horizontal="center" vertical="center"/>
    </xf>
    <xf numFmtId="182" fontId="3" fillId="2" borderId="53" xfId="20" applyNumberFormat="1" applyFont="1" applyFill="1" applyBorder="1" applyAlignment="1">
      <alignment horizontal="center" vertical="center"/>
    </xf>
    <xf numFmtId="182" fontId="3" fillId="0" borderId="42" xfId="20" applyNumberFormat="1" applyFont="1" applyFill="1" applyBorder="1" applyAlignment="1">
      <alignment horizontal="center" vertical="center"/>
    </xf>
    <xf numFmtId="182" fontId="3" fillId="0" borderId="53" xfId="20" applyNumberFormat="1" applyFont="1" applyFill="1" applyBorder="1" applyAlignment="1">
      <alignment horizontal="center" vertical="center"/>
    </xf>
    <xf numFmtId="182" fontId="3" fillId="0" borderId="55" xfId="20" applyNumberFormat="1" applyFont="1" applyFill="1" applyBorder="1" applyAlignment="1">
      <alignment horizontal="center" vertical="center"/>
    </xf>
    <xf numFmtId="182" fontId="3" fillId="0" borderId="56" xfId="20" applyNumberFormat="1" applyFont="1" applyFill="1" applyBorder="1" applyAlignment="1">
      <alignment horizontal="center" vertical="center"/>
    </xf>
    <xf numFmtId="182" fontId="3" fillId="2" borderId="55" xfId="20" applyNumberFormat="1" applyFont="1" applyFill="1" applyBorder="1" applyAlignment="1">
      <alignment horizontal="center" vertical="center"/>
    </xf>
    <xf numFmtId="182" fontId="3" fillId="2" borderId="56" xfId="20" applyNumberFormat="1" applyFont="1" applyFill="1" applyBorder="1" applyAlignment="1">
      <alignment horizontal="center" vertical="center"/>
    </xf>
    <xf numFmtId="182" fontId="3" fillId="2" borderId="24" xfId="20" applyNumberFormat="1" applyFont="1" applyFill="1" applyBorder="1" applyAlignment="1">
      <alignment horizontal="center" vertical="center"/>
    </xf>
    <xf numFmtId="182" fontId="3" fillId="2" borderId="25" xfId="20" applyNumberFormat="1" applyFont="1" applyFill="1" applyBorder="1" applyAlignment="1">
      <alignment horizontal="center" vertical="center"/>
    </xf>
    <xf numFmtId="182" fontId="3" fillId="0" borderId="24" xfId="20" applyNumberFormat="1" applyFont="1" applyFill="1" applyBorder="1" applyAlignment="1">
      <alignment horizontal="center" vertical="center"/>
    </xf>
    <xf numFmtId="182" fontId="3" fillId="0" borderId="25" xfId="20" applyNumberFormat="1" applyFont="1" applyFill="1" applyBorder="1" applyAlignment="1">
      <alignment horizontal="center" vertical="center"/>
    </xf>
    <xf numFmtId="0" fontId="3" fillId="0" borderId="24" xfId="12" applyNumberFormat="1" applyFont="1" applyFill="1" applyBorder="1" applyAlignment="1">
      <alignment horizontal="center" vertical="center"/>
    </xf>
    <xf numFmtId="0" fontId="3" fillId="0" borderId="25" xfId="12" applyNumberFormat="1" applyFont="1" applyFill="1" applyBorder="1" applyAlignment="1">
      <alignment horizontal="center" vertical="center"/>
    </xf>
    <xf numFmtId="0" fontId="3" fillId="2" borderId="24" xfId="12" applyNumberFormat="1" applyFont="1" applyFill="1" applyBorder="1" applyAlignment="1">
      <alignment horizontal="center" vertical="center"/>
    </xf>
    <xf numFmtId="0" fontId="3" fillId="2" borderId="25" xfId="12" applyNumberFormat="1" applyFont="1" applyFill="1" applyBorder="1" applyAlignment="1">
      <alignment horizontal="center" vertical="center"/>
    </xf>
    <xf numFmtId="0" fontId="37" fillId="12" borderId="0" xfId="0" applyFont="1" applyFill="1" applyAlignment="1">
      <alignment horizontal="left" vertical="center"/>
    </xf>
    <xf numFmtId="0" fontId="3" fillId="2" borderId="42" xfId="12" applyNumberFormat="1" applyFont="1" applyFill="1" applyBorder="1" applyAlignment="1">
      <alignment horizontal="center" vertical="center"/>
    </xf>
    <xf numFmtId="0" fontId="3" fillId="2" borderId="53" xfId="12" applyNumberFormat="1" applyFont="1" applyFill="1" applyBorder="1" applyAlignment="1">
      <alignment horizontal="center" vertical="center"/>
    </xf>
    <xf numFmtId="0" fontId="3" fillId="0" borderId="42" xfId="12" applyNumberFormat="1" applyFont="1" applyFill="1" applyBorder="1" applyAlignment="1">
      <alignment horizontal="center" vertical="center"/>
    </xf>
    <xf numFmtId="0" fontId="3" fillId="0" borderId="53" xfId="12" applyNumberFormat="1" applyFont="1" applyFill="1" applyBorder="1" applyAlignment="1">
      <alignment horizontal="center" vertical="center"/>
    </xf>
    <xf numFmtId="2" fontId="36" fillId="10" borderId="0" xfId="0" applyNumberFormat="1" applyFont="1" applyFill="1" applyAlignment="1">
      <alignment horizontal="center" vertical="center"/>
    </xf>
    <xf numFmtId="0" fontId="36" fillId="10" borderId="0" xfId="0" applyFont="1" applyFill="1" applyAlignment="1">
      <alignment horizontal="center" vertical="center"/>
    </xf>
    <xf numFmtId="0" fontId="0" fillId="9" borderId="0" xfId="0" applyFill="1" applyAlignment="1">
      <alignment horizontal="center" vertical="center" wrapText="1"/>
    </xf>
    <xf numFmtId="0" fontId="0" fillId="4" borderId="11" xfId="0" applyFill="1" applyBorder="1" applyAlignment="1">
      <alignment horizontal="center" vertical="center" wrapText="1"/>
    </xf>
    <xf numFmtId="0" fontId="32" fillId="0" borderId="25" xfId="0" applyFont="1" applyBorder="1" applyAlignment="1" applyProtection="1">
      <alignment horizontal="left" vertical="top" wrapText="1"/>
      <protection locked="0"/>
    </xf>
    <xf numFmtId="0" fontId="32" fillId="0" borderId="44" xfId="0" applyFont="1" applyBorder="1" applyAlignment="1" applyProtection="1">
      <alignment horizontal="left" vertical="top" wrapText="1"/>
      <protection locked="0"/>
    </xf>
    <xf numFmtId="0" fontId="32" fillId="0" borderId="24" xfId="0" applyFont="1" applyBorder="1" applyAlignment="1" applyProtection="1">
      <alignment horizontal="left" vertical="top" wrapText="1"/>
      <protection locked="0"/>
    </xf>
    <xf numFmtId="0" fontId="27" fillId="7" borderId="46" xfId="5" applyFont="1" applyFill="1" applyBorder="1" applyAlignment="1" applyProtection="1">
      <alignment horizontal="left" vertical="center"/>
      <protection locked="0"/>
    </xf>
    <xf numFmtId="0" fontId="27" fillId="7" borderId="47" xfId="5" applyFont="1" applyFill="1" applyBorder="1" applyAlignment="1" applyProtection="1">
      <alignment horizontal="left" vertical="center"/>
      <protection locked="0"/>
    </xf>
    <xf numFmtId="0" fontId="27" fillId="7" borderId="48" xfId="5" applyFont="1" applyFill="1" applyBorder="1" applyAlignment="1" applyProtection="1">
      <alignment horizontal="left" vertical="center"/>
      <protection locked="0"/>
    </xf>
    <xf numFmtId="0" fontId="32" fillId="14" borderId="25" xfId="0" applyFont="1" applyFill="1" applyBorder="1" applyAlignment="1" applyProtection="1">
      <alignment horizontal="left" vertical="top" wrapText="1"/>
      <protection locked="0"/>
    </xf>
    <xf numFmtId="0" fontId="32" fillId="14" borderId="44" xfId="0" applyFont="1" applyFill="1" applyBorder="1" applyAlignment="1" applyProtection="1">
      <alignment horizontal="left" vertical="top" wrapText="1"/>
      <protection locked="0"/>
    </xf>
    <xf numFmtId="0" fontId="32" fillId="14" borderId="24" xfId="0" applyFont="1" applyFill="1" applyBorder="1" applyAlignment="1" applyProtection="1">
      <alignment horizontal="left" vertical="top" wrapText="1"/>
      <protection locked="0"/>
    </xf>
    <xf numFmtId="0" fontId="32" fillId="15" borderId="25" xfId="0" applyFont="1" applyFill="1" applyBorder="1" applyAlignment="1" applyProtection="1">
      <alignment horizontal="left" vertical="top" wrapText="1"/>
      <protection locked="0"/>
    </xf>
    <xf numFmtId="0" fontId="32" fillId="15" borderId="44" xfId="0" applyFont="1" applyFill="1" applyBorder="1" applyAlignment="1" applyProtection="1">
      <alignment horizontal="left" vertical="top" wrapText="1"/>
      <protection locked="0"/>
    </xf>
    <xf numFmtId="0" fontId="32" fillId="15" borderId="24" xfId="0" applyFont="1" applyFill="1" applyBorder="1" applyAlignment="1" applyProtection="1">
      <alignment horizontal="left" vertical="top" wrapText="1"/>
      <protection locked="0"/>
    </xf>
    <xf numFmtId="4" fontId="27" fillId="0" borderId="37" xfId="14" applyNumberFormat="1" applyFont="1" applyBorder="1" applyAlignment="1">
      <alignment horizontal="center" vertical="center"/>
    </xf>
    <xf numFmtId="4" fontId="27" fillId="0" borderId="51" xfId="14" applyNumberFormat="1" applyFont="1" applyBorder="1" applyAlignment="1">
      <alignment horizontal="center" vertical="center"/>
    </xf>
    <xf numFmtId="0" fontId="17" fillId="0" borderId="25" xfId="0" applyFont="1" applyFill="1" applyBorder="1" applyAlignment="1">
      <alignment horizontal="left" vertical="center" wrapText="1"/>
    </xf>
    <xf numFmtId="0" fontId="17" fillId="0" borderId="44" xfId="0" applyFont="1" applyFill="1" applyBorder="1" applyAlignment="1">
      <alignment horizontal="left" vertical="center" wrapText="1"/>
    </xf>
    <xf numFmtId="0" fontId="17" fillId="0" borderId="24" xfId="0" applyFont="1" applyFill="1" applyBorder="1" applyAlignment="1">
      <alignment horizontal="left" vertical="center" wrapText="1"/>
    </xf>
    <xf numFmtId="0" fontId="27" fillId="0" borderId="46" xfId="5" applyFont="1" applyBorder="1" applyAlignment="1" applyProtection="1">
      <alignment horizontal="left" vertical="center"/>
      <protection locked="0"/>
    </xf>
    <xf numFmtId="0" fontId="27" fillId="0" borderId="47" xfId="5" applyFont="1" applyBorder="1" applyAlignment="1" applyProtection="1">
      <alignment horizontal="left" vertical="center"/>
      <protection locked="0"/>
    </xf>
    <xf numFmtId="0" fontId="27" fillId="0" borderId="48" xfId="5" applyFont="1" applyBorder="1" applyAlignment="1" applyProtection="1">
      <alignment horizontal="left" vertical="center"/>
      <protection locked="0"/>
    </xf>
    <xf numFmtId="49" fontId="17" fillId="0" borderId="25" xfId="0" applyNumberFormat="1" applyFont="1" applyBorder="1" applyAlignment="1">
      <alignment horizontal="left" vertical="center" wrapText="1"/>
    </xf>
    <xf numFmtId="49" fontId="17" fillId="0" borderId="44" xfId="0" applyNumberFormat="1" applyFont="1" applyBorder="1" applyAlignment="1">
      <alignment horizontal="left" vertical="center" wrapText="1"/>
    </xf>
    <xf numFmtId="49" fontId="17" fillId="0" borderId="24" xfId="0" applyNumberFormat="1" applyFont="1" applyBorder="1" applyAlignment="1">
      <alignment horizontal="left" vertical="center" wrapText="1"/>
    </xf>
    <xf numFmtId="0" fontId="17" fillId="0" borderId="25" xfId="0" applyFont="1" applyBorder="1" applyAlignment="1">
      <alignment horizontal="left" vertical="center" wrapText="1"/>
    </xf>
    <xf numFmtId="0" fontId="17" fillId="0" borderId="44" xfId="0" applyFont="1" applyBorder="1" applyAlignment="1">
      <alignment horizontal="left" vertical="center" wrapText="1"/>
    </xf>
    <xf numFmtId="0" fontId="17" fillId="0" borderId="24" xfId="0" applyFont="1" applyBorder="1" applyAlignment="1">
      <alignment horizontal="left" vertical="center" wrapText="1"/>
    </xf>
    <xf numFmtId="2" fontId="33" fillId="8" borderId="17" xfId="7" applyNumberFormat="1" applyFont="1" applyFill="1" applyBorder="1" applyAlignment="1">
      <alignment horizontal="center" vertical="center" wrapText="1"/>
    </xf>
    <xf numFmtId="2" fontId="33" fillId="8" borderId="43" xfId="7" applyNumberFormat="1" applyFont="1" applyFill="1" applyBorder="1" applyAlignment="1">
      <alignment horizontal="center" vertical="center" wrapText="1"/>
    </xf>
    <xf numFmtId="2" fontId="33" fillId="5" borderId="23" xfId="7" applyNumberFormat="1" applyFont="1" applyFill="1" applyBorder="1" applyAlignment="1">
      <alignment horizontal="left" vertical="center" wrapText="1"/>
    </xf>
    <xf numFmtId="2" fontId="33" fillId="5" borderId="44" xfId="7" applyNumberFormat="1" applyFont="1" applyFill="1" applyBorder="1" applyAlignment="1">
      <alignment horizontal="left" vertical="center" wrapText="1"/>
    </xf>
    <xf numFmtId="2" fontId="33" fillId="5" borderId="24" xfId="7" applyNumberFormat="1" applyFont="1" applyFill="1" applyBorder="1" applyAlignment="1">
      <alignment horizontal="left" vertical="center" wrapText="1"/>
    </xf>
    <xf numFmtId="2" fontId="33" fillId="8" borderId="23" xfId="7" applyNumberFormat="1" applyFont="1" applyFill="1" applyBorder="1" applyAlignment="1">
      <alignment horizontal="center" vertical="center" wrapText="1"/>
    </xf>
    <xf numFmtId="2" fontId="33" fillId="8" borderId="44" xfId="7" applyNumberFormat="1" applyFont="1" applyFill="1" applyBorder="1" applyAlignment="1">
      <alignment horizontal="center" vertical="center" wrapText="1"/>
    </xf>
    <xf numFmtId="2" fontId="33" fillId="5" borderId="23" xfId="7" applyNumberFormat="1" applyFont="1" applyFill="1" applyBorder="1" applyAlignment="1">
      <alignment horizontal="center" vertical="center" wrapText="1"/>
    </xf>
    <xf numFmtId="2" fontId="33" fillId="5" borderId="44" xfId="7" applyNumberFormat="1" applyFont="1" applyFill="1" applyBorder="1" applyAlignment="1">
      <alignment horizontal="center" vertical="center" wrapText="1"/>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39" xfId="0" applyFont="1" applyBorder="1" applyAlignment="1">
      <alignment horizontal="center" vertical="center" wrapText="1"/>
    </xf>
    <xf numFmtId="0" fontId="6" fillId="0" borderId="33" xfId="0" applyFont="1" applyBorder="1" applyAlignment="1">
      <alignment horizontal="center" vertical="center"/>
    </xf>
    <xf numFmtId="0" fontId="6" fillId="0" borderId="72" xfId="0" applyFont="1" applyBorder="1" applyAlignment="1">
      <alignment horizontal="center" wrapText="1"/>
    </xf>
    <xf numFmtId="0" fontId="6" fillId="0" borderId="8" xfId="0" applyFont="1" applyBorder="1" applyAlignment="1">
      <alignment horizontal="center" wrapText="1"/>
    </xf>
    <xf numFmtId="0" fontId="6" fillId="0" borderId="9" xfId="0" applyFont="1" applyBorder="1" applyAlignment="1">
      <alignment horizontal="center" wrapText="1"/>
    </xf>
    <xf numFmtId="0" fontId="32" fillId="0" borderId="25" xfId="0" applyFont="1" applyBorder="1" applyAlignment="1" applyProtection="1">
      <alignment horizontal="left" vertical="center" wrapText="1"/>
      <protection locked="0"/>
    </xf>
    <xf numFmtId="0" fontId="32" fillId="0" borderId="44" xfId="0" applyFont="1" applyBorder="1" applyAlignment="1" applyProtection="1">
      <alignment horizontal="left" vertical="center" wrapText="1"/>
      <protection locked="0"/>
    </xf>
    <xf numFmtId="0" fontId="32" fillId="0" borderId="24" xfId="0" applyFont="1" applyBorder="1" applyAlignment="1" applyProtection="1">
      <alignment horizontal="left" vertical="center" wrapText="1"/>
      <protection locked="0"/>
    </xf>
    <xf numFmtId="0" fontId="32" fillId="15" borderId="25" xfId="0" applyFont="1" applyFill="1" applyBorder="1" applyAlignment="1" applyProtection="1">
      <alignment horizontal="left" vertical="center" wrapText="1"/>
      <protection locked="0"/>
    </xf>
    <xf numFmtId="0" fontId="32" fillId="15" borderId="44" xfId="0" applyFont="1" applyFill="1" applyBorder="1" applyAlignment="1" applyProtection="1">
      <alignment horizontal="left" vertical="center" wrapText="1"/>
      <protection locked="0"/>
    </xf>
    <xf numFmtId="0" fontId="32" fillId="15" borderId="24" xfId="0" applyFont="1" applyFill="1" applyBorder="1" applyAlignment="1" applyProtection="1">
      <alignment horizontal="left" vertical="center" wrapText="1"/>
      <protection locked="0"/>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27" fillId="0" borderId="12" xfId="14" applyFont="1" applyBorder="1" applyAlignment="1">
      <alignment horizontal="center" vertical="center"/>
    </xf>
    <xf numFmtId="0" fontId="27" fillId="0" borderId="15" xfId="14" applyFont="1" applyBorder="1" applyAlignment="1">
      <alignment horizontal="center" vertical="center"/>
    </xf>
    <xf numFmtId="0" fontId="27" fillId="0" borderId="13" xfId="14" applyFont="1" applyBorder="1" applyAlignment="1">
      <alignment horizontal="center" vertical="center"/>
    </xf>
    <xf numFmtId="0" fontId="27" fillId="0" borderId="16" xfId="14" applyFont="1" applyBorder="1" applyAlignment="1">
      <alignment horizontal="center" vertical="center"/>
    </xf>
    <xf numFmtId="0" fontId="34" fillId="0" borderId="2"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4" xfId="0" applyFont="1" applyBorder="1" applyAlignment="1">
      <alignment horizontal="center" vertical="center" wrapText="1"/>
    </xf>
    <xf numFmtId="0" fontId="27" fillId="0" borderId="45" xfId="0" applyFont="1" applyBorder="1" applyAlignment="1">
      <alignment horizontal="center" vertical="center" wrapText="1"/>
    </xf>
    <xf numFmtId="0" fontId="27" fillId="0" borderId="34" xfId="0" applyFont="1" applyBorder="1" applyAlignment="1">
      <alignment horizontal="center" vertical="center" wrapText="1"/>
    </xf>
    <xf numFmtId="0" fontId="27" fillId="0" borderId="52" xfId="0" applyFont="1" applyBorder="1" applyAlignment="1">
      <alignment horizontal="center" vertical="center" wrapText="1"/>
    </xf>
    <xf numFmtId="0" fontId="27" fillId="0" borderId="37" xfId="14" applyFont="1" applyBorder="1" applyAlignment="1">
      <alignment horizontal="center" vertical="center"/>
    </xf>
    <xf numFmtId="0" fontId="27" fillId="0" borderId="51" xfId="14" applyFont="1" applyBorder="1" applyAlignment="1">
      <alignment horizontal="center" vertical="center"/>
    </xf>
    <xf numFmtId="0" fontId="27" fillId="0" borderId="19" xfId="0" applyFont="1" applyBorder="1" applyAlignment="1">
      <alignment horizontal="center" vertical="center"/>
    </xf>
    <xf numFmtId="0" fontId="27" fillId="0" borderId="21" xfId="0" applyFont="1" applyBorder="1" applyAlignment="1">
      <alignment horizontal="center" vertical="center"/>
    </xf>
    <xf numFmtId="49" fontId="17" fillId="15" borderId="25" xfId="0" applyNumberFormat="1" applyFont="1" applyFill="1" applyBorder="1" applyAlignment="1">
      <alignment horizontal="left" vertical="center" wrapText="1"/>
    </xf>
    <xf numFmtId="49" fontId="17" fillId="15" borderId="44" xfId="0" applyNumberFormat="1" applyFont="1" applyFill="1" applyBorder="1" applyAlignment="1">
      <alignment horizontal="left" vertical="center" wrapText="1"/>
    </xf>
    <xf numFmtId="49" fontId="17" fillId="15" borderId="24" xfId="0" applyNumberFormat="1" applyFont="1" applyFill="1" applyBorder="1" applyAlignment="1">
      <alignment horizontal="left" vertical="center" wrapText="1"/>
    </xf>
    <xf numFmtId="0" fontId="32" fillId="15" borderId="25" xfId="5" applyFont="1" applyFill="1" applyBorder="1" applyAlignment="1" applyProtection="1">
      <alignment horizontal="left" vertical="center" wrapText="1"/>
      <protection locked="0"/>
    </xf>
    <xf numFmtId="0" fontId="32" fillId="15" borderId="44" xfId="5" applyFont="1" applyFill="1" applyBorder="1" applyAlignment="1" applyProtection="1">
      <alignment horizontal="left" vertical="center" wrapText="1"/>
      <protection locked="0"/>
    </xf>
    <xf numFmtId="0" fontId="32" fillId="15" borderId="24" xfId="5" applyFont="1" applyFill="1" applyBorder="1" applyAlignment="1" applyProtection="1">
      <alignment horizontal="left" vertical="center" wrapText="1"/>
      <protection locked="0"/>
    </xf>
    <xf numFmtId="0" fontId="32" fillId="5" borderId="25" xfId="0" applyFont="1" applyFill="1" applyBorder="1" applyAlignment="1">
      <alignment horizontal="left" vertical="top" wrapText="1"/>
    </xf>
    <xf numFmtId="0" fontId="32" fillId="5" borderId="44" xfId="0" applyFont="1" applyFill="1" applyBorder="1" applyAlignment="1">
      <alignment horizontal="left" vertical="top" wrapText="1"/>
    </xf>
    <xf numFmtId="0" fontId="32" fillId="5" borderId="24" xfId="0" applyFont="1" applyFill="1" applyBorder="1" applyAlignment="1">
      <alignment horizontal="left" vertical="top" wrapText="1"/>
    </xf>
    <xf numFmtId="0" fontId="32" fillId="15" borderId="25" xfId="0" applyFont="1" applyFill="1" applyBorder="1" applyAlignment="1">
      <alignment vertical="top" wrapText="1"/>
    </xf>
    <xf numFmtId="0" fontId="32" fillId="15" borderId="44" xfId="0" applyFont="1" applyFill="1" applyBorder="1" applyAlignment="1">
      <alignment vertical="top" wrapText="1"/>
    </xf>
    <xf numFmtId="0" fontId="32" fillId="15" borderId="24" xfId="0" applyFont="1" applyFill="1" applyBorder="1" applyAlignment="1">
      <alignment vertical="top" wrapText="1"/>
    </xf>
    <xf numFmtId="0" fontId="32" fillId="15" borderId="25" xfId="5" applyFont="1" applyFill="1" applyBorder="1" applyAlignment="1" applyProtection="1">
      <alignment horizontal="left" vertical="top" wrapText="1"/>
      <protection locked="0"/>
    </xf>
    <xf numFmtId="0" fontId="32" fillId="15" borderId="44" xfId="5" applyFont="1" applyFill="1" applyBorder="1" applyAlignment="1" applyProtection="1">
      <alignment horizontal="left" vertical="top" wrapText="1"/>
      <protection locked="0"/>
    </xf>
    <xf numFmtId="0" fontId="32" fillId="15" borderId="24" xfId="5" applyFont="1" applyFill="1" applyBorder="1" applyAlignment="1" applyProtection="1">
      <alignment horizontal="left" vertical="top" wrapText="1"/>
      <protection locked="0"/>
    </xf>
    <xf numFmtId="0" fontId="32" fillId="0" borderId="25" xfId="5" applyFont="1" applyBorder="1" applyAlignment="1" applyProtection="1">
      <alignment horizontal="left" vertical="center" wrapText="1"/>
      <protection locked="0"/>
    </xf>
    <xf numFmtId="0" fontId="32" fillId="0" borderId="44" xfId="5" applyFont="1" applyBorder="1" applyAlignment="1" applyProtection="1">
      <alignment horizontal="left" vertical="center" wrapText="1"/>
      <protection locked="0"/>
    </xf>
    <xf numFmtId="0" fontId="32" fillId="0" borderId="24" xfId="5" applyFont="1" applyBorder="1" applyAlignment="1" applyProtection="1">
      <alignment horizontal="left" vertical="center" wrapText="1"/>
      <protection locked="0"/>
    </xf>
    <xf numFmtId="0" fontId="27" fillId="9" borderId="45" xfId="0" applyFont="1" applyFill="1" applyBorder="1" applyAlignment="1">
      <alignment horizontal="center" vertical="center" wrapText="1"/>
    </xf>
    <xf numFmtId="0" fontId="27" fillId="9" borderId="34" xfId="0" applyFont="1" applyFill="1" applyBorder="1" applyAlignment="1">
      <alignment horizontal="center" vertical="center" wrapText="1"/>
    </xf>
    <xf numFmtId="0" fontId="27" fillId="9" borderId="52" xfId="0" applyFont="1" applyFill="1" applyBorder="1" applyAlignment="1">
      <alignment horizontal="center" vertical="center" wrapText="1"/>
    </xf>
    <xf numFmtId="0" fontId="22" fillId="0" borderId="72" xfId="0" applyFont="1" applyBorder="1" applyAlignment="1">
      <alignment horizontal="center" wrapText="1"/>
    </xf>
    <xf numFmtId="0" fontId="22" fillId="0" borderId="8" xfId="0" applyFont="1" applyBorder="1" applyAlignment="1">
      <alignment horizontal="center" wrapText="1"/>
    </xf>
    <xf numFmtId="0" fontId="22" fillId="0" borderId="9" xfId="0" applyFont="1" applyBorder="1" applyAlignment="1">
      <alignment horizontal="center" wrapText="1"/>
    </xf>
    <xf numFmtId="0" fontId="34" fillId="2" borderId="2" xfId="0" applyFont="1" applyFill="1" applyBorder="1" applyAlignment="1">
      <alignment horizontal="center" vertical="center" wrapText="1"/>
    </xf>
    <xf numFmtId="0" fontId="34" fillId="2" borderId="3" xfId="0" applyFont="1" applyFill="1" applyBorder="1" applyAlignment="1">
      <alignment horizontal="center" vertical="center" wrapText="1"/>
    </xf>
    <xf numFmtId="0" fontId="34" fillId="2" borderId="4" xfId="0" applyFont="1" applyFill="1" applyBorder="1" applyAlignment="1">
      <alignment horizontal="center" vertical="center" wrapText="1"/>
    </xf>
    <xf numFmtId="0" fontId="27" fillId="6" borderId="12" xfId="14" applyFont="1" applyFill="1" applyBorder="1" applyAlignment="1">
      <alignment horizontal="center" vertical="center"/>
    </xf>
    <xf numFmtId="0" fontId="27" fillId="6" borderId="15" xfId="14" applyFont="1" applyFill="1" applyBorder="1" applyAlignment="1">
      <alignment horizontal="center" vertical="center"/>
    </xf>
    <xf numFmtId="0" fontId="27" fillId="6" borderId="13" xfId="14" applyFont="1" applyFill="1" applyBorder="1" applyAlignment="1">
      <alignment horizontal="center" vertical="center"/>
    </xf>
    <xf numFmtId="0" fontId="27" fillId="6" borderId="16" xfId="14" applyFont="1" applyFill="1" applyBorder="1" applyAlignment="1">
      <alignment horizontal="center" vertical="center"/>
    </xf>
    <xf numFmtId="0" fontId="27" fillId="6" borderId="37" xfId="14" applyFont="1" applyFill="1" applyBorder="1" applyAlignment="1">
      <alignment horizontal="center" vertical="center"/>
    </xf>
    <xf numFmtId="0" fontId="27" fillId="6" borderId="51" xfId="14" applyFont="1" applyFill="1" applyBorder="1" applyAlignment="1">
      <alignment horizontal="center" vertical="center"/>
    </xf>
    <xf numFmtId="4" fontId="27" fillId="6" borderId="37" xfId="14" applyNumberFormat="1" applyFont="1" applyFill="1" applyBorder="1" applyAlignment="1">
      <alignment horizontal="center" vertical="center"/>
    </xf>
    <xf numFmtId="4" fontId="27" fillId="6" borderId="51" xfId="14" applyNumberFormat="1" applyFont="1" applyFill="1" applyBorder="1" applyAlignment="1">
      <alignment horizontal="center" vertical="center"/>
    </xf>
    <xf numFmtId="0" fontId="27" fillId="6" borderId="19" xfId="0" applyFont="1" applyFill="1" applyBorder="1" applyAlignment="1">
      <alignment horizontal="center" vertical="center"/>
    </xf>
    <xf numFmtId="0" fontId="27" fillId="6" borderId="21" xfId="0" applyFont="1" applyFill="1" applyBorder="1" applyAlignment="1">
      <alignment horizontal="center" vertical="center"/>
    </xf>
    <xf numFmtId="0" fontId="13" fillId="0" borderId="23" xfId="0" applyFont="1" applyBorder="1" applyAlignment="1">
      <alignment vertical="center"/>
    </xf>
    <xf numFmtId="0" fontId="13" fillId="0" borderId="24" xfId="0" applyFont="1" applyBorder="1" applyAlignment="1">
      <alignment vertical="center"/>
    </xf>
    <xf numFmtId="0" fontId="9" fillId="0" borderId="2" xfId="0" applyFont="1" applyBorder="1" applyAlignment="1">
      <alignment horizontal="center"/>
    </xf>
    <xf numFmtId="0" fontId="9" fillId="0" borderId="3" xfId="0" applyFont="1" applyBorder="1" applyAlignment="1">
      <alignment horizontal="center"/>
    </xf>
    <xf numFmtId="49" fontId="17" fillId="0" borderId="69" xfId="0" applyNumberFormat="1" applyFont="1" applyBorder="1" applyAlignment="1">
      <alignment horizontal="left" vertical="center" wrapText="1"/>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4" fillId="0" borderId="0" xfId="0" applyFont="1" applyAlignment="1">
      <alignmen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12" fillId="0" borderId="14" xfId="0" applyFont="1" applyBorder="1" applyAlignment="1">
      <alignment vertical="center"/>
    </xf>
    <xf numFmtId="0" fontId="12" fillId="0" borderId="11" xfId="0" applyFont="1" applyBorder="1" applyAlignment="1">
      <alignment vertical="center"/>
    </xf>
    <xf numFmtId="0" fontId="12" fillId="0" borderId="17" xfId="0" applyFont="1" applyBorder="1" applyAlignment="1">
      <alignment vertical="center"/>
    </xf>
    <xf numFmtId="0" fontId="12" fillId="0" borderId="18" xfId="0" applyFont="1" applyBorder="1" applyAlignment="1">
      <alignment vertical="center"/>
    </xf>
    <xf numFmtId="0" fontId="4" fillId="0" borderId="6" xfId="0" applyFont="1" applyBorder="1" applyAlignment="1">
      <alignment vertical="center"/>
    </xf>
    <xf numFmtId="0" fontId="5" fillId="2" borderId="45" xfId="0" applyFont="1" applyFill="1" applyBorder="1" applyAlignment="1">
      <alignment horizontal="center" vertical="center"/>
    </xf>
    <xf numFmtId="0" fontId="5" fillId="2" borderId="58" xfId="0" applyFont="1" applyFill="1" applyBorder="1" applyAlignment="1">
      <alignment horizontal="center" vertical="center"/>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23" xfId="0" applyFont="1" applyBorder="1" applyAlignment="1">
      <alignment horizontal="left" vertical="top"/>
    </xf>
    <xf numFmtId="0" fontId="13" fillId="0" borderId="24" xfId="0" applyFont="1" applyBorder="1" applyAlignment="1">
      <alignment horizontal="left" vertical="top"/>
    </xf>
    <xf numFmtId="0" fontId="13" fillId="0" borderId="14" xfId="0" applyFont="1" applyBorder="1" applyAlignment="1">
      <alignment horizontal="left" vertical="center" wrapText="1"/>
    </xf>
    <xf numFmtId="0" fontId="13" fillId="0" borderId="11" xfId="0" applyFont="1" applyBorder="1" applyAlignment="1">
      <alignment horizontal="left" vertical="center"/>
    </xf>
    <xf numFmtId="0" fontId="13" fillId="0" borderId="15" xfId="0" applyFont="1" applyBorder="1" applyAlignment="1">
      <alignment horizontal="left" vertical="center" wrapText="1"/>
    </xf>
    <xf numFmtId="0" fontId="13" fillId="0" borderId="16" xfId="0" applyFont="1" applyBorder="1" applyAlignment="1">
      <alignment horizontal="left" vertical="center"/>
    </xf>
    <xf numFmtId="0" fontId="3" fillId="0" borderId="0" xfId="0" applyFont="1" applyAlignment="1">
      <alignment horizontal="center"/>
    </xf>
    <xf numFmtId="4" fontId="45" fillId="0" borderId="25" xfId="0" applyNumberFormat="1" applyFont="1" applyBorder="1" applyAlignment="1">
      <alignment horizontal="left" vertical="center"/>
    </xf>
    <xf numFmtId="4" fontId="45" fillId="0" borderId="24" xfId="0" applyNumberFormat="1" applyFont="1" applyBorder="1" applyAlignment="1">
      <alignment horizontal="left" vertical="center"/>
    </xf>
    <xf numFmtId="0" fontId="13" fillId="0" borderId="24" xfId="0" applyFont="1" applyBorder="1" applyAlignment="1">
      <alignment horizontal="left" vertical="center"/>
    </xf>
    <xf numFmtId="0" fontId="13" fillId="0" borderId="23" xfId="0" applyFont="1" applyBorder="1" applyAlignment="1">
      <alignment horizontal="left" vertical="center"/>
    </xf>
    <xf numFmtId="0" fontId="13" fillId="0" borderId="17" xfId="0" applyFont="1" applyBorder="1" applyAlignment="1">
      <alignment horizontal="left" vertical="center" wrapText="1"/>
    </xf>
    <xf numFmtId="0" fontId="13" fillId="0" borderId="18" xfId="0" applyFont="1" applyBorder="1" applyAlignment="1">
      <alignment horizontal="left" vertical="center"/>
    </xf>
    <xf numFmtId="0" fontId="12" fillId="0" borderId="0" xfId="0" applyFont="1" applyAlignment="1">
      <alignment vertical="center"/>
    </xf>
    <xf numFmtId="0" fontId="13" fillId="0" borderId="11" xfId="0" applyFont="1" applyBorder="1" applyAlignment="1">
      <alignment horizontal="left" vertical="center" wrapText="1"/>
    </xf>
    <xf numFmtId="0" fontId="13" fillId="0" borderId="23" xfId="0" applyFont="1" applyBorder="1" applyAlignment="1">
      <alignment vertical="top"/>
    </xf>
    <xf numFmtId="0" fontId="13" fillId="0" borderId="24" xfId="0" applyFont="1" applyBorder="1" applyAlignment="1">
      <alignment vertical="top"/>
    </xf>
    <xf numFmtId="0" fontId="12" fillId="0" borderId="0" xfId="0" applyFont="1" applyAlignment="1">
      <alignment horizontal="center"/>
    </xf>
    <xf numFmtId="0" fontId="4" fillId="2" borderId="45"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12" fillId="0" borderId="2" xfId="0" applyFont="1" applyBorder="1" applyAlignment="1">
      <alignment horizontal="left" vertical="center"/>
    </xf>
    <xf numFmtId="0" fontId="12" fillId="0" borderId="39" xfId="0" applyFont="1" applyBorder="1" applyAlignment="1">
      <alignment horizontal="left" vertical="center"/>
    </xf>
    <xf numFmtId="0" fontId="12" fillId="0" borderId="17" xfId="0" applyFont="1" applyBorder="1" applyAlignment="1">
      <alignment horizontal="left" vertical="center"/>
    </xf>
    <xf numFmtId="0" fontId="12" fillId="0" borderId="18" xfId="0" applyFont="1" applyBorder="1" applyAlignment="1">
      <alignment horizontal="left" vertical="center"/>
    </xf>
    <xf numFmtId="49" fontId="53" fillId="0" borderId="69" xfId="0" applyNumberFormat="1" applyFont="1" applyBorder="1" applyAlignment="1">
      <alignment horizontal="left" vertical="center" wrapText="1"/>
    </xf>
    <xf numFmtId="49" fontId="53" fillId="0" borderId="6" xfId="0" applyNumberFormat="1" applyFont="1" applyBorder="1" applyAlignment="1">
      <alignment horizontal="left" vertical="center" wrapText="1"/>
    </xf>
    <xf numFmtId="49" fontId="53" fillId="0" borderId="7" xfId="0" applyNumberFormat="1" applyFont="1" applyBorder="1" applyAlignment="1">
      <alignment horizontal="left" vertical="center" wrapText="1"/>
    </xf>
    <xf numFmtId="0" fontId="17" fillId="0" borderId="69" xfId="0" applyFont="1" applyBorder="1" applyAlignment="1">
      <alignment horizontal="left" vertical="center" wrapText="1"/>
    </xf>
    <xf numFmtId="0" fontId="17" fillId="0" borderId="6" xfId="0" applyFont="1" applyBorder="1" applyAlignment="1">
      <alignment horizontal="left" vertical="center" wrapText="1"/>
    </xf>
    <xf numFmtId="0" fontId="17" fillId="0" borderId="7" xfId="0" applyFont="1" applyBorder="1" applyAlignment="1">
      <alignment horizontal="left" vertical="center" wrapText="1"/>
    </xf>
    <xf numFmtId="0" fontId="12" fillId="0" borderId="14" xfId="0" applyFont="1" applyBorder="1" applyAlignment="1">
      <alignment horizontal="left" vertical="center"/>
    </xf>
    <xf numFmtId="0" fontId="12" fillId="0" borderId="11" xfId="0" applyFont="1" applyBorder="1" applyAlignment="1">
      <alignment horizontal="left" vertical="center"/>
    </xf>
    <xf numFmtId="0" fontId="13" fillId="0" borderId="11" xfId="0" applyFont="1" applyBorder="1" applyAlignment="1">
      <alignment vertical="center"/>
    </xf>
    <xf numFmtId="0" fontId="13" fillId="0" borderId="11" xfId="0" applyFont="1" applyBorder="1" applyAlignment="1">
      <alignment vertical="center" wrapText="1"/>
    </xf>
    <xf numFmtId="49" fontId="17" fillId="0" borderId="3" xfId="0" applyNumberFormat="1" applyFont="1" applyBorder="1" applyAlignment="1">
      <alignment horizontal="left" vertical="center" wrapText="1"/>
    </xf>
    <xf numFmtId="49" fontId="17" fillId="0" borderId="4" xfId="0" applyNumberFormat="1" applyFont="1" applyBorder="1" applyAlignment="1">
      <alignment horizontal="left" vertical="center" wrapText="1"/>
    </xf>
    <xf numFmtId="0" fontId="13" fillId="0" borderId="18" xfId="0" applyFont="1" applyBorder="1" applyAlignment="1">
      <alignment horizontal="left" vertical="center" wrapText="1"/>
    </xf>
    <xf numFmtId="49" fontId="17" fillId="0" borderId="2" xfId="0" applyNumberFormat="1" applyFont="1" applyBorder="1" applyAlignment="1">
      <alignment horizontal="left" vertical="center" wrapText="1"/>
    </xf>
    <xf numFmtId="0" fontId="52" fillId="0" borderId="2" xfId="0" applyFont="1" applyBorder="1" applyAlignment="1">
      <alignment horizontal="center"/>
    </xf>
    <xf numFmtId="0" fontId="52" fillId="0" borderId="3" xfId="0" applyFont="1" applyBorder="1" applyAlignment="1">
      <alignment horizontal="center"/>
    </xf>
    <xf numFmtId="49" fontId="53" fillId="0" borderId="2" xfId="0" applyNumberFormat="1" applyFont="1" applyBorder="1" applyAlignment="1">
      <alignment horizontal="left" vertical="center" wrapText="1"/>
    </xf>
    <xf numFmtId="49" fontId="53" fillId="0" borderId="3" xfId="0" applyNumberFormat="1" applyFont="1" applyBorder="1" applyAlignment="1">
      <alignment horizontal="left" vertical="center" wrapText="1"/>
    </xf>
    <xf numFmtId="49" fontId="53" fillId="0" borderId="4" xfId="0" applyNumberFormat="1" applyFont="1" applyBorder="1" applyAlignment="1">
      <alignment horizontal="left" vertical="center" wrapText="1"/>
    </xf>
    <xf numFmtId="4" fontId="46" fillId="0" borderId="25" xfId="0" applyNumberFormat="1" applyFont="1" applyBorder="1" applyAlignment="1">
      <alignment horizontal="left" vertical="center" wrapText="1"/>
    </xf>
    <xf numFmtId="4" fontId="46" fillId="0" borderId="24" xfId="0" applyNumberFormat="1" applyFont="1" applyBorder="1" applyAlignment="1">
      <alignment horizontal="left" vertical="center" wrapText="1"/>
    </xf>
    <xf numFmtId="0" fontId="3" fillId="0" borderId="8" xfId="0" applyFont="1" applyBorder="1" applyAlignment="1">
      <alignment horizontal="center"/>
    </xf>
    <xf numFmtId="0" fontId="55" fillId="0" borderId="79" xfId="0" applyFont="1" applyBorder="1" applyAlignment="1">
      <alignment vertical="center" wrapText="1"/>
    </xf>
    <xf numFmtId="0" fontId="55" fillId="0" borderId="11" xfId="0" applyFont="1" applyBorder="1" applyAlignment="1">
      <alignment vertical="center" wrapText="1"/>
    </xf>
    <xf numFmtId="0" fontId="53" fillId="0" borderId="3" xfId="0" applyFont="1" applyBorder="1" applyAlignment="1">
      <alignment horizontal="left" vertical="center" wrapText="1"/>
    </xf>
    <xf numFmtId="0" fontId="53" fillId="0" borderId="4" xfId="0" applyFont="1" applyBorder="1" applyAlignment="1">
      <alignment horizontal="left" vertical="center" wrapText="1"/>
    </xf>
    <xf numFmtId="0" fontId="4" fillId="2" borderId="11" xfId="0" applyFont="1" applyFill="1" applyBorder="1" applyAlignment="1">
      <alignment horizontal="center" vertical="center"/>
    </xf>
    <xf numFmtId="49" fontId="17" fillId="0" borderId="2" xfId="0" applyNumberFormat="1" applyFont="1" applyBorder="1" applyAlignment="1">
      <alignment horizontal="left" vertical="top" wrapText="1"/>
    </xf>
    <xf numFmtId="49" fontId="17" fillId="0" borderId="3" xfId="0" applyNumberFormat="1" applyFont="1" applyBorder="1" applyAlignment="1">
      <alignment horizontal="left" vertical="top" wrapText="1"/>
    </xf>
    <xf numFmtId="49" fontId="17" fillId="0" borderId="4" xfId="0" applyNumberFormat="1" applyFont="1" applyBorder="1" applyAlignment="1">
      <alignment horizontal="left" vertical="top" wrapText="1"/>
    </xf>
    <xf numFmtId="0" fontId="5" fillId="2" borderId="75" xfId="0" applyFont="1" applyFill="1" applyBorder="1" applyAlignment="1">
      <alignment horizontal="center" vertical="center"/>
    </xf>
    <xf numFmtId="0" fontId="5" fillId="2" borderId="76" xfId="0" applyFont="1" applyFill="1" applyBorder="1" applyAlignment="1">
      <alignment horizontal="center" vertical="center"/>
    </xf>
    <xf numFmtId="0" fontId="13" fillId="0" borderId="79" xfId="0" applyFont="1" applyBorder="1" applyAlignment="1">
      <alignment vertical="center"/>
    </xf>
    <xf numFmtId="0" fontId="13" fillId="0" borderId="81" xfId="0" applyFont="1" applyBorder="1" applyAlignment="1">
      <alignment horizontal="left" vertical="center" wrapText="1"/>
    </xf>
    <xf numFmtId="0" fontId="13" fillId="0" borderId="82" xfId="0" applyFont="1" applyBorder="1" applyAlignment="1">
      <alignment horizontal="left" vertical="center"/>
    </xf>
    <xf numFmtId="0" fontId="3" fillId="0" borderId="47" xfId="0" applyFont="1" applyBorder="1" applyAlignment="1">
      <alignment horizontal="center"/>
    </xf>
    <xf numFmtId="4" fontId="45" fillId="0" borderId="25" xfId="0" applyNumberFormat="1" applyFont="1" applyBorder="1" applyAlignment="1">
      <alignment horizontal="left" vertical="center" wrapText="1"/>
    </xf>
    <xf numFmtId="4" fontId="45" fillId="0" borderId="24" xfId="0" applyNumberFormat="1" applyFont="1" applyBorder="1" applyAlignment="1">
      <alignment horizontal="left" vertical="center" wrapText="1"/>
    </xf>
    <xf numFmtId="0" fontId="12" fillId="0" borderId="23" xfId="0" applyFont="1" applyBorder="1" applyAlignment="1">
      <alignment horizontal="left" vertical="center"/>
    </xf>
    <xf numFmtId="0" fontId="12" fillId="0" borderId="24" xfId="0" applyFont="1" applyBorder="1" applyAlignment="1">
      <alignment horizontal="left" vertical="center"/>
    </xf>
    <xf numFmtId="0" fontId="13" fillId="0" borderId="2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left" vertical="center" wrapText="1"/>
    </xf>
    <xf numFmtId="0" fontId="55" fillId="11" borderId="25" xfId="0" applyFont="1" applyFill="1" applyBorder="1" applyAlignment="1">
      <alignment vertical="center" wrapText="1"/>
    </xf>
    <xf numFmtId="0" fontId="55" fillId="11" borderId="24" xfId="0" applyFont="1" applyFill="1" applyBorder="1" applyAlignment="1">
      <alignment vertical="center" wrapText="1"/>
    </xf>
    <xf numFmtId="49" fontId="28" fillId="11" borderId="2" xfId="21" applyNumberFormat="1" applyFont="1" applyFill="1" applyBorder="1" applyAlignment="1">
      <alignment horizontal="left" vertical="center" wrapText="1"/>
    </xf>
    <xf numFmtId="49" fontId="32" fillId="11" borderId="3" xfId="0" applyNumberFormat="1" applyFont="1" applyFill="1" applyBorder="1" applyAlignment="1">
      <alignment horizontal="left" vertical="center" wrapText="1"/>
    </xf>
    <xf numFmtId="49" fontId="32" fillId="11" borderId="4" xfId="0" applyNumberFormat="1" applyFont="1" applyFill="1" applyBorder="1" applyAlignment="1">
      <alignment horizontal="left" vertical="center" wrapText="1"/>
    </xf>
    <xf numFmtId="0" fontId="13" fillId="11" borderId="23" xfId="0" applyFont="1" applyFill="1" applyBorder="1" applyAlignment="1">
      <alignment vertical="center"/>
    </xf>
    <xf numFmtId="0" fontId="13" fillId="11" borderId="24" xfId="0" applyFont="1" applyFill="1" applyBorder="1" applyAlignment="1">
      <alignment vertical="center"/>
    </xf>
    <xf numFmtId="49" fontId="28" fillId="0" borderId="2" xfId="21" applyNumberFormat="1" applyFont="1" applyBorder="1" applyAlignment="1">
      <alignment horizontal="left" vertical="center" wrapText="1"/>
    </xf>
    <xf numFmtId="49" fontId="32" fillId="0" borderId="3" xfId="0" applyNumberFormat="1" applyFont="1" applyBorder="1" applyAlignment="1">
      <alignment horizontal="left" vertical="center" wrapText="1"/>
    </xf>
    <xf numFmtId="49" fontId="32" fillId="0" borderId="4" xfId="0" applyNumberFormat="1"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3" xfId="0" applyFont="1" applyBorder="1" applyAlignment="1">
      <alignment vertical="center" wrapText="1"/>
    </xf>
    <xf numFmtId="0" fontId="2" fillId="0" borderId="10" xfId="0" applyFont="1" applyBorder="1" applyAlignment="1">
      <alignment vertical="center" wrapText="1"/>
    </xf>
    <xf numFmtId="42" fontId="13" fillId="0" borderId="23" xfId="0" applyNumberFormat="1" applyFont="1" applyBorder="1" applyAlignment="1">
      <alignment vertical="center"/>
    </xf>
    <xf numFmtId="42" fontId="13" fillId="0" borderId="24" xfId="0" applyNumberFormat="1" applyFont="1" applyBorder="1" applyAlignment="1">
      <alignment vertical="center"/>
    </xf>
    <xf numFmtId="42" fontId="13" fillId="0" borderId="23" xfId="0" applyNumberFormat="1" applyFont="1" applyBorder="1" applyAlignment="1">
      <alignment horizontal="left" vertical="center" wrapText="1"/>
    </xf>
    <xf numFmtId="42" fontId="13" fillId="0" borderId="24" xfId="0" applyNumberFormat="1" applyFont="1" applyBorder="1" applyAlignment="1">
      <alignment horizontal="left" vertical="center" wrapText="1"/>
    </xf>
    <xf numFmtId="42" fontId="13" fillId="0" borderId="14" xfId="0" applyNumberFormat="1" applyFont="1" applyBorder="1" applyAlignment="1">
      <alignment vertical="center"/>
    </xf>
    <xf numFmtId="0" fontId="13" fillId="0" borderId="15" xfId="0" applyFont="1" applyBorder="1" applyAlignment="1">
      <alignment vertical="center"/>
    </xf>
    <xf numFmtId="0" fontId="13" fillId="0" borderId="16" xfId="0" applyFont="1" applyBorder="1" applyAlignment="1">
      <alignment vertical="center"/>
    </xf>
    <xf numFmtId="0" fontId="55" fillId="0" borderId="11" xfId="0" applyFont="1" applyBorder="1" applyAlignment="1">
      <alignment horizontal="left" vertical="center" wrapText="1"/>
    </xf>
    <xf numFmtId="44" fontId="32" fillId="0" borderId="0" xfId="0" applyNumberFormat="1" applyFont="1" applyFill="1"/>
    <xf numFmtId="0" fontId="32" fillId="0" borderId="0" xfId="0" applyFont="1" applyFill="1" applyAlignment="1">
      <alignment horizontal="center" vertical="center"/>
    </xf>
    <xf numFmtId="4" fontId="32" fillId="0" borderId="0" xfId="0" applyNumberFormat="1" applyFont="1" applyFill="1" applyAlignment="1">
      <alignment vertical="center"/>
    </xf>
  </cellXfs>
  <cellStyles count="24">
    <cellStyle name="Hipervínculo" xfId="21" builtinId="8"/>
    <cellStyle name="Millares 2" xfId="13" xr:uid="{00000000-0005-0000-0000-000001000000}"/>
    <cellStyle name="Millares 3" xfId="17" xr:uid="{00000000-0005-0000-0000-000002000000}"/>
    <cellStyle name="Moneda" xfId="20" builtinId="4"/>
    <cellStyle name="Moneda [0]" xfId="1" builtinId="7"/>
    <cellStyle name="Moneda [0] 2" xfId="12" xr:uid="{00000000-0005-0000-0000-000005000000}"/>
    <cellStyle name="Moneda 2" xfId="15" xr:uid="{00000000-0005-0000-0000-000006000000}"/>
    <cellStyle name="Moneda 7" xfId="11" xr:uid="{00000000-0005-0000-0000-000007000000}"/>
    <cellStyle name="Moneda_FORMATO ANALISIS S.E.D" xfId="22" xr:uid="{00000000-0005-0000-0000-000008000000}"/>
    <cellStyle name="Normal" xfId="0" builtinId="0"/>
    <cellStyle name="Normal 10" xfId="18" xr:uid="{00000000-0005-0000-0000-00000A000000}"/>
    <cellStyle name="Normal 10 2" xfId="19" xr:uid="{00000000-0005-0000-0000-00000B000000}"/>
    <cellStyle name="Normal 2" xfId="4" xr:uid="{00000000-0005-0000-0000-00000C000000}"/>
    <cellStyle name="Normal 2 2 2" xfId="23" xr:uid="{00000000-0005-0000-0000-00000D000000}"/>
    <cellStyle name="Normal 2 2 2 2 2 2" xfId="7" xr:uid="{00000000-0005-0000-0000-00000E000000}"/>
    <cellStyle name="Normal 3" xfId="3" xr:uid="{00000000-0005-0000-0000-00000F000000}"/>
    <cellStyle name="Normal 4 2" xfId="5" xr:uid="{00000000-0005-0000-0000-000010000000}"/>
    <cellStyle name="Normal 4 2 7" xfId="9" xr:uid="{00000000-0005-0000-0000-000011000000}"/>
    <cellStyle name="Normal 6 3" xfId="6" xr:uid="{00000000-0005-0000-0000-000012000000}"/>
    <cellStyle name="Normal_Hoja1" xfId="14" xr:uid="{00000000-0005-0000-0000-000013000000}"/>
    <cellStyle name="Porcentaje" xfId="2" builtinId="5"/>
    <cellStyle name="Porcentaje 2" xfId="16" xr:uid="{00000000-0005-0000-0000-000015000000}"/>
    <cellStyle name="Porcentual 2 2" xfId="8" xr:uid="{00000000-0005-0000-0000-000016000000}"/>
    <cellStyle name="Porcentual 7" xfId="10" xr:uid="{00000000-0005-0000-0000-000017000000}"/>
  </cellStyles>
  <dxfs count="49">
    <dxf>
      <font>
        <color rgb="FF9C0006"/>
      </font>
      <fill>
        <patternFill>
          <bgColor rgb="FFFFC7CE"/>
        </patternFill>
      </fill>
    </dxf>
    <dxf>
      <font>
        <color auto="1"/>
      </font>
      <fill>
        <patternFill>
          <bgColor theme="0"/>
        </patternFill>
      </fill>
    </dxf>
    <dxf>
      <font>
        <color auto="1"/>
      </font>
      <fill>
        <patternFill>
          <bgColor theme="0"/>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auto="1"/>
      </font>
      <fill>
        <patternFill>
          <bgColor theme="0"/>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auto="1"/>
      </font>
      <fill>
        <patternFill>
          <bgColor theme="0"/>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auto="1"/>
      </font>
      <fill>
        <patternFill>
          <bgColor theme="0"/>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auto="1"/>
      </font>
      <fill>
        <patternFill>
          <bgColor theme="0"/>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auto="1"/>
      </font>
      <fill>
        <patternFill>
          <bgColor theme="0"/>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auto="1"/>
      </font>
      <fill>
        <patternFill>
          <bgColor theme="0"/>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rgb="FF9C0006"/>
      </font>
      <fill>
        <patternFill>
          <bgColor rgb="FFFFC7CE"/>
        </patternFill>
      </fill>
    </dxf>
    <dxf>
      <font>
        <color auto="1"/>
      </font>
      <fill>
        <patternFill>
          <bgColor theme="0"/>
        </patternFill>
      </fill>
    </dxf>
    <dxf>
      <font>
        <color auto="1"/>
      </font>
      <fill>
        <patternFill>
          <bgColor theme="0"/>
        </patternFill>
      </fill>
    </dxf>
    <dxf>
      <font>
        <color rgb="FF9C0006"/>
      </font>
      <fill>
        <patternFill>
          <bgColor rgb="FFFFC7CE"/>
        </patternFill>
      </fill>
    </dxf>
    <dxf>
      <font>
        <color auto="1"/>
      </font>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alcChain" Target="calcChain.xml"/><Relationship Id="rId50"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17.png"/><Relationship Id="rId18" Type="http://schemas.openxmlformats.org/officeDocument/2006/relationships/image" Target="../media/image22.png"/><Relationship Id="rId3" Type="http://schemas.openxmlformats.org/officeDocument/2006/relationships/image" Target="../media/image7.png"/><Relationship Id="rId7" Type="http://schemas.openxmlformats.org/officeDocument/2006/relationships/image" Target="../media/image11.png"/><Relationship Id="rId12" Type="http://schemas.openxmlformats.org/officeDocument/2006/relationships/image" Target="../media/image16.png"/><Relationship Id="rId17" Type="http://schemas.openxmlformats.org/officeDocument/2006/relationships/image" Target="../media/image21.png"/><Relationship Id="rId2" Type="http://schemas.openxmlformats.org/officeDocument/2006/relationships/image" Target="../media/image6.png"/><Relationship Id="rId16" Type="http://schemas.openxmlformats.org/officeDocument/2006/relationships/image" Target="../media/image20.png"/><Relationship Id="rId20" Type="http://schemas.openxmlformats.org/officeDocument/2006/relationships/image" Target="../media/image24.png"/><Relationship Id="rId1" Type="http://schemas.openxmlformats.org/officeDocument/2006/relationships/image" Target="../media/image3.jpeg"/><Relationship Id="rId6" Type="http://schemas.openxmlformats.org/officeDocument/2006/relationships/image" Target="../media/image10.png"/><Relationship Id="rId11" Type="http://schemas.openxmlformats.org/officeDocument/2006/relationships/image" Target="../media/image15.png"/><Relationship Id="rId5" Type="http://schemas.openxmlformats.org/officeDocument/2006/relationships/image" Target="../media/image9.png"/><Relationship Id="rId15" Type="http://schemas.openxmlformats.org/officeDocument/2006/relationships/image" Target="../media/image19.png"/><Relationship Id="rId10" Type="http://schemas.openxmlformats.org/officeDocument/2006/relationships/image" Target="../media/image14.png"/><Relationship Id="rId19" Type="http://schemas.openxmlformats.org/officeDocument/2006/relationships/image" Target="../media/image23.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18.pn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4.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30.jpeg"/><Relationship Id="rId2" Type="http://schemas.openxmlformats.org/officeDocument/2006/relationships/image" Target="../media/image25.png"/><Relationship Id="rId1" Type="http://schemas.openxmlformats.org/officeDocument/2006/relationships/image" Target="../media/image3.jpeg"/><Relationship Id="rId6" Type="http://schemas.openxmlformats.org/officeDocument/2006/relationships/image" Target="../media/image29.png"/><Relationship Id="rId5" Type="http://schemas.openxmlformats.org/officeDocument/2006/relationships/image" Target="../media/image28.jpeg"/><Relationship Id="rId4" Type="http://schemas.openxmlformats.org/officeDocument/2006/relationships/image" Target="../media/image27.png"/></Relationships>
</file>

<file path=xl/drawings/_rels/drawing15.xml.rels><?xml version="1.0" encoding="UTF-8" standalone="yes"?>
<Relationships xmlns="http://schemas.openxmlformats.org/package/2006/relationships"><Relationship Id="rId2" Type="http://schemas.openxmlformats.org/officeDocument/2006/relationships/image" Target="../media/image31.jpeg"/><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0.xml.rels><?xml version="1.0" encoding="UTF-8" standalone="yes"?>
<Relationships xmlns="http://schemas.openxmlformats.org/package/2006/relationships"><Relationship Id="rId8" Type="http://schemas.openxmlformats.org/officeDocument/2006/relationships/image" Target="../media/image35.png"/><Relationship Id="rId3" Type="http://schemas.openxmlformats.org/officeDocument/2006/relationships/image" Target="../media/image33.png"/><Relationship Id="rId7" Type="http://schemas.openxmlformats.org/officeDocument/2006/relationships/image" Target="../media/image12.png"/><Relationship Id="rId2" Type="http://schemas.openxmlformats.org/officeDocument/2006/relationships/image" Target="../media/image32.png"/><Relationship Id="rId1" Type="http://schemas.openxmlformats.org/officeDocument/2006/relationships/image" Target="../media/image3.jpeg"/><Relationship Id="rId6" Type="http://schemas.openxmlformats.org/officeDocument/2006/relationships/image" Target="../media/image11.png"/><Relationship Id="rId5" Type="http://schemas.openxmlformats.org/officeDocument/2006/relationships/image" Target="../media/image10.png"/><Relationship Id="rId10" Type="http://schemas.openxmlformats.org/officeDocument/2006/relationships/image" Target="../media/image37.png"/><Relationship Id="rId4" Type="http://schemas.openxmlformats.org/officeDocument/2006/relationships/image" Target="../media/image34.png"/><Relationship Id="rId9" Type="http://schemas.openxmlformats.org/officeDocument/2006/relationships/image" Target="../media/image36.png"/></Relationships>
</file>

<file path=xl/drawings/_rels/drawing2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3.xml.rels><?xml version="1.0" encoding="UTF-8" standalone="yes"?>
<Relationships xmlns="http://schemas.openxmlformats.org/package/2006/relationships"><Relationship Id="rId3" Type="http://schemas.openxmlformats.org/officeDocument/2006/relationships/image" Target="../media/image39.png"/><Relationship Id="rId2" Type="http://schemas.openxmlformats.org/officeDocument/2006/relationships/image" Target="../media/image38.png"/><Relationship Id="rId1" Type="http://schemas.openxmlformats.org/officeDocument/2006/relationships/image" Target="../media/image3.jpeg"/><Relationship Id="rId6" Type="http://schemas.openxmlformats.org/officeDocument/2006/relationships/image" Target="../media/image42.png"/><Relationship Id="rId5" Type="http://schemas.openxmlformats.org/officeDocument/2006/relationships/image" Target="../media/image41.png"/><Relationship Id="rId4" Type="http://schemas.openxmlformats.org/officeDocument/2006/relationships/image" Target="../media/image40.png"/></Relationships>
</file>

<file path=xl/drawings/_rels/drawing2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7.xml.rels><?xml version="1.0" encoding="UTF-8" standalone="yes"?>
<Relationships xmlns="http://schemas.openxmlformats.org/package/2006/relationships"><Relationship Id="rId3" Type="http://schemas.openxmlformats.org/officeDocument/2006/relationships/image" Target="../media/image44.png"/><Relationship Id="rId2" Type="http://schemas.openxmlformats.org/officeDocument/2006/relationships/image" Target="../media/image43.png"/><Relationship Id="rId1" Type="http://schemas.openxmlformats.org/officeDocument/2006/relationships/image" Target="../media/image3.jpeg"/><Relationship Id="rId4" Type="http://schemas.openxmlformats.org/officeDocument/2006/relationships/image" Target="../media/image45.png"/></Relationships>
</file>

<file path=xl/drawings/_rels/drawing2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0.xml.rels><?xml version="1.0" encoding="UTF-8" standalone="yes"?>
<Relationships xmlns="http://schemas.openxmlformats.org/package/2006/relationships"><Relationship Id="rId8" Type="http://schemas.openxmlformats.org/officeDocument/2006/relationships/image" Target="../media/image35.png"/><Relationship Id="rId3" Type="http://schemas.openxmlformats.org/officeDocument/2006/relationships/image" Target="../media/image33.png"/><Relationship Id="rId7" Type="http://schemas.openxmlformats.org/officeDocument/2006/relationships/image" Target="../media/image12.png"/><Relationship Id="rId2" Type="http://schemas.openxmlformats.org/officeDocument/2006/relationships/image" Target="../media/image32.png"/><Relationship Id="rId1" Type="http://schemas.openxmlformats.org/officeDocument/2006/relationships/image" Target="../media/image3.jpeg"/><Relationship Id="rId6" Type="http://schemas.openxmlformats.org/officeDocument/2006/relationships/image" Target="../media/image11.png"/><Relationship Id="rId5" Type="http://schemas.openxmlformats.org/officeDocument/2006/relationships/image" Target="../media/image10.png"/><Relationship Id="rId10" Type="http://schemas.openxmlformats.org/officeDocument/2006/relationships/image" Target="../media/image37.png"/><Relationship Id="rId4" Type="http://schemas.openxmlformats.org/officeDocument/2006/relationships/image" Target="../media/image34.png"/><Relationship Id="rId9" Type="http://schemas.openxmlformats.org/officeDocument/2006/relationships/image" Target="../media/image36.png"/></Relationships>
</file>

<file path=xl/drawings/_rels/drawing31.xml.rels><?xml version="1.0" encoding="UTF-8" standalone="yes"?>
<Relationships xmlns="http://schemas.openxmlformats.org/package/2006/relationships"><Relationship Id="rId2" Type="http://schemas.openxmlformats.org/officeDocument/2006/relationships/image" Target="../media/image46.png"/><Relationship Id="rId1" Type="http://schemas.openxmlformats.org/officeDocument/2006/relationships/image" Target="../media/image3.jpeg"/></Relationships>
</file>

<file path=xl/drawings/_rels/drawing32.xml.rels><?xml version="1.0" encoding="UTF-8" standalone="yes"?>
<Relationships xmlns="http://schemas.openxmlformats.org/package/2006/relationships"><Relationship Id="rId2" Type="http://schemas.openxmlformats.org/officeDocument/2006/relationships/image" Target="../media/image46.png"/><Relationship Id="rId1" Type="http://schemas.openxmlformats.org/officeDocument/2006/relationships/image" Target="../media/image3.jpeg"/></Relationships>
</file>

<file path=xl/drawings/_rels/drawing33.xml.rels><?xml version="1.0" encoding="UTF-8" standalone="yes"?>
<Relationships xmlns="http://schemas.openxmlformats.org/package/2006/relationships"><Relationship Id="rId3" Type="http://schemas.openxmlformats.org/officeDocument/2006/relationships/image" Target="../media/image48.png"/><Relationship Id="rId2" Type="http://schemas.openxmlformats.org/officeDocument/2006/relationships/image" Target="../media/image47.png"/><Relationship Id="rId1" Type="http://schemas.openxmlformats.org/officeDocument/2006/relationships/image" Target="../media/image3.jpeg"/><Relationship Id="rId4" Type="http://schemas.openxmlformats.org/officeDocument/2006/relationships/image" Target="../media/image49.png"/></Relationships>
</file>

<file path=xl/drawings/_rels/drawing34.xml.rels><?xml version="1.0" encoding="UTF-8" standalone="yes"?>
<Relationships xmlns="http://schemas.openxmlformats.org/package/2006/relationships"><Relationship Id="rId3" Type="http://schemas.openxmlformats.org/officeDocument/2006/relationships/image" Target="../media/image51.png"/><Relationship Id="rId2" Type="http://schemas.openxmlformats.org/officeDocument/2006/relationships/image" Target="../media/image50.png"/><Relationship Id="rId1" Type="http://schemas.openxmlformats.org/officeDocument/2006/relationships/image" Target="../media/image3.jpeg"/><Relationship Id="rId4" Type="http://schemas.openxmlformats.org/officeDocument/2006/relationships/image" Target="../media/image52.png"/></Relationships>
</file>

<file path=xl/drawings/_rels/drawing35.xml.rels><?xml version="1.0" encoding="UTF-8" standalone="yes"?>
<Relationships xmlns="http://schemas.openxmlformats.org/package/2006/relationships"><Relationship Id="rId3" Type="http://schemas.openxmlformats.org/officeDocument/2006/relationships/image" Target="../media/image54.png"/><Relationship Id="rId2" Type="http://schemas.openxmlformats.org/officeDocument/2006/relationships/image" Target="../media/image53.png"/><Relationship Id="rId1" Type="http://schemas.openxmlformats.org/officeDocument/2006/relationships/image" Target="../media/image3.jpeg"/><Relationship Id="rId4" Type="http://schemas.openxmlformats.org/officeDocument/2006/relationships/image" Target="../media/image55.png"/></Relationships>
</file>

<file path=xl/drawings/_rels/drawing36.xml.rels><?xml version="1.0" encoding="UTF-8" standalone="yes"?>
<Relationships xmlns="http://schemas.openxmlformats.org/package/2006/relationships"><Relationship Id="rId3" Type="http://schemas.openxmlformats.org/officeDocument/2006/relationships/image" Target="../media/image57.png"/><Relationship Id="rId2" Type="http://schemas.openxmlformats.org/officeDocument/2006/relationships/image" Target="../media/image56.png"/><Relationship Id="rId1" Type="http://schemas.openxmlformats.org/officeDocument/2006/relationships/image" Target="../media/image3.jpeg"/><Relationship Id="rId4" Type="http://schemas.openxmlformats.org/officeDocument/2006/relationships/image" Target="../media/image58.png"/></Relationships>
</file>

<file path=xl/drawings/_rels/drawing37.xml.rels><?xml version="1.0" encoding="UTF-8" standalone="yes"?>
<Relationships xmlns="http://schemas.openxmlformats.org/package/2006/relationships"><Relationship Id="rId3" Type="http://schemas.openxmlformats.org/officeDocument/2006/relationships/image" Target="../media/image60.png"/><Relationship Id="rId2" Type="http://schemas.openxmlformats.org/officeDocument/2006/relationships/image" Target="../media/image59.png"/><Relationship Id="rId1" Type="http://schemas.openxmlformats.org/officeDocument/2006/relationships/image" Target="../media/image3.jpeg"/><Relationship Id="rId5" Type="http://schemas.openxmlformats.org/officeDocument/2006/relationships/image" Target="../media/image62.png"/><Relationship Id="rId4" Type="http://schemas.openxmlformats.org/officeDocument/2006/relationships/image" Target="../media/image6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9.xml.rels><?xml version="1.0" encoding="UTF-8" standalone="yes"?>
<Relationships xmlns="http://schemas.openxmlformats.org/package/2006/relationships"><Relationship Id="rId3" Type="http://schemas.openxmlformats.org/officeDocument/2006/relationships/image" Target="../media/image64.png"/><Relationship Id="rId2" Type="http://schemas.openxmlformats.org/officeDocument/2006/relationships/image" Target="../media/image63.png"/><Relationship Id="rId1" Type="http://schemas.openxmlformats.org/officeDocument/2006/relationships/image" Target="../media/image3.jpeg"/><Relationship Id="rId6" Type="http://schemas.openxmlformats.org/officeDocument/2006/relationships/image" Target="../media/image67.png"/><Relationship Id="rId5" Type="http://schemas.openxmlformats.org/officeDocument/2006/relationships/image" Target="../media/image66.png"/><Relationship Id="rId4" Type="http://schemas.openxmlformats.org/officeDocument/2006/relationships/image" Target="../media/image65.png"/></Relationships>
</file>

<file path=xl/drawings/_rels/drawing40.xml.rels><?xml version="1.0" encoding="UTF-8" standalone="yes"?>
<Relationships xmlns="http://schemas.openxmlformats.org/package/2006/relationships"><Relationship Id="rId3" Type="http://schemas.openxmlformats.org/officeDocument/2006/relationships/image" Target="../media/image69.png"/><Relationship Id="rId2" Type="http://schemas.openxmlformats.org/officeDocument/2006/relationships/image" Target="../media/image68.png"/><Relationship Id="rId1" Type="http://schemas.openxmlformats.org/officeDocument/2006/relationships/image" Target="../media/image3.jpeg"/><Relationship Id="rId4" Type="http://schemas.openxmlformats.org/officeDocument/2006/relationships/image" Target="../media/image70.png"/></Relationships>
</file>

<file path=xl/drawings/drawing1.xml><?xml version="1.0" encoding="utf-8"?>
<xdr:wsDr xmlns:xdr="http://schemas.openxmlformats.org/drawingml/2006/spreadsheetDrawing" xmlns:a="http://schemas.openxmlformats.org/drawingml/2006/main">
  <xdr:twoCellAnchor editAs="oneCell">
    <xdr:from>
      <xdr:col>5</xdr:col>
      <xdr:colOff>858269</xdr:colOff>
      <xdr:row>0</xdr:row>
      <xdr:rowOff>47625</xdr:rowOff>
    </xdr:from>
    <xdr:to>
      <xdr:col>8</xdr:col>
      <xdr:colOff>106433</xdr:colOff>
      <xdr:row>0</xdr:row>
      <xdr:rowOff>863974</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43686" y="47625"/>
          <a:ext cx="1862248" cy="816349"/>
        </a:xfrm>
        <a:prstGeom prst="rect">
          <a:avLst/>
        </a:prstGeom>
      </xdr:spPr>
    </xdr:pic>
    <xdr:clientData/>
  </xdr:twoCellAnchor>
  <xdr:twoCellAnchor editAs="oneCell">
    <xdr:from>
      <xdr:col>20</xdr:col>
      <xdr:colOff>76200</xdr:colOff>
      <xdr:row>0</xdr:row>
      <xdr:rowOff>304298</xdr:rowOff>
    </xdr:from>
    <xdr:to>
      <xdr:col>28</xdr:col>
      <xdr:colOff>217559</xdr:colOff>
      <xdr:row>5</xdr:row>
      <xdr:rowOff>237669</xdr:rowOff>
    </xdr:to>
    <xdr:pic>
      <xdr:nvPicPr>
        <xdr:cNvPr id="3" name="Imagen 2">
          <a:extLst>
            <a:ext uri="{FF2B5EF4-FFF2-40B4-BE49-F238E27FC236}">
              <a16:creationId xmlns:a16="http://schemas.microsoft.com/office/drawing/2014/main" id="{3C9F2944-F2E4-44A9-B8E8-96B48CF3ED59}"/>
            </a:ext>
          </a:extLst>
        </xdr:cNvPr>
        <xdr:cNvPicPr>
          <a:picLocks noChangeAspect="1"/>
        </xdr:cNvPicPr>
      </xdr:nvPicPr>
      <xdr:blipFill>
        <a:blip xmlns:r="http://schemas.openxmlformats.org/officeDocument/2006/relationships" r:embed="rId2"/>
        <a:stretch>
          <a:fillRect/>
        </a:stretch>
      </xdr:blipFill>
      <xdr:spPr>
        <a:xfrm>
          <a:off x="21145500" y="304298"/>
          <a:ext cx="6380234" cy="19145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855095</xdr:colOff>
      <xdr:row>0</xdr:row>
      <xdr:rowOff>47625</xdr:rowOff>
    </xdr:from>
    <xdr:ext cx="1593816" cy="904875"/>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36695" y="47625"/>
          <a:ext cx="1593816" cy="904875"/>
        </a:xfrm>
        <a:prstGeom prst="rect">
          <a:avLst/>
        </a:prstGeom>
      </xdr:spPr>
    </xdr:pic>
    <xdr:clientData/>
  </xdr:oneCellAnchor>
  <xdr:oneCellAnchor>
    <xdr:from>
      <xdr:col>12</xdr:col>
      <xdr:colOff>855095</xdr:colOff>
      <xdr:row>0</xdr:row>
      <xdr:rowOff>47625</xdr:rowOff>
    </xdr:from>
    <xdr:ext cx="1593816" cy="904875"/>
    <xdr:pic>
      <xdr:nvPicPr>
        <xdr:cNvPr id="5" name="Imagen 4">
          <a:extLst>
            <a:ext uri="{FF2B5EF4-FFF2-40B4-BE49-F238E27FC236}">
              <a16:creationId xmlns:a16="http://schemas.microsoft.com/office/drawing/2014/main" id="{8F3E8766-2B67-4C90-9DAF-8EED4D4619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43419" y="47625"/>
          <a:ext cx="1593816" cy="904875"/>
        </a:xfrm>
        <a:prstGeom prst="rect">
          <a:avLst/>
        </a:prstGeom>
      </xdr:spPr>
    </xdr:pic>
    <xdr:clientData/>
  </xdr:oneCellAnchor>
  <xdr:oneCellAnchor>
    <xdr:from>
      <xdr:col>20</xdr:col>
      <xdr:colOff>855095</xdr:colOff>
      <xdr:row>0</xdr:row>
      <xdr:rowOff>47625</xdr:rowOff>
    </xdr:from>
    <xdr:ext cx="1593816" cy="904875"/>
    <xdr:pic>
      <xdr:nvPicPr>
        <xdr:cNvPr id="6" name="Imagen 5">
          <a:extLst>
            <a:ext uri="{FF2B5EF4-FFF2-40B4-BE49-F238E27FC236}">
              <a16:creationId xmlns:a16="http://schemas.microsoft.com/office/drawing/2014/main" id="{229D28EE-E120-4BE9-B2E0-604835ACD5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00080" y="47625"/>
          <a:ext cx="1593816" cy="90487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8</xdr:col>
      <xdr:colOff>438375</xdr:colOff>
      <xdr:row>0</xdr:row>
      <xdr:rowOff>119343</xdr:rowOff>
    </xdr:from>
    <xdr:to>
      <xdr:col>10</xdr:col>
      <xdr:colOff>464775</xdr:colOff>
      <xdr:row>0</xdr:row>
      <xdr:rowOff>1104900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82275" y="119343"/>
          <a:ext cx="2251534" cy="98555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438375</xdr:colOff>
      <xdr:row>0</xdr:row>
      <xdr:rowOff>119343</xdr:rowOff>
    </xdr:from>
    <xdr:to>
      <xdr:col>10</xdr:col>
      <xdr:colOff>586615</xdr:colOff>
      <xdr:row>0</xdr:row>
      <xdr:rowOff>1104900</xdr:rowOff>
    </xdr:to>
    <xdr:pic>
      <xdr:nvPicPr>
        <xdr:cNvPr id="2" name="Imagen 1">
          <a:extLst>
            <a:ext uri="{FF2B5EF4-FFF2-40B4-BE49-F238E27FC236}">
              <a16:creationId xmlns:a16="http://schemas.microsoft.com/office/drawing/2014/main" id="{D7F32FB5-0C0D-450F-8945-BEC21C218C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77400" y="119343"/>
          <a:ext cx="2253265" cy="9855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438375</xdr:colOff>
      <xdr:row>0</xdr:row>
      <xdr:rowOff>119343</xdr:rowOff>
    </xdr:from>
    <xdr:to>
      <xdr:col>10</xdr:col>
      <xdr:colOff>653290</xdr:colOff>
      <xdr:row>0</xdr:row>
      <xdr:rowOff>1104900</xdr:rowOff>
    </xdr:to>
    <xdr:pic>
      <xdr:nvPicPr>
        <xdr:cNvPr id="2" name="Imagen 1">
          <a:extLst>
            <a:ext uri="{FF2B5EF4-FFF2-40B4-BE49-F238E27FC236}">
              <a16:creationId xmlns:a16="http://schemas.microsoft.com/office/drawing/2014/main" id="{2295C4FE-452B-4638-9EDF-317C1911A6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77400" y="119343"/>
          <a:ext cx="2253265" cy="98555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1055120</xdr:colOff>
      <xdr:row>0</xdr:row>
      <xdr:rowOff>57151</xdr:rowOff>
    </xdr:from>
    <xdr:to>
      <xdr:col>1</xdr:col>
      <xdr:colOff>781050</xdr:colOff>
      <xdr:row>0</xdr:row>
      <xdr:rowOff>895350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5120" y="57151"/>
          <a:ext cx="1440430" cy="838199"/>
        </a:xfrm>
        <a:prstGeom prst="rect">
          <a:avLst/>
        </a:prstGeom>
      </xdr:spPr>
    </xdr:pic>
    <xdr:clientData/>
  </xdr:twoCellAnchor>
  <xdr:twoCellAnchor editAs="oneCell">
    <xdr:from>
      <xdr:col>7</xdr:col>
      <xdr:colOff>638175</xdr:colOff>
      <xdr:row>0</xdr:row>
      <xdr:rowOff>234190</xdr:rowOff>
    </xdr:from>
    <xdr:to>
      <xdr:col>20</xdr:col>
      <xdr:colOff>626382</xdr:colOff>
      <xdr:row>15</xdr:row>
      <xdr:rowOff>27542</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7867650" y="234190"/>
          <a:ext cx="9894207" cy="4508227"/>
        </a:xfrm>
        <a:prstGeom prst="rect">
          <a:avLst/>
        </a:prstGeom>
      </xdr:spPr>
    </xdr:pic>
    <xdr:clientData/>
  </xdr:twoCellAnchor>
  <xdr:twoCellAnchor editAs="oneCell">
    <xdr:from>
      <xdr:col>9</xdr:col>
      <xdr:colOff>123824</xdr:colOff>
      <xdr:row>16</xdr:row>
      <xdr:rowOff>78706</xdr:rowOff>
    </xdr:from>
    <xdr:to>
      <xdr:col>17</xdr:col>
      <xdr:colOff>722623</xdr:colOff>
      <xdr:row>35</xdr:row>
      <xdr:rowOff>142044</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8877299" y="5003131"/>
          <a:ext cx="6694799" cy="435911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1055120</xdr:colOff>
      <xdr:row>0</xdr:row>
      <xdr:rowOff>57151</xdr:rowOff>
    </xdr:from>
    <xdr:to>
      <xdr:col>1</xdr:col>
      <xdr:colOff>781050</xdr:colOff>
      <xdr:row>0</xdr:row>
      <xdr:rowOff>895350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5120" y="57151"/>
          <a:ext cx="1440430" cy="838199"/>
        </a:xfrm>
        <a:prstGeom prst="rect">
          <a:avLst/>
        </a:prstGeom>
      </xdr:spPr>
    </xdr:pic>
    <xdr:clientData/>
  </xdr:twoCellAnchor>
  <xdr:twoCellAnchor editAs="oneCell">
    <xdr:from>
      <xdr:col>11</xdr:col>
      <xdr:colOff>418609</xdr:colOff>
      <xdr:row>0</xdr:row>
      <xdr:rowOff>601687</xdr:rowOff>
    </xdr:from>
    <xdr:to>
      <xdr:col>17</xdr:col>
      <xdr:colOff>722656</xdr:colOff>
      <xdr:row>6</xdr:row>
      <xdr:rowOff>49023</xdr:rowOff>
    </xdr:to>
    <xdr:pic>
      <xdr:nvPicPr>
        <xdr:cNvPr id="6" name="Imagen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2"/>
        <a:stretch>
          <a:fillRect/>
        </a:stretch>
      </xdr:blipFill>
      <xdr:spPr>
        <a:xfrm>
          <a:off x="11266718" y="601687"/>
          <a:ext cx="5042304" cy="2778824"/>
        </a:xfrm>
        <a:prstGeom prst="rect">
          <a:avLst/>
        </a:prstGeom>
      </xdr:spPr>
    </xdr:pic>
    <xdr:clientData/>
  </xdr:twoCellAnchor>
  <xdr:twoCellAnchor editAs="oneCell">
    <xdr:from>
      <xdr:col>21</xdr:col>
      <xdr:colOff>98079</xdr:colOff>
      <xdr:row>0</xdr:row>
      <xdr:rowOff>498763</xdr:rowOff>
    </xdr:from>
    <xdr:to>
      <xdr:col>27</xdr:col>
      <xdr:colOff>498765</xdr:colOff>
      <xdr:row>5</xdr:row>
      <xdr:rowOff>726891</xdr:rowOff>
    </xdr:to>
    <xdr:pic>
      <xdr:nvPicPr>
        <xdr:cNvPr id="7" name="Imagen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3"/>
        <a:stretch>
          <a:fillRect/>
        </a:stretch>
      </xdr:blipFill>
      <xdr:spPr>
        <a:xfrm>
          <a:off x="18843279" y="498763"/>
          <a:ext cx="5138940" cy="2589351"/>
        </a:xfrm>
        <a:prstGeom prst="rect">
          <a:avLst/>
        </a:prstGeom>
      </xdr:spPr>
    </xdr:pic>
    <xdr:clientData/>
  </xdr:twoCellAnchor>
  <xdr:twoCellAnchor editAs="oneCell">
    <xdr:from>
      <xdr:col>18</xdr:col>
      <xdr:colOff>0</xdr:colOff>
      <xdr:row>0</xdr:row>
      <xdr:rowOff>429492</xdr:rowOff>
    </xdr:from>
    <xdr:to>
      <xdr:col>20</xdr:col>
      <xdr:colOff>717861</xdr:colOff>
      <xdr:row>5</xdr:row>
      <xdr:rowOff>862039</xdr:rowOff>
    </xdr:to>
    <xdr:pic>
      <xdr:nvPicPr>
        <xdr:cNvPr id="8" name="Imagen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4"/>
        <a:stretch>
          <a:fillRect/>
        </a:stretch>
      </xdr:blipFill>
      <xdr:spPr>
        <a:xfrm>
          <a:off x="16376073" y="429492"/>
          <a:ext cx="2297278" cy="2798618"/>
        </a:xfrm>
        <a:prstGeom prst="rect">
          <a:avLst/>
        </a:prstGeom>
      </xdr:spPr>
    </xdr:pic>
    <xdr:clientData/>
  </xdr:twoCellAnchor>
  <xdr:twoCellAnchor editAs="oneCell">
    <xdr:from>
      <xdr:col>13</xdr:col>
      <xdr:colOff>444553</xdr:colOff>
      <xdr:row>19</xdr:row>
      <xdr:rowOff>115981</xdr:rowOff>
    </xdr:from>
    <xdr:to>
      <xdr:col>21</xdr:col>
      <xdr:colOff>175811</xdr:colOff>
      <xdr:row>25</xdr:row>
      <xdr:rowOff>38212</xdr:rowOff>
    </xdr:to>
    <xdr:pic>
      <xdr:nvPicPr>
        <xdr:cNvPr id="9" name="Imagen 8">
          <a:extLst>
            <a:ext uri="{FF2B5EF4-FFF2-40B4-BE49-F238E27FC236}">
              <a16:creationId xmlns:a16="http://schemas.microsoft.com/office/drawing/2014/main" id="{00000000-0008-0000-0600-000009000000}"/>
            </a:ext>
            <a:ext uri="{147F2762-F138-4A5C-976F-8EAC2B608ADB}">
              <a16:predDERef xmlns:a16="http://schemas.microsoft.com/office/drawing/2014/main" pred="{3C67B72C-3E11-4188-4404-E77EB2665129}"/>
            </a:ext>
          </a:extLst>
        </xdr:cNvPr>
        <xdr:cNvPicPr>
          <a:picLocks noChangeAspect="1"/>
        </xdr:cNvPicPr>
      </xdr:nvPicPr>
      <xdr:blipFill>
        <a:blip xmlns:r="http://schemas.openxmlformats.org/officeDocument/2006/relationships" r:embed="rId5"/>
        <a:stretch>
          <a:fillRect/>
        </a:stretch>
      </xdr:blipFill>
      <xdr:spPr>
        <a:xfrm>
          <a:off x="12569878" y="5745256"/>
          <a:ext cx="5827258" cy="1331931"/>
        </a:xfrm>
        <a:prstGeom prst="rect">
          <a:avLst/>
        </a:prstGeom>
      </xdr:spPr>
    </xdr:pic>
    <xdr:clientData/>
  </xdr:twoCellAnchor>
  <xdr:twoCellAnchor editAs="oneCell">
    <xdr:from>
      <xdr:col>11</xdr:col>
      <xdr:colOff>642084</xdr:colOff>
      <xdr:row>36</xdr:row>
      <xdr:rowOff>85187</xdr:rowOff>
    </xdr:from>
    <xdr:to>
      <xdr:col>15</xdr:col>
      <xdr:colOff>459398</xdr:colOff>
      <xdr:row>48</xdr:row>
      <xdr:rowOff>70298</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6"/>
        <a:stretch>
          <a:fillRect/>
        </a:stretch>
      </xdr:blipFill>
      <xdr:spPr>
        <a:xfrm>
          <a:off x="11245386" y="9978607"/>
          <a:ext cx="2872503" cy="2509056"/>
        </a:xfrm>
        <a:prstGeom prst="rect">
          <a:avLst/>
        </a:prstGeom>
      </xdr:spPr>
    </xdr:pic>
    <xdr:clientData/>
  </xdr:twoCellAnchor>
  <xdr:twoCellAnchor editAs="oneCell">
    <xdr:from>
      <xdr:col>15</xdr:col>
      <xdr:colOff>577509</xdr:colOff>
      <xdr:row>36</xdr:row>
      <xdr:rowOff>74802</xdr:rowOff>
    </xdr:from>
    <xdr:to>
      <xdr:col>22</xdr:col>
      <xdr:colOff>77718</xdr:colOff>
      <xdr:row>48</xdr:row>
      <xdr:rowOff>186241</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7"/>
        <a:stretch>
          <a:fillRect/>
        </a:stretch>
      </xdr:blipFill>
      <xdr:spPr>
        <a:xfrm>
          <a:off x="14236000" y="9968222"/>
          <a:ext cx="4846789" cy="2635384"/>
        </a:xfrm>
        <a:prstGeom prst="rect">
          <a:avLst/>
        </a:prstGeom>
      </xdr:spPr>
    </xdr:pic>
    <xdr:clientData/>
  </xdr:twoCellAnchor>
  <xdr:twoCellAnchor editAs="oneCell">
    <xdr:from>
      <xdr:col>22</xdr:col>
      <xdr:colOff>171960</xdr:colOff>
      <xdr:row>35</xdr:row>
      <xdr:rowOff>13854</xdr:rowOff>
    </xdr:from>
    <xdr:to>
      <xdr:col>27</xdr:col>
      <xdr:colOff>499462</xdr:colOff>
      <xdr:row>48</xdr:row>
      <xdr:rowOff>44469</xdr:rowOff>
    </xdr:to>
    <xdr:pic>
      <xdr:nvPicPr>
        <xdr:cNvPr id="5" name="Imagen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8"/>
        <a:stretch>
          <a:fillRect/>
        </a:stretch>
      </xdr:blipFill>
      <xdr:spPr>
        <a:xfrm>
          <a:off x="19886913" y="9700599"/>
          <a:ext cx="4146488" cy="2762313"/>
        </a:xfrm>
        <a:prstGeom prst="rect">
          <a:avLst/>
        </a:prstGeom>
      </xdr:spPr>
    </xdr:pic>
    <xdr:clientData/>
  </xdr:twoCellAnchor>
  <xdr:twoCellAnchor editAs="oneCell">
    <xdr:from>
      <xdr:col>11</xdr:col>
      <xdr:colOff>468085</xdr:colOff>
      <xdr:row>50</xdr:row>
      <xdr:rowOff>133290</xdr:rowOff>
    </xdr:from>
    <xdr:to>
      <xdr:col>15</xdr:col>
      <xdr:colOff>87087</xdr:colOff>
      <xdr:row>62</xdr:row>
      <xdr:rowOff>90350</xdr:rowOff>
    </xdr:to>
    <xdr:pic>
      <xdr:nvPicPr>
        <xdr:cNvPr id="10" name="Imagen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9"/>
        <a:stretch>
          <a:fillRect/>
        </a:stretch>
      </xdr:blipFill>
      <xdr:spPr>
        <a:xfrm>
          <a:off x="11375571" y="11987833"/>
          <a:ext cx="2754087" cy="2047117"/>
        </a:xfrm>
        <a:prstGeom prst="rect">
          <a:avLst/>
        </a:prstGeom>
      </xdr:spPr>
    </xdr:pic>
    <xdr:clientData/>
  </xdr:twoCellAnchor>
  <xdr:twoCellAnchor editAs="oneCell">
    <xdr:from>
      <xdr:col>15</xdr:col>
      <xdr:colOff>631372</xdr:colOff>
      <xdr:row>51</xdr:row>
      <xdr:rowOff>32660</xdr:rowOff>
    </xdr:from>
    <xdr:to>
      <xdr:col>17</xdr:col>
      <xdr:colOff>163973</xdr:colOff>
      <xdr:row>64</xdr:row>
      <xdr:rowOff>223</xdr:rowOff>
    </xdr:to>
    <xdr:pic>
      <xdr:nvPicPr>
        <xdr:cNvPr id="11" name="Imagen 10">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10"/>
        <a:stretch>
          <a:fillRect/>
        </a:stretch>
      </xdr:blipFill>
      <xdr:spPr>
        <a:xfrm>
          <a:off x="14673943" y="12061374"/>
          <a:ext cx="1100144" cy="2231570"/>
        </a:xfrm>
        <a:prstGeom prst="rect">
          <a:avLst/>
        </a:prstGeom>
      </xdr:spPr>
    </xdr:pic>
    <xdr:clientData/>
  </xdr:twoCellAnchor>
  <xdr:twoCellAnchor editAs="oneCell">
    <xdr:from>
      <xdr:col>17</xdr:col>
      <xdr:colOff>464820</xdr:colOff>
      <xdr:row>51</xdr:row>
      <xdr:rowOff>10346</xdr:rowOff>
    </xdr:from>
    <xdr:to>
      <xdr:col>21</xdr:col>
      <xdr:colOff>191707</xdr:colOff>
      <xdr:row>64</xdr:row>
      <xdr:rowOff>14293</xdr:rowOff>
    </xdr:to>
    <xdr:pic>
      <xdr:nvPicPr>
        <xdr:cNvPr id="13" name="Imagen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11"/>
        <a:stretch>
          <a:fillRect/>
        </a:stretch>
      </xdr:blipFill>
      <xdr:spPr>
        <a:xfrm>
          <a:off x="16078200" y="12004226"/>
          <a:ext cx="2866327" cy="2282329"/>
        </a:xfrm>
        <a:prstGeom prst="rect">
          <a:avLst/>
        </a:prstGeom>
      </xdr:spPr>
    </xdr:pic>
    <xdr:clientData/>
  </xdr:twoCellAnchor>
  <xdr:twoCellAnchor editAs="oneCell">
    <xdr:from>
      <xdr:col>10</xdr:col>
      <xdr:colOff>827880</xdr:colOff>
      <xdr:row>67</xdr:row>
      <xdr:rowOff>29372</xdr:rowOff>
    </xdr:from>
    <xdr:to>
      <xdr:col>13</xdr:col>
      <xdr:colOff>359434</xdr:colOff>
      <xdr:row>82</xdr:row>
      <xdr:rowOff>91244</xdr:rowOff>
    </xdr:to>
    <xdr:pic>
      <xdr:nvPicPr>
        <xdr:cNvPr id="14" name="Imagen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12"/>
        <a:stretch>
          <a:fillRect/>
        </a:stretch>
      </xdr:blipFill>
      <xdr:spPr>
        <a:xfrm>
          <a:off x="11224507" y="16374631"/>
          <a:ext cx="1975705" cy="3161990"/>
        </a:xfrm>
        <a:prstGeom prst="rect">
          <a:avLst/>
        </a:prstGeom>
      </xdr:spPr>
    </xdr:pic>
    <xdr:clientData/>
  </xdr:twoCellAnchor>
  <xdr:twoCellAnchor editAs="oneCell">
    <xdr:from>
      <xdr:col>17</xdr:col>
      <xdr:colOff>194042</xdr:colOff>
      <xdr:row>67</xdr:row>
      <xdr:rowOff>32732</xdr:rowOff>
    </xdr:from>
    <xdr:to>
      <xdr:col>21</xdr:col>
      <xdr:colOff>386390</xdr:colOff>
      <xdr:row>80</xdr:row>
      <xdr:rowOff>109731</xdr:rowOff>
    </xdr:to>
    <xdr:pic>
      <xdr:nvPicPr>
        <xdr:cNvPr id="16" name="Imagen 15">
          <a:extLst>
            <a:ext uri="{FF2B5EF4-FFF2-40B4-BE49-F238E27FC236}">
              <a16:creationId xmlns:a16="http://schemas.microsoft.com/office/drawing/2014/main" id="{00000000-0008-0000-0600-000010000000}"/>
            </a:ext>
          </a:extLst>
        </xdr:cNvPr>
        <xdr:cNvPicPr>
          <a:picLocks noChangeAspect="1"/>
        </xdr:cNvPicPr>
      </xdr:nvPicPr>
      <xdr:blipFill>
        <a:blip xmlns:r="http://schemas.openxmlformats.org/officeDocument/2006/relationships" r:embed="rId13"/>
        <a:stretch>
          <a:fillRect/>
        </a:stretch>
      </xdr:blipFill>
      <xdr:spPr>
        <a:xfrm>
          <a:off x="16090009" y="16377991"/>
          <a:ext cx="3247537" cy="2763768"/>
        </a:xfrm>
        <a:prstGeom prst="rect">
          <a:avLst/>
        </a:prstGeom>
      </xdr:spPr>
    </xdr:pic>
    <xdr:clientData/>
  </xdr:twoCellAnchor>
  <xdr:twoCellAnchor editAs="oneCell">
    <xdr:from>
      <xdr:col>11</xdr:col>
      <xdr:colOff>642258</xdr:colOff>
      <xdr:row>85</xdr:row>
      <xdr:rowOff>170403</xdr:rowOff>
    </xdr:from>
    <xdr:to>
      <xdr:col>15</xdr:col>
      <xdr:colOff>573141</xdr:colOff>
      <xdr:row>97</xdr:row>
      <xdr:rowOff>108856</xdr:rowOff>
    </xdr:to>
    <xdr:pic>
      <xdr:nvPicPr>
        <xdr:cNvPr id="17" name="Imagen 16">
          <a:extLst>
            <a:ext uri="{FF2B5EF4-FFF2-40B4-BE49-F238E27FC236}">
              <a16:creationId xmlns:a16="http://schemas.microsoft.com/office/drawing/2014/main" id="{00000000-0008-0000-0600-000011000000}"/>
            </a:ext>
          </a:extLst>
        </xdr:cNvPr>
        <xdr:cNvPicPr>
          <a:picLocks noChangeAspect="1"/>
        </xdr:cNvPicPr>
      </xdr:nvPicPr>
      <xdr:blipFill>
        <a:blip xmlns:r="http://schemas.openxmlformats.org/officeDocument/2006/relationships" r:embed="rId14"/>
        <a:stretch>
          <a:fillRect/>
        </a:stretch>
      </xdr:blipFill>
      <xdr:spPr>
        <a:xfrm>
          <a:off x="11549744" y="18120946"/>
          <a:ext cx="3065968" cy="2028511"/>
        </a:xfrm>
        <a:prstGeom prst="rect">
          <a:avLst/>
        </a:prstGeom>
      </xdr:spPr>
    </xdr:pic>
    <xdr:clientData/>
  </xdr:twoCellAnchor>
  <xdr:twoCellAnchor editAs="oneCell">
    <xdr:from>
      <xdr:col>15</xdr:col>
      <xdr:colOff>745672</xdr:colOff>
      <xdr:row>85</xdr:row>
      <xdr:rowOff>97972</xdr:rowOff>
    </xdr:from>
    <xdr:to>
      <xdr:col>19</xdr:col>
      <xdr:colOff>239485</xdr:colOff>
      <xdr:row>97</xdr:row>
      <xdr:rowOff>74724</xdr:rowOff>
    </xdr:to>
    <xdr:pic>
      <xdr:nvPicPr>
        <xdr:cNvPr id="18" name="Imagen 17">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15"/>
        <a:stretch>
          <a:fillRect/>
        </a:stretch>
      </xdr:blipFill>
      <xdr:spPr>
        <a:xfrm>
          <a:off x="14788243" y="18048515"/>
          <a:ext cx="2628899" cy="2066810"/>
        </a:xfrm>
        <a:prstGeom prst="rect">
          <a:avLst/>
        </a:prstGeom>
      </xdr:spPr>
    </xdr:pic>
    <xdr:clientData/>
  </xdr:twoCellAnchor>
  <xdr:twoCellAnchor editAs="oneCell">
    <xdr:from>
      <xdr:col>19</xdr:col>
      <xdr:colOff>631371</xdr:colOff>
      <xdr:row>84</xdr:row>
      <xdr:rowOff>117451</xdr:rowOff>
    </xdr:from>
    <xdr:to>
      <xdr:col>23</xdr:col>
      <xdr:colOff>450200</xdr:colOff>
      <xdr:row>98</xdr:row>
      <xdr:rowOff>138403</xdr:rowOff>
    </xdr:to>
    <xdr:pic>
      <xdr:nvPicPr>
        <xdr:cNvPr id="19" name="Imagen 18">
          <a:extLst>
            <a:ext uri="{FF2B5EF4-FFF2-40B4-BE49-F238E27FC236}">
              <a16:creationId xmlns:a16="http://schemas.microsoft.com/office/drawing/2014/main" id="{00000000-0008-0000-0600-000013000000}"/>
            </a:ext>
          </a:extLst>
        </xdr:cNvPr>
        <xdr:cNvPicPr>
          <a:picLocks noChangeAspect="1"/>
        </xdr:cNvPicPr>
      </xdr:nvPicPr>
      <xdr:blipFill>
        <a:blip xmlns:r="http://schemas.openxmlformats.org/officeDocument/2006/relationships" r:embed="rId16"/>
        <a:stretch>
          <a:fillRect/>
        </a:stretch>
      </xdr:blipFill>
      <xdr:spPr>
        <a:xfrm>
          <a:off x="17809028" y="17893822"/>
          <a:ext cx="2953915" cy="2459353"/>
        </a:xfrm>
        <a:prstGeom prst="rect">
          <a:avLst/>
        </a:prstGeom>
      </xdr:spPr>
    </xdr:pic>
    <xdr:clientData/>
  </xdr:twoCellAnchor>
  <xdr:twoCellAnchor editAs="oneCell">
    <xdr:from>
      <xdr:col>11</xdr:col>
      <xdr:colOff>653144</xdr:colOff>
      <xdr:row>102</xdr:row>
      <xdr:rowOff>78949</xdr:rowOff>
    </xdr:from>
    <xdr:to>
      <xdr:col>16</xdr:col>
      <xdr:colOff>391887</xdr:colOff>
      <xdr:row>116</xdr:row>
      <xdr:rowOff>63165</xdr:rowOff>
    </xdr:to>
    <xdr:pic>
      <xdr:nvPicPr>
        <xdr:cNvPr id="20" name="Imagen 19">
          <a:extLst>
            <a:ext uri="{FF2B5EF4-FFF2-40B4-BE49-F238E27FC236}">
              <a16:creationId xmlns:a16="http://schemas.microsoft.com/office/drawing/2014/main" id="{00000000-0008-0000-0600-000014000000}"/>
            </a:ext>
          </a:extLst>
        </xdr:cNvPr>
        <xdr:cNvPicPr>
          <a:picLocks noChangeAspect="1"/>
        </xdr:cNvPicPr>
      </xdr:nvPicPr>
      <xdr:blipFill>
        <a:blip xmlns:r="http://schemas.openxmlformats.org/officeDocument/2006/relationships" r:embed="rId17"/>
        <a:stretch>
          <a:fillRect/>
        </a:stretch>
      </xdr:blipFill>
      <xdr:spPr>
        <a:xfrm>
          <a:off x="11560630" y="20990406"/>
          <a:ext cx="3657600" cy="2422618"/>
        </a:xfrm>
        <a:prstGeom prst="rect">
          <a:avLst/>
        </a:prstGeom>
      </xdr:spPr>
    </xdr:pic>
    <xdr:clientData/>
  </xdr:twoCellAnchor>
  <xdr:twoCellAnchor editAs="oneCell">
    <xdr:from>
      <xdr:col>21</xdr:col>
      <xdr:colOff>190500</xdr:colOff>
      <xdr:row>101</xdr:row>
      <xdr:rowOff>119027</xdr:rowOff>
    </xdr:from>
    <xdr:to>
      <xdr:col>25</xdr:col>
      <xdr:colOff>316352</xdr:colOff>
      <xdr:row>116</xdr:row>
      <xdr:rowOff>133348</xdr:rowOff>
    </xdr:to>
    <xdr:pic>
      <xdr:nvPicPr>
        <xdr:cNvPr id="22" name="Imagen 21">
          <a:extLst>
            <a:ext uri="{FF2B5EF4-FFF2-40B4-BE49-F238E27FC236}">
              <a16:creationId xmlns:a16="http://schemas.microsoft.com/office/drawing/2014/main" id="{00000000-0008-0000-0600-000016000000}"/>
            </a:ext>
          </a:extLst>
        </xdr:cNvPr>
        <xdr:cNvPicPr>
          <a:picLocks noChangeAspect="1"/>
        </xdr:cNvPicPr>
      </xdr:nvPicPr>
      <xdr:blipFill>
        <a:blip xmlns:r="http://schemas.openxmlformats.org/officeDocument/2006/relationships" r:embed="rId18"/>
        <a:stretch>
          <a:fillRect/>
        </a:stretch>
      </xdr:blipFill>
      <xdr:spPr>
        <a:xfrm>
          <a:off x="18897600" y="20731127"/>
          <a:ext cx="3250052" cy="2586073"/>
        </a:xfrm>
        <a:prstGeom prst="rect">
          <a:avLst/>
        </a:prstGeom>
      </xdr:spPr>
    </xdr:pic>
    <xdr:clientData/>
  </xdr:twoCellAnchor>
  <xdr:twoCellAnchor editAs="oneCell">
    <xdr:from>
      <xdr:col>16</xdr:col>
      <xdr:colOff>783770</xdr:colOff>
      <xdr:row>104</xdr:row>
      <xdr:rowOff>97971</xdr:rowOff>
    </xdr:from>
    <xdr:to>
      <xdr:col>20</xdr:col>
      <xdr:colOff>707571</xdr:colOff>
      <xdr:row>116</xdr:row>
      <xdr:rowOff>69000</xdr:rowOff>
    </xdr:to>
    <xdr:pic>
      <xdr:nvPicPr>
        <xdr:cNvPr id="23" name="Imagen 22">
          <a:extLst>
            <a:ext uri="{FF2B5EF4-FFF2-40B4-BE49-F238E27FC236}">
              <a16:creationId xmlns:a16="http://schemas.microsoft.com/office/drawing/2014/main" id="{00000000-0008-0000-0600-000017000000}"/>
            </a:ext>
          </a:extLst>
        </xdr:cNvPr>
        <xdr:cNvPicPr>
          <a:picLocks noChangeAspect="1"/>
        </xdr:cNvPicPr>
      </xdr:nvPicPr>
      <xdr:blipFill>
        <a:blip xmlns:r="http://schemas.openxmlformats.org/officeDocument/2006/relationships" r:embed="rId19"/>
        <a:stretch>
          <a:fillRect/>
        </a:stretch>
      </xdr:blipFill>
      <xdr:spPr>
        <a:xfrm>
          <a:off x="15610113" y="21357771"/>
          <a:ext cx="3058887" cy="2061087"/>
        </a:xfrm>
        <a:prstGeom prst="rect">
          <a:avLst/>
        </a:prstGeom>
      </xdr:spPr>
    </xdr:pic>
    <xdr:clientData/>
  </xdr:twoCellAnchor>
  <xdr:twoCellAnchor editAs="oneCell">
    <xdr:from>
      <xdr:col>13</xdr:col>
      <xdr:colOff>575095</xdr:colOff>
      <xdr:row>66</xdr:row>
      <xdr:rowOff>138959</xdr:rowOff>
    </xdr:from>
    <xdr:to>
      <xdr:col>16</xdr:col>
      <xdr:colOff>566109</xdr:colOff>
      <xdr:row>82</xdr:row>
      <xdr:rowOff>166110</xdr:rowOff>
    </xdr:to>
    <xdr:pic>
      <xdr:nvPicPr>
        <xdr:cNvPr id="12" name="Imagen 11">
          <a:extLst>
            <a:ext uri="{FF2B5EF4-FFF2-40B4-BE49-F238E27FC236}">
              <a16:creationId xmlns:a16="http://schemas.microsoft.com/office/drawing/2014/main" id="{5D8EA346-B1E9-4CC0-9FDC-33ED9FAA860E}"/>
            </a:ext>
          </a:extLst>
        </xdr:cNvPr>
        <xdr:cNvPicPr>
          <a:picLocks noChangeAspect="1"/>
        </xdr:cNvPicPr>
      </xdr:nvPicPr>
      <xdr:blipFill>
        <a:blip xmlns:r="http://schemas.openxmlformats.org/officeDocument/2006/relationships" r:embed="rId20"/>
        <a:stretch>
          <a:fillRect/>
        </a:stretch>
      </xdr:blipFill>
      <xdr:spPr>
        <a:xfrm>
          <a:off x="13415873" y="16277544"/>
          <a:ext cx="2282406" cy="33339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twoCellAnchor editAs="oneCell">
    <xdr:from>
      <xdr:col>13</xdr:col>
      <xdr:colOff>285750</xdr:colOff>
      <xdr:row>4</xdr:row>
      <xdr:rowOff>104775</xdr:rowOff>
    </xdr:from>
    <xdr:to>
      <xdr:col>17</xdr:col>
      <xdr:colOff>666750</xdr:colOff>
      <xdr:row>15</xdr:row>
      <xdr:rowOff>41874</xdr:rowOff>
    </xdr:to>
    <xdr:pic>
      <xdr:nvPicPr>
        <xdr:cNvPr id="4" name="Imagen 3">
          <a:extLst>
            <a:ext uri="{FF2B5EF4-FFF2-40B4-BE49-F238E27FC236}">
              <a16:creationId xmlns:a16="http://schemas.microsoft.com/office/drawing/2014/main" id="{00000000-0008-0000-0D00-000004000000}"/>
            </a:ext>
            <a:ext uri="{147F2762-F138-4A5C-976F-8EAC2B608ADB}">
              <a16:predDERef xmlns:a16="http://schemas.microsoft.com/office/drawing/2014/main" pred="{00000000-0008-0000-1400-000002000000}"/>
            </a:ext>
          </a:extLst>
        </xdr:cNvPr>
        <xdr:cNvPicPr>
          <a:picLocks noChangeAspect="1"/>
        </xdr:cNvPicPr>
      </xdr:nvPicPr>
      <xdr:blipFill>
        <a:blip xmlns:r="http://schemas.openxmlformats.org/officeDocument/2006/relationships" r:embed="rId2"/>
        <a:stretch>
          <a:fillRect/>
        </a:stretch>
      </xdr:blipFill>
      <xdr:spPr>
        <a:xfrm>
          <a:off x="13515975" y="2181225"/>
          <a:ext cx="3429000" cy="2609850"/>
        </a:xfrm>
        <a:prstGeom prst="rect">
          <a:avLst/>
        </a:prstGeom>
      </xdr:spPr>
    </xdr:pic>
    <xdr:clientData/>
  </xdr:twoCellAnchor>
  <xdr:twoCellAnchor editAs="oneCell">
    <xdr:from>
      <xdr:col>19</xdr:col>
      <xdr:colOff>737300</xdr:colOff>
      <xdr:row>19</xdr:row>
      <xdr:rowOff>69281</xdr:rowOff>
    </xdr:from>
    <xdr:to>
      <xdr:col>25</xdr:col>
      <xdr:colOff>110825</xdr:colOff>
      <xdr:row>31</xdr:row>
      <xdr:rowOff>204008</xdr:rowOff>
    </xdr:to>
    <xdr:pic>
      <xdr:nvPicPr>
        <xdr:cNvPr id="5" name="Imagen 4">
          <a:extLst>
            <a:ext uri="{FF2B5EF4-FFF2-40B4-BE49-F238E27FC236}">
              <a16:creationId xmlns:a16="http://schemas.microsoft.com/office/drawing/2014/main" id="{00000000-0008-0000-0D00-000005000000}"/>
            </a:ext>
          </a:extLst>
        </xdr:cNvPr>
        <xdr:cNvPicPr>
          <a:picLocks noChangeAspect="1"/>
        </xdr:cNvPicPr>
      </xdr:nvPicPr>
      <xdr:blipFill>
        <a:blip xmlns:r="http://schemas.openxmlformats.org/officeDocument/2006/relationships" r:embed="rId3"/>
        <a:stretch>
          <a:fillRect/>
        </a:stretch>
      </xdr:blipFill>
      <xdr:spPr>
        <a:xfrm>
          <a:off x="18556239" y="5955012"/>
          <a:ext cx="3956308" cy="2650765"/>
        </a:xfrm>
        <a:prstGeom prst="rect">
          <a:avLst/>
        </a:prstGeom>
      </xdr:spPr>
    </xdr:pic>
    <xdr:clientData/>
  </xdr:twoCellAnchor>
  <xdr:twoCellAnchor editAs="oneCell">
    <xdr:from>
      <xdr:col>8</xdr:col>
      <xdr:colOff>342900</xdr:colOff>
      <xdr:row>4</xdr:row>
      <xdr:rowOff>104775</xdr:rowOff>
    </xdr:from>
    <xdr:to>
      <xdr:col>13</xdr:col>
      <xdr:colOff>104775</xdr:colOff>
      <xdr:row>15</xdr:row>
      <xdr:rowOff>60924</xdr:rowOff>
    </xdr:to>
    <xdr:pic>
      <xdr:nvPicPr>
        <xdr:cNvPr id="6" name="Imagen 5">
          <a:extLst>
            <a:ext uri="{FF2B5EF4-FFF2-40B4-BE49-F238E27FC236}">
              <a16:creationId xmlns:a16="http://schemas.microsoft.com/office/drawing/2014/main" id="{00000000-0008-0000-0D00-000006000000}"/>
            </a:ext>
            <a:ext uri="{147F2762-F138-4A5C-976F-8EAC2B608ADB}">
              <a16:predDERef xmlns:a16="http://schemas.microsoft.com/office/drawing/2014/main" pred="{21E7CE53-55A3-5D84-225F-50B7FC46CEDD}"/>
            </a:ext>
          </a:extLst>
        </xdr:cNvPr>
        <xdr:cNvPicPr>
          <a:picLocks noChangeAspect="1"/>
        </xdr:cNvPicPr>
      </xdr:nvPicPr>
      <xdr:blipFill>
        <a:blip xmlns:r="http://schemas.openxmlformats.org/officeDocument/2006/relationships" r:embed="rId4"/>
        <a:stretch>
          <a:fillRect/>
        </a:stretch>
      </xdr:blipFill>
      <xdr:spPr>
        <a:xfrm>
          <a:off x="9763125" y="2181225"/>
          <a:ext cx="3571875" cy="2628900"/>
        </a:xfrm>
        <a:prstGeom prst="rect">
          <a:avLst/>
        </a:prstGeom>
      </xdr:spPr>
    </xdr:pic>
    <xdr:clientData/>
  </xdr:twoCellAnchor>
  <xdr:twoCellAnchor editAs="oneCell">
    <xdr:from>
      <xdr:col>12</xdr:col>
      <xdr:colOff>278562</xdr:colOff>
      <xdr:row>15</xdr:row>
      <xdr:rowOff>78316</xdr:rowOff>
    </xdr:from>
    <xdr:to>
      <xdr:col>19</xdr:col>
      <xdr:colOff>309292</xdr:colOff>
      <xdr:row>32</xdr:row>
      <xdr:rowOff>182053</xdr:rowOff>
    </xdr:to>
    <xdr:pic>
      <xdr:nvPicPr>
        <xdr:cNvPr id="7" name="Imagen 6" descr="C:\Users\ytaborda\Downloads\WhatsApp Image 2026-03-04 at 5.23.00 PM.jpeg">
          <a:extLst>
            <a:ext uri="{FF2B5EF4-FFF2-40B4-BE49-F238E27FC236}">
              <a16:creationId xmlns:a16="http://schemas.microsoft.com/office/drawing/2014/main" id="{4024E274-6EEE-4379-BBDF-C921BCDCA31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2750920" y="5137349"/>
          <a:ext cx="5377311" cy="36621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103908</xdr:colOff>
      <xdr:row>33</xdr:row>
      <xdr:rowOff>188701</xdr:rowOff>
    </xdr:from>
    <xdr:to>
      <xdr:col>17</xdr:col>
      <xdr:colOff>242617</xdr:colOff>
      <xdr:row>57</xdr:row>
      <xdr:rowOff>132689</xdr:rowOff>
    </xdr:to>
    <xdr:pic>
      <xdr:nvPicPr>
        <xdr:cNvPr id="3" name="Imagen 2">
          <a:extLst>
            <a:ext uri="{FF2B5EF4-FFF2-40B4-BE49-F238E27FC236}">
              <a16:creationId xmlns:a16="http://schemas.microsoft.com/office/drawing/2014/main" id="{8F2A85F0-4BFD-46FD-A6C1-300F0A898292}"/>
            </a:ext>
          </a:extLst>
        </xdr:cNvPr>
        <xdr:cNvPicPr>
          <a:picLocks noChangeAspect="1"/>
        </xdr:cNvPicPr>
      </xdr:nvPicPr>
      <xdr:blipFill>
        <a:blip xmlns:r="http://schemas.openxmlformats.org/officeDocument/2006/relationships" r:embed="rId6"/>
        <a:stretch>
          <a:fillRect/>
        </a:stretch>
      </xdr:blipFill>
      <xdr:spPr>
        <a:xfrm>
          <a:off x="12576266" y="9021791"/>
          <a:ext cx="3957695" cy="4967077"/>
        </a:xfrm>
        <a:prstGeom prst="rect">
          <a:avLst/>
        </a:prstGeom>
      </xdr:spPr>
    </xdr:pic>
    <xdr:clientData/>
  </xdr:twoCellAnchor>
  <xdr:twoCellAnchor editAs="oneCell">
    <xdr:from>
      <xdr:col>17</xdr:col>
      <xdr:colOff>584080</xdr:colOff>
      <xdr:row>36</xdr:row>
      <xdr:rowOff>23345</xdr:rowOff>
    </xdr:from>
    <xdr:to>
      <xdr:col>24</xdr:col>
      <xdr:colOff>493585</xdr:colOff>
      <xdr:row>53</xdr:row>
      <xdr:rowOff>53915</xdr:rowOff>
    </xdr:to>
    <xdr:pic>
      <xdr:nvPicPr>
        <xdr:cNvPr id="9" name="Imagen 8" descr="C:\Users\ytaborda\Downloads\WhatsApp Image 2026-03-05 at 4.16.41 PM.jpeg">
          <a:extLst>
            <a:ext uri="{FF2B5EF4-FFF2-40B4-BE49-F238E27FC236}">
              <a16:creationId xmlns:a16="http://schemas.microsoft.com/office/drawing/2014/main" id="{8E1325C6-C461-420A-90A9-92A60AACBC5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6875424" y="9476458"/>
          <a:ext cx="5256086" cy="3606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twoCellAnchor editAs="oneCell">
    <xdr:from>
      <xdr:col>8</xdr:col>
      <xdr:colOff>0</xdr:colOff>
      <xdr:row>0</xdr:row>
      <xdr:rowOff>66676</xdr:rowOff>
    </xdr:from>
    <xdr:to>
      <xdr:col>9</xdr:col>
      <xdr:colOff>680227</xdr:colOff>
      <xdr:row>0</xdr:row>
      <xdr:rowOff>904875</xdr:rowOff>
    </xdr:to>
    <xdr:pic>
      <xdr:nvPicPr>
        <xdr:cNvPr id="3" name="Imagen 2">
          <a:extLst>
            <a:ext uri="{FF2B5EF4-FFF2-40B4-BE49-F238E27FC236}">
              <a16:creationId xmlns:a16="http://schemas.microsoft.com/office/drawing/2014/main" id="{866D7796-F309-4BC6-8E91-CF5A3DFFCD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twoCellAnchor editAs="oneCell">
    <xdr:from>
      <xdr:col>9</xdr:col>
      <xdr:colOff>35944</xdr:colOff>
      <xdr:row>0</xdr:row>
      <xdr:rowOff>738508</xdr:rowOff>
    </xdr:from>
    <xdr:to>
      <xdr:col>16</xdr:col>
      <xdr:colOff>265621</xdr:colOff>
      <xdr:row>13</xdr:row>
      <xdr:rowOff>18321</xdr:rowOff>
    </xdr:to>
    <xdr:pic>
      <xdr:nvPicPr>
        <xdr:cNvPr id="5" name="Imagen 4" descr="C:\Users\ytaborda\Downloads\WhatsApp Image 2026-03-05 at 4.16.41 PM.jpeg">
          <a:extLst>
            <a:ext uri="{FF2B5EF4-FFF2-40B4-BE49-F238E27FC236}">
              <a16:creationId xmlns:a16="http://schemas.microsoft.com/office/drawing/2014/main" id="{67E886CE-B321-4C00-9CF0-394A9C8E02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13444" y="738508"/>
          <a:ext cx="5576257" cy="38266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5357186B-BCAE-4020-9678-7CEA27BC417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twoCellAnchor editAs="oneCell">
    <xdr:from>
      <xdr:col>12</xdr:col>
      <xdr:colOff>206829</xdr:colOff>
      <xdr:row>0</xdr:row>
      <xdr:rowOff>664030</xdr:rowOff>
    </xdr:from>
    <xdr:to>
      <xdr:col>20</xdr:col>
      <xdr:colOff>165487</xdr:colOff>
      <xdr:row>6</xdr:row>
      <xdr:rowOff>120482</xdr:rowOff>
    </xdr:to>
    <xdr:pic>
      <xdr:nvPicPr>
        <xdr:cNvPr id="7" name="Imagen 6">
          <a:extLst>
            <a:ext uri="{FF2B5EF4-FFF2-40B4-BE49-F238E27FC236}">
              <a16:creationId xmlns:a16="http://schemas.microsoft.com/office/drawing/2014/main" id="{00000000-0008-0000-1200-000007000000}"/>
            </a:ext>
          </a:extLst>
        </xdr:cNvPr>
        <xdr:cNvPicPr>
          <a:picLocks noChangeAspect="1"/>
        </xdr:cNvPicPr>
      </xdr:nvPicPr>
      <xdr:blipFill>
        <a:blip xmlns:r="http://schemas.openxmlformats.org/officeDocument/2006/relationships" r:embed="rId2"/>
        <a:stretch>
          <a:fillRect/>
        </a:stretch>
      </xdr:blipFill>
      <xdr:spPr>
        <a:xfrm>
          <a:off x="13351329" y="664030"/>
          <a:ext cx="6207059" cy="2395595"/>
        </a:xfrm>
        <a:prstGeom prst="rect">
          <a:avLst/>
        </a:prstGeom>
      </xdr:spPr>
    </xdr:pic>
    <xdr:clientData/>
  </xdr:twoCellAnchor>
  <xdr:twoCellAnchor editAs="oneCell">
    <xdr:from>
      <xdr:col>13</xdr:col>
      <xdr:colOff>117021</xdr:colOff>
      <xdr:row>9</xdr:row>
      <xdr:rowOff>38101</xdr:rowOff>
    </xdr:from>
    <xdr:to>
      <xdr:col>19</xdr:col>
      <xdr:colOff>304800</xdr:colOff>
      <xdr:row>33</xdr:row>
      <xdr:rowOff>132875</xdr:rowOff>
    </xdr:to>
    <xdr:pic>
      <xdr:nvPicPr>
        <xdr:cNvPr id="8" name="Imagen 7">
          <a:extLst>
            <a:ext uri="{FF2B5EF4-FFF2-40B4-BE49-F238E27FC236}">
              <a16:creationId xmlns:a16="http://schemas.microsoft.com/office/drawing/2014/main" id="{00000000-0008-0000-1200-000008000000}"/>
            </a:ext>
          </a:extLst>
        </xdr:cNvPr>
        <xdr:cNvPicPr>
          <a:picLocks noChangeAspect="1"/>
        </xdr:cNvPicPr>
      </xdr:nvPicPr>
      <xdr:blipFill>
        <a:blip xmlns:r="http://schemas.openxmlformats.org/officeDocument/2006/relationships" r:embed="rId3"/>
        <a:stretch>
          <a:fillRect/>
        </a:stretch>
      </xdr:blipFill>
      <xdr:spPr>
        <a:xfrm>
          <a:off x="14042571" y="3448051"/>
          <a:ext cx="4874079" cy="4408238"/>
        </a:xfrm>
        <a:prstGeom prst="rect">
          <a:avLst/>
        </a:prstGeom>
      </xdr:spPr>
    </xdr:pic>
    <xdr:clientData/>
  </xdr:twoCellAnchor>
  <xdr:twoCellAnchor editAs="oneCell">
    <xdr:from>
      <xdr:col>13</xdr:col>
      <xdr:colOff>396587</xdr:colOff>
      <xdr:row>37</xdr:row>
      <xdr:rowOff>0</xdr:rowOff>
    </xdr:from>
    <xdr:to>
      <xdr:col>19</xdr:col>
      <xdr:colOff>285750</xdr:colOff>
      <xdr:row>57</xdr:row>
      <xdr:rowOff>56270</xdr:rowOff>
    </xdr:to>
    <xdr:pic>
      <xdr:nvPicPr>
        <xdr:cNvPr id="9" name="Imagen 8">
          <a:extLst>
            <a:ext uri="{FF2B5EF4-FFF2-40B4-BE49-F238E27FC236}">
              <a16:creationId xmlns:a16="http://schemas.microsoft.com/office/drawing/2014/main" id="{00000000-0008-0000-1200-000009000000}"/>
            </a:ext>
          </a:extLst>
        </xdr:cNvPr>
        <xdr:cNvPicPr>
          <a:picLocks noChangeAspect="1"/>
        </xdr:cNvPicPr>
      </xdr:nvPicPr>
      <xdr:blipFill>
        <a:blip xmlns:r="http://schemas.openxmlformats.org/officeDocument/2006/relationships" r:embed="rId4"/>
        <a:stretch>
          <a:fillRect/>
        </a:stretch>
      </xdr:blipFill>
      <xdr:spPr>
        <a:xfrm>
          <a:off x="14322137" y="8361375"/>
          <a:ext cx="4575463" cy="3618619"/>
        </a:xfrm>
        <a:prstGeom prst="rect">
          <a:avLst/>
        </a:prstGeom>
      </xdr:spPr>
    </xdr:pic>
    <xdr:clientData/>
  </xdr:twoCellAnchor>
  <xdr:twoCellAnchor editAs="oneCell">
    <xdr:from>
      <xdr:col>22</xdr:col>
      <xdr:colOff>272142</xdr:colOff>
      <xdr:row>0</xdr:row>
      <xdr:rowOff>569027</xdr:rowOff>
    </xdr:from>
    <xdr:to>
      <xdr:col>29</xdr:col>
      <xdr:colOff>223099</xdr:colOff>
      <xdr:row>15</xdr:row>
      <xdr:rowOff>112225</xdr:rowOff>
    </xdr:to>
    <xdr:pic>
      <xdr:nvPicPr>
        <xdr:cNvPr id="10" name="Imagen 9">
          <a:extLst>
            <a:ext uri="{FF2B5EF4-FFF2-40B4-BE49-F238E27FC236}">
              <a16:creationId xmlns:a16="http://schemas.microsoft.com/office/drawing/2014/main" id="{00000000-0008-0000-1200-00000A000000}"/>
            </a:ext>
          </a:extLst>
        </xdr:cNvPr>
        <xdr:cNvPicPr>
          <a:picLocks noChangeAspect="1"/>
        </xdr:cNvPicPr>
      </xdr:nvPicPr>
      <xdr:blipFill>
        <a:blip xmlns:r="http://schemas.openxmlformats.org/officeDocument/2006/relationships" r:embed="rId5"/>
        <a:stretch>
          <a:fillRect/>
        </a:stretch>
      </xdr:blipFill>
      <xdr:spPr>
        <a:xfrm>
          <a:off x="21259799" y="569027"/>
          <a:ext cx="5437357" cy="4115198"/>
        </a:xfrm>
        <a:prstGeom prst="rect">
          <a:avLst/>
        </a:prstGeom>
      </xdr:spPr>
    </xdr:pic>
    <xdr:clientData/>
  </xdr:twoCellAnchor>
  <xdr:twoCellAnchor editAs="oneCell">
    <xdr:from>
      <xdr:col>21</xdr:col>
      <xdr:colOff>522514</xdr:colOff>
      <xdr:row>19</xdr:row>
      <xdr:rowOff>36711</xdr:rowOff>
    </xdr:from>
    <xdr:to>
      <xdr:col>29</xdr:col>
      <xdr:colOff>522514</xdr:colOff>
      <xdr:row>35</xdr:row>
      <xdr:rowOff>144053</xdr:rowOff>
    </xdr:to>
    <xdr:pic>
      <xdr:nvPicPr>
        <xdr:cNvPr id="11" name="Imagen 10">
          <a:extLst>
            <a:ext uri="{FF2B5EF4-FFF2-40B4-BE49-F238E27FC236}">
              <a16:creationId xmlns:a16="http://schemas.microsoft.com/office/drawing/2014/main" id="{00000000-0008-0000-1200-00000B000000}"/>
            </a:ext>
          </a:extLst>
        </xdr:cNvPr>
        <xdr:cNvPicPr>
          <a:picLocks noChangeAspect="1"/>
        </xdr:cNvPicPr>
      </xdr:nvPicPr>
      <xdr:blipFill>
        <a:blip xmlns:r="http://schemas.openxmlformats.org/officeDocument/2006/relationships" r:embed="rId6"/>
        <a:stretch>
          <a:fillRect/>
        </a:stretch>
      </xdr:blipFill>
      <xdr:spPr>
        <a:xfrm>
          <a:off x="20726400" y="5098568"/>
          <a:ext cx="6270171" cy="2959399"/>
        </a:xfrm>
        <a:prstGeom prst="rect">
          <a:avLst/>
        </a:prstGeom>
      </xdr:spPr>
    </xdr:pic>
    <xdr:clientData/>
  </xdr:twoCellAnchor>
  <xdr:twoCellAnchor editAs="oneCell">
    <xdr:from>
      <xdr:col>20</xdr:col>
      <xdr:colOff>403762</xdr:colOff>
      <xdr:row>39</xdr:row>
      <xdr:rowOff>118489</xdr:rowOff>
    </xdr:from>
    <xdr:to>
      <xdr:col>28</xdr:col>
      <xdr:colOff>87643</xdr:colOff>
      <xdr:row>58</xdr:row>
      <xdr:rowOff>107279</xdr:rowOff>
    </xdr:to>
    <xdr:pic>
      <xdr:nvPicPr>
        <xdr:cNvPr id="12" name="Imagen 11">
          <a:extLst>
            <a:ext uri="{FF2B5EF4-FFF2-40B4-BE49-F238E27FC236}">
              <a16:creationId xmlns:a16="http://schemas.microsoft.com/office/drawing/2014/main" id="{00000000-0008-0000-1200-00000C000000}"/>
            </a:ext>
          </a:extLst>
        </xdr:cNvPr>
        <xdr:cNvPicPr>
          <a:picLocks noChangeAspect="1"/>
        </xdr:cNvPicPr>
      </xdr:nvPicPr>
      <xdr:blipFill>
        <a:blip xmlns:r="http://schemas.openxmlformats.org/officeDocument/2006/relationships" r:embed="rId7"/>
        <a:stretch>
          <a:fillRect/>
        </a:stretch>
      </xdr:blipFill>
      <xdr:spPr>
        <a:xfrm>
          <a:off x="19897107" y="9026962"/>
          <a:ext cx="6001553" cy="3410862"/>
        </a:xfrm>
        <a:prstGeom prst="rect">
          <a:avLst/>
        </a:prstGeom>
      </xdr:spPr>
    </xdr:pic>
    <xdr:clientData/>
  </xdr:twoCellAnchor>
  <xdr:twoCellAnchor editAs="oneCell">
    <xdr:from>
      <xdr:col>12</xdr:col>
      <xdr:colOff>471054</xdr:colOff>
      <xdr:row>63</xdr:row>
      <xdr:rowOff>174103</xdr:rowOff>
    </xdr:from>
    <xdr:to>
      <xdr:col>20</xdr:col>
      <xdr:colOff>132735</xdr:colOff>
      <xdr:row>80</xdr:row>
      <xdr:rowOff>2270</xdr:rowOff>
    </xdr:to>
    <xdr:pic>
      <xdr:nvPicPr>
        <xdr:cNvPr id="4" name="Imagen 3">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8"/>
        <a:stretch>
          <a:fillRect/>
        </a:stretch>
      </xdr:blipFill>
      <xdr:spPr>
        <a:xfrm>
          <a:off x="13646727" y="13405194"/>
          <a:ext cx="5979354" cy="2890021"/>
        </a:xfrm>
        <a:prstGeom prst="rect">
          <a:avLst/>
        </a:prstGeom>
      </xdr:spPr>
    </xdr:pic>
    <xdr:clientData/>
  </xdr:twoCellAnchor>
  <xdr:twoCellAnchor editAs="oneCell">
    <xdr:from>
      <xdr:col>21</xdr:col>
      <xdr:colOff>512618</xdr:colOff>
      <xdr:row>61</xdr:row>
      <xdr:rowOff>154881</xdr:rowOff>
    </xdr:from>
    <xdr:to>
      <xdr:col>27</xdr:col>
      <xdr:colOff>17676</xdr:colOff>
      <xdr:row>79</xdr:row>
      <xdr:rowOff>133412</xdr:rowOff>
    </xdr:to>
    <xdr:pic>
      <xdr:nvPicPr>
        <xdr:cNvPr id="5" name="Imagen 4">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9"/>
        <a:stretch>
          <a:fillRect/>
        </a:stretch>
      </xdr:blipFill>
      <xdr:spPr>
        <a:xfrm>
          <a:off x="20795673" y="13025754"/>
          <a:ext cx="4243312" cy="3220494"/>
        </a:xfrm>
        <a:prstGeom prst="rect">
          <a:avLst/>
        </a:prstGeom>
      </xdr:spPr>
    </xdr:pic>
    <xdr:clientData/>
  </xdr:twoCellAnchor>
  <xdr:twoCellAnchor editAs="oneCell">
    <xdr:from>
      <xdr:col>28</xdr:col>
      <xdr:colOff>706584</xdr:colOff>
      <xdr:row>63</xdr:row>
      <xdr:rowOff>20821</xdr:rowOff>
    </xdr:from>
    <xdr:to>
      <xdr:col>35</xdr:col>
      <xdr:colOff>4330</xdr:colOff>
      <xdr:row>83</xdr:row>
      <xdr:rowOff>38669</xdr:rowOff>
    </xdr:to>
    <xdr:pic>
      <xdr:nvPicPr>
        <xdr:cNvPr id="6" name="Imagen 5">
          <a:extLst>
            <a:ext uri="{FF2B5EF4-FFF2-40B4-BE49-F238E27FC236}">
              <a16:creationId xmlns:a16="http://schemas.microsoft.com/office/drawing/2014/main" id="{00000000-0008-0000-1200-000006000000}"/>
            </a:ext>
          </a:extLst>
        </xdr:cNvPr>
        <xdr:cNvPicPr>
          <a:picLocks noChangeAspect="1"/>
        </xdr:cNvPicPr>
      </xdr:nvPicPr>
      <xdr:blipFill>
        <a:blip xmlns:r="http://schemas.openxmlformats.org/officeDocument/2006/relationships" r:embed="rId10"/>
        <a:stretch>
          <a:fillRect/>
        </a:stretch>
      </xdr:blipFill>
      <xdr:spPr>
        <a:xfrm>
          <a:off x="26517602" y="13251912"/>
          <a:ext cx="4807526" cy="362003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1055120</xdr:colOff>
      <xdr:row>0</xdr:row>
      <xdr:rowOff>57151</xdr:rowOff>
    </xdr:from>
    <xdr:to>
      <xdr:col>1</xdr:col>
      <xdr:colOff>781050</xdr:colOff>
      <xdr:row>0</xdr:row>
      <xdr:rowOff>895350</xdr:rowOff>
    </xdr:to>
    <xdr:pic>
      <xdr:nvPicPr>
        <xdr:cNvPr id="2" name="Imagen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5120" y="57151"/>
          <a:ext cx="1440430" cy="838199"/>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twoCellAnchor editAs="oneCell">
    <xdr:from>
      <xdr:col>3</xdr:col>
      <xdr:colOff>28575</xdr:colOff>
      <xdr:row>0</xdr:row>
      <xdr:rowOff>552450</xdr:rowOff>
    </xdr:from>
    <xdr:to>
      <xdr:col>3</xdr:col>
      <xdr:colOff>28575</xdr:colOff>
      <xdr:row>0</xdr:row>
      <xdr:rowOff>552450</xdr:rowOff>
    </xdr:to>
    <xdr:pic>
      <xdr:nvPicPr>
        <xdr:cNvPr id="3" name="Imagen 2">
          <a:extLst>
            <a:ext uri="{FF2B5EF4-FFF2-40B4-BE49-F238E27FC236}">
              <a16:creationId xmlns:a16="http://schemas.microsoft.com/office/drawing/2014/main" id="{00000000-0008-0000-1500-000003000000}"/>
            </a:ext>
            <a:ext uri="{147F2762-F138-4A5C-976F-8EAC2B608ADB}">
              <a16:predDERef xmlns:a16="http://schemas.microsoft.com/office/drawing/2014/main" pred="{00000000-0008-0000-1400-000002000000}"/>
            </a:ext>
          </a:extLst>
        </xdr:cNvPr>
        <xdr:cNvPicPr>
          <a:picLocks noChangeAspect="1"/>
        </xdr:cNvPicPr>
      </xdr:nvPicPr>
      <xdr:blipFill>
        <a:blip xmlns:r="http://schemas.openxmlformats.org/officeDocument/2006/relationships" r:embed="rId2"/>
        <a:stretch>
          <a:fillRect/>
        </a:stretch>
      </xdr:blipFill>
      <xdr:spPr>
        <a:xfrm>
          <a:off x="4286250" y="552450"/>
          <a:ext cx="0" cy="0"/>
        </a:xfrm>
        <a:prstGeom prst="rect">
          <a:avLst/>
        </a:prstGeom>
      </xdr:spPr>
    </xdr:pic>
    <xdr:clientData/>
  </xdr:twoCellAnchor>
  <xdr:twoCellAnchor editAs="oneCell">
    <xdr:from>
      <xdr:col>21</xdr:col>
      <xdr:colOff>559265</xdr:colOff>
      <xdr:row>2</xdr:row>
      <xdr:rowOff>156211</xdr:rowOff>
    </xdr:from>
    <xdr:to>
      <xdr:col>28</xdr:col>
      <xdr:colOff>425015</xdr:colOff>
      <xdr:row>12</xdr:row>
      <xdr:rowOff>65315</xdr:rowOff>
    </xdr:to>
    <xdr:pic>
      <xdr:nvPicPr>
        <xdr:cNvPr id="4" name="Imagen 3">
          <a:extLst>
            <a:ext uri="{FF2B5EF4-FFF2-40B4-BE49-F238E27FC236}">
              <a16:creationId xmlns:a16="http://schemas.microsoft.com/office/drawing/2014/main" id="{00000000-0008-0000-1500-000004000000}"/>
            </a:ext>
            <a:ext uri="{147F2762-F138-4A5C-976F-8EAC2B608ADB}">
              <a16:predDERef xmlns:a16="http://schemas.microsoft.com/office/drawing/2014/main" pred="{10854B64-07DF-49D4-C6EC-93EEA0D09A43}"/>
            </a:ext>
          </a:extLst>
        </xdr:cNvPr>
        <xdr:cNvPicPr>
          <a:picLocks noChangeAspect="1"/>
        </xdr:cNvPicPr>
      </xdr:nvPicPr>
      <xdr:blipFill>
        <a:blip xmlns:r="http://schemas.openxmlformats.org/officeDocument/2006/relationships" r:embed="rId3"/>
        <a:stretch>
          <a:fillRect/>
        </a:stretch>
      </xdr:blipFill>
      <xdr:spPr>
        <a:xfrm>
          <a:off x="18866315" y="1337311"/>
          <a:ext cx="5199750" cy="3023779"/>
        </a:xfrm>
        <a:prstGeom prst="rect">
          <a:avLst/>
        </a:prstGeom>
      </xdr:spPr>
    </xdr:pic>
    <xdr:clientData/>
  </xdr:twoCellAnchor>
  <xdr:twoCellAnchor editAs="oneCell">
    <xdr:from>
      <xdr:col>0</xdr:col>
      <xdr:colOff>-1495425</xdr:colOff>
      <xdr:row>0</xdr:row>
      <xdr:rowOff>-4953000</xdr:rowOff>
    </xdr:from>
    <xdr:to>
      <xdr:col>0</xdr:col>
      <xdr:colOff>-1495425</xdr:colOff>
      <xdr:row>0</xdr:row>
      <xdr:rowOff>-4953000</xdr:rowOff>
    </xdr:to>
    <xdr:pic>
      <xdr:nvPicPr>
        <xdr:cNvPr id="5" name="Imagen 4">
          <a:extLst>
            <a:ext uri="{FF2B5EF4-FFF2-40B4-BE49-F238E27FC236}">
              <a16:creationId xmlns:a16="http://schemas.microsoft.com/office/drawing/2014/main" id="{00000000-0008-0000-1500-000005000000}"/>
            </a:ext>
            <a:ext uri="{147F2762-F138-4A5C-976F-8EAC2B608ADB}">
              <a16:predDERef xmlns:a16="http://schemas.microsoft.com/office/drawing/2014/main" pred="{DCBE402E-D02D-367B-D6B7-560600695501}"/>
            </a:ext>
          </a:extLst>
        </xdr:cNvPr>
        <xdr:cNvPicPr>
          <a:picLocks noChangeAspect="1"/>
        </xdr:cNvPicPr>
      </xdr:nvPicPr>
      <xdr:blipFill>
        <a:blip xmlns:r="http://schemas.openxmlformats.org/officeDocument/2006/relationships" r:embed="rId4"/>
        <a:stretch>
          <a:fillRect/>
        </a:stretch>
      </xdr:blipFill>
      <xdr:spPr>
        <a:xfrm>
          <a:off x="-1495425" y="-4953000"/>
          <a:ext cx="0" cy="0"/>
        </a:xfrm>
        <a:prstGeom prst="rect">
          <a:avLst/>
        </a:prstGeom>
      </xdr:spPr>
    </xdr:pic>
    <xdr:clientData/>
  </xdr:twoCellAnchor>
  <xdr:twoCellAnchor editAs="oneCell">
    <xdr:from>
      <xdr:col>9</xdr:col>
      <xdr:colOff>48433</xdr:colOff>
      <xdr:row>0</xdr:row>
      <xdr:rowOff>154482</xdr:rowOff>
    </xdr:from>
    <xdr:to>
      <xdr:col>10</xdr:col>
      <xdr:colOff>355169</xdr:colOff>
      <xdr:row>5</xdr:row>
      <xdr:rowOff>470484</xdr:rowOff>
    </xdr:to>
    <xdr:pic>
      <xdr:nvPicPr>
        <xdr:cNvPr id="6" name="Imagen 5">
          <a:extLst>
            <a:ext uri="{FF2B5EF4-FFF2-40B4-BE49-F238E27FC236}">
              <a16:creationId xmlns:a16="http://schemas.microsoft.com/office/drawing/2014/main" id="{16D05DC2-9455-4053-B04B-B4C9FC4C2685}"/>
            </a:ext>
          </a:extLst>
        </xdr:cNvPr>
        <xdr:cNvPicPr>
          <a:picLocks noChangeAspect="1"/>
        </xdr:cNvPicPr>
      </xdr:nvPicPr>
      <xdr:blipFill>
        <a:blip xmlns:r="http://schemas.openxmlformats.org/officeDocument/2006/relationships" r:embed="rId5"/>
        <a:stretch>
          <a:fillRect/>
        </a:stretch>
      </xdr:blipFill>
      <xdr:spPr>
        <a:xfrm>
          <a:off x="9202119" y="154482"/>
          <a:ext cx="1065508" cy="2398587"/>
        </a:xfrm>
        <a:prstGeom prst="rect">
          <a:avLst/>
        </a:prstGeom>
      </xdr:spPr>
    </xdr:pic>
    <xdr:clientData/>
  </xdr:twoCellAnchor>
  <xdr:twoCellAnchor editAs="oneCell">
    <xdr:from>
      <xdr:col>10</xdr:col>
      <xdr:colOff>556968</xdr:colOff>
      <xdr:row>0</xdr:row>
      <xdr:rowOff>236304</xdr:rowOff>
    </xdr:from>
    <xdr:to>
      <xdr:col>15</xdr:col>
      <xdr:colOff>19771</xdr:colOff>
      <xdr:row>5</xdr:row>
      <xdr:rowOff>296090</xdr:rowOff>
    </xdr:to>
    <xdr:pic>
      <xdr:nvPicPr>
        <xdr:cNvPr id="7" name="Imagen 6">
          <a:extLst>
            <a:ext uri="{FF2B5EF4-FFF2-40B4-BE49-F238E27FC236}">
              <a16:creationId xmlns:a16="http://schemas.microsoft.com/office/drawing/2014/main" id="{F4110CAA-4EFD-48FB-9270-169E7D8EB75C}"/>
            </a:ext>
          </a:extLst>
        </xdr:cNvPr>
        <xdr:cNvPicPr>
          <a:picLocks noChangeAspect="1"/>
        </xdr:cNvPicPr>
      </xdr:nvPicPr>
      <xdr:blipFill>
        <a:blip xmlns:r="http://schemas.openxmlformats.org/officeDocument/2006/relationships" r:embed="rId6"/>
        <a:stretch>
          <a:fillRect/>
        </a:stretch>
      </xdr:blipFill>
      <xdr:spPr>
        <a:xfrm>
          <a:off x="10469426" y="236304"/>
          <a:ext cx="3256659" cy="214237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CF05CA0F-9DCA-4B22-8578-15BFC5BE5F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5016A762-74BE-44A5-B450-AFF7B11B5F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twoCellAnchor editAs="oneCell">
    <xdr:from>
      <xdr:col>11</xdr:col>
      <xdr:colOff>361950</xdr:colOff>
      <xdr:row>31</xdr:row>
      <xdr:rowOff>28575</xdr:rowOff>
    </xdr:from>
    <xdr:to>
      <xdr:col>17</xdr:col>
      <xdr:colOff>361950</xdr:colOff>
      <xdr:row>41</xdr:row>
      <xdr:rowOff>47625</xdr:rowOff>
    </xdr:to>
    <xdr:pic>
      <xdr:nvPicPr>
        <xdr:cNvPr id="4" name="Imagen 3">
          <a:extLst>
            <a:ext uri="{FF2B5EF4-FFF2-40B4-BE49-F238E27FC236}">
              <a16:creationId xmlns:a16="http://schemas.microsoft.com/office/drawing/2014/main" id="{AC78F894-D8F1-8DA1-B683-AF3EE9C6EEEC}"/>
            </a:ext>
            <a:ext uri="{147F2762-F138-4A5C-976F-8EAC2B608ADB}">
              <a16:predDERef xmlns:a16="http://schemas.microsoft.com/office/drawing/2014/main" pred="{F474A0F7-750E-21ED-EEA2-034371B43F46}"/>
            </a:ext>
          </a:extLst>
        </xdr:cNvPr>
        <xdr:cNvPicPr>
          <a:picLocks noChangeAspect="1"/>
        </xdr:cNvPicPr>
      </xdr:nvPicPr>
      <xdr:blipFill>
        <a:blip xmlns:r="http://schemas.openxmlformats.org/officeDocument/2006/relationships" r:embed="rId2"/>
        <a:stretch>
          <a:fillRect/>
        </a:stretch>
      </xdr:blipFill>
      <xdr:spPr>
        <a:xfrm>
          <a:off x="11515725" y="8591550"/>
          <a:ext cx="4572000" cy="2114550"/>
        </a:xfrm>
        <a:prstGeom prst="rect">
          <a:avLst/>
        </a:prstGeom>
      </xdr:spPr>
    </xdr:pic>
    <xdr:clientData/>
  </xdr:twoCellAnchor>
  <xdr:twoCellAnchor editAs="oneCell">
    <xdr:from>
      <xdr:col>11</xdr:col>
      <xdr:colOff>385762</xdr:colOff>
      <xdr:row>19</xdr:row>
      <xdr:rowOff>42465</xdr:rowOff>
    </xdr:from>
    <xdr:to>
      <xdr:col>17</xdr:col>
      <xdr:colOff>376237</xdr:colOff>
      <xdr:row>26</xdr:row>
      <xdr:rowOff>42465</xdr:rowOff>
    </xdr:to>
    <xdr:pic>
      <xdr:nvPicPr>
        <xdr:cNvPr id="5" name="Imagen 4">
          <a:extLst>
            <a:ext uri="{FF2B5EF4-FFF2-40B4-BE49-F238E27FC236}">
              <a16:creationId xmlns:a16="http://schemas.microsoft.com/office/drawing/2014/main" id="{C8F543EC-FBEF-0F1D-8760-2FFF95806E15}"/>
            </a:ext>
            <a:ext uri="{147F2762-F138-4A5C-976F-8EAC2B608ADB}">
              <a16:predDERef xmlns:a16="http://schemas.microsoft.com/office/drawing/2014/main" pred="{AC78F894-D8F1-8DA1-B683-AF3EE9C6EEEC}"/>
            </a:ext>
          </a:extLst>
        </xdr:cNvPr>
        <xdr:cNvPicPr>
          <a:picLocks noChangeAspect="1"/>
        </xdr:cNvPicPr>
      </xdr:nvPicPr>
      <xdr:blipFill>
        <a:blip xmlns:r="http://schemas.openxmlformats.org/officeDocument/2006/relationships" r:embed="rId3"/>
        <a:stretch>
          <a:fillRect/>
        </a:stretch>
      </xdr:blipFill>
      <xdr:spPr>
        <a:xfrm>
          <a:off x="11537950" y="6084887"/>
          <a:ext cx="4574381" cy="1458516"/>
        </a:xfrm>
        <a:prstGeom prst="rect">
          <a:avLst/>
        </a:prstGeom>
      </xdr:spPr>
    </xdr:pic>
    <xdr:clientData/>
  </xdr:twoCellAnchor>
  <xdr:twoCellAnchor editAs="oneCell">
    <xdr:from>
      <xdr:col>11</xdr:col>
      <xdr:colOff>447675</xdr:colOff>
      <xdr:row>42</xdr:row>
      <xdr:rowOff>171450</xdr:rowOff>
    </xdr:from>
    <xdr:to>
      <xdr:col>17</xdr:col>
      <xdr:colOff>447675</xdr:colOff>
      <xdr:row>51</xdr:row>
      <xdr:rowOff>152400</xdr:rowOff>
    </xdr:to>
    <xdr:pic>
      <xdr:nvPicPr>
        <xdr:cNvPr id="6" name="Imagen 5">
          <a:extLst>
            <a:ext uri="{FF2B5EF4-FFF2-40B4-BE49-F238E27FC236}">
              <a16:creationId xmlns:a16="http://schemas.microsoft.com/office/drawing/2014/main" id="{9F309A48-CE87-4D13-7BD4-AA4019746DBF}"/>
            </a:ext>
            <a:ext uri="{147F2762-F138-4A5C-976F-8EAC2B608ADB}">
              <a16:predDERef xmlns:a16="http://schemas.microsoft.com/office/drawing/2014/main" pred="{C8F543EC-FBEF-0F1D-8760-2FFF95806E15}"/>
            </a:ext>
          </a:extLst>
        </xdr:cNvPr>
        <xdr:cNvPicPr>
          <a:picLocks noChangeAspect="1"/>
        </xdr:cNvPicPr>
      </xdr:nvPicPr>
      <xdr:blipFill>
        <a:blip xmlns:r="http://schemas.openxmlformats.org/officeDocument/2006/relationships" r:embed="rId4"/>
        <a:stretch>
          <a:fillRect/>
        </a:stretch>
      </xdr:blipFill>
      <xdr:spPr>
        <a:xfrm>
          <a:off x="11601450" y="11039475"/>
          <a:ext cx="4572000" cy="1866900"/>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twoCellAnchor editAs="oneCell">
    <xdr:from>
      <xdr:col>12</xdr:col>
      <xdr:colOff>206829</xdr:colOff>
      <xdr:row>0</xdr:row>
      <xdr:rowOff>664030</xdr:rowOff>
    </xdr:from>
    <xdr:to>
      <xdr:col>20</xdr:col>
      <xdr:colOff>165488</xdr:colOff>
      <xdr:row>6</xdr:row>
      <xdr:rowOff>120482</xdr:rowOff>
    </xdr:to>
    <xdr:pic>
      <xdr:nvPicPr>
        <xdr:cNvPr id="3" name="Imagen 2">
          <a:extLst>
            <a:ext uri="{FF2B5EF4-FFF2-40B4-BE49-F238E27FC236}">
              <a16:creationId xmlns:a16="http://schemas.microsoft.com/office/drawing/2014/main" id="{00000000-0008-0000-1A00-000003000000}"/>
            </a:ext>
          </a:extLst>
        </xdr:cNvPr>
        <xdr:cNvPicPr>
          <a:picLocks noChangeAspect="1"/>
        </xdr:cNvPicPr>
      </xdr:nvPicPr>
      <xdr:blipFill>
        <a:blip xmlns:r="http://schemas.openxmlformats.org/officeDocument/2006/relationships" r:embed="rId2"/>
        <a:stretch>
          <a:fillRect/>
        </a:stretch>
      </xdr:blipFill>
      <xdr:spPr>
        <a:xfrm>
          <a:off x="13343709" y="664030"/>
          <a:ext cx="6237539" cy="2405392"/>
        </a:xfrm>
        <a:prstGeom prst="rect">
          <a:avLst/>
        </a:prstGeom>
      </xdr:spPr>
    </xdr:pic>
    <xdr:clientData/>
  </xdr:twoCellAnchor>
  <xdr:twoCellAnchor editAs="oneCell">
    <xdr:from>
      <xdr:col>13</xdr:col>
      <xdr:colOff>117021</xdr:colOff>
      <xdr:row>9</xdr:row>
      <xdr:rowOff>38101</xdr:rowOff>
    </xdr:from>
    <xdr:to>
      <xdr:col>19</xdr:col>
      <xdr:colOff>304800</xdr:colOff>
      <xdr:row>33</xdr:row>
      <xdr:rowOff>132875</xdr:rowOff>
    </xdr:to>
    <xdr:pic>
      <xdr:nvPicPr>
        <xdr:cNvPr id="4" name="Imagen 3">
          <a:extLst>
            <a:ext uri="{FF2B5EF4-FFF2-40B4-BE49-F238E27FC236}">
              <a16:creationId xmlns:a16="http://schemas.microsoft.com/office/drawing/2014/main" id="{00000000-0008-0000-1A00-000004000000}"/>
            </a:ext>
          </a:extLst>
        </xdr:cNvPr>
        <xdr:cNvPicPr>
          <a:picLocks noChangeAspect="1"/>
        </xdr:cNvPicPr>
      </xdr:nvPicPr>
      <xdr:blipFill>
        <a:blip xmlns:r="http://schemas.openxmlformats.org/officeDocument/2006/relationships" r:embed="rId3"/>
        <a:stretch>
          <a:fillRect/>
        </a:stretch>
      </xdr:blipFill>
      <xdr:spPr>
        <a:xfrm>
          <a:off x="14038761" y="3520441"/>
          <a:ext cx="4896939" cy="4392454"/>
        </a:xfrm>
        <a:prstGeom prst="rect">
          <a:avLst/>
        </a:prstGeom>
      </xdr:spPr>
    </xdr:pic>
    <xdr:clientData/>
  </xdr:twoCellAnchor>
  <xdr:twoCellAnchor editAs="oneCell">
    <xdr:from>
      <xdr:col>13</xdr:col>
      <xdr:colOff>396587</xdr:colOff>
      <xdr:row>37</xdr:row>
      <xdr:rowOff>0</xdr:rowOff>
    </xdr:from>
    <xdr:to>
      <xdr:col>19</xdr:col>
      <xdr:colOff>285750</xdr:colOff>
      <xdr:row>57</xdr:row>
      <xdr:rowOff>56270</xdr:rowOff>
    </xdr:to>
    <xdr:pic>
      <xdr:nvPicPr>
        <xdr:cNvPr id="5" name="Imagen 4">
          <a:extLst>
            <a:ext uri="{FF2B5EF4-FFF2-40B4-BE49-F238E27FC236}">
              <a16:creationId xmlns:a16="http://schemas.microsoft.com/office/drawing/2014/main" id="{00000000-0008-0000-1A00-000005000000}"/>
            </a:ext>
          </a:extLst>
        </xdr:cNvPr>
        <xdr:cNvPicPr>
          <a:picLocks noChangeAspect="1"/>
        </xdr:cNvPicPr>
      </xdr:nvPicPr>
      <xdr:blipFill>
        <a:blip xmlns:r="http://schemas.openxmlformats.org/officeDocument/2006/relationships" r:embed="rId4"/>
        <a:stretch>
          <a:fillRect/>
        </a:stretch>
      </xdr:blipFill>
      <xdr:spPr>
        <a:xfrm>
          <a:off x="14318327" y="8488680"/>
          <a:ext cx="4598323" cy="3614810"/>
        </a:xfrm>
        <a:prstGeom prst="rect">
          <a:avLst/>
        </a:prstGeom>
      </xdr:spPr>
    </xdr:pic>
    <xdr:clientData/>
  </xdr:twoCellAnchor>
  <xdr:twoCellAnchor editAs="oneCell">
    <xdr:from>
      <xdr:col>22</xdr:col>
      <xdr:colOff>272142</xdr:colOff>
      <xdr:row>0</xdr:row>
      <xdr:rowOff>569027</xdr:rowOff>
    </xdr:from>
    <xdr:to>
      <xdr:col>29</xdr:col>
      <xdr:colOff>223099</xdr:colOff>
      <xdr:row>15</xdr:row>
      <xdr:rowOff>112225</xdr:rowOff>
    </xdr:to>
    <xdr:pic>
      <xdr:nvPicPr>
        <xdr:cNvPr id="6" name="Imagen 5">
          <a:extLst>
            <a:ext uri="{FF2B5EF4-FFF2-40B4-BE49-F238E27FC236}">
              <a16:creationId xmlns:a16="http://schemas.microsoft.com/office/drawing/2014/main" id="{00000000-0008-0000-1A00-000006000000}"/>
            </a:ext>
          </a:extLst>
        </xdr:cNvPr>
        <xdr:cNvPicPr>
          <a:picLocks noChangeAspect="1"/>
        </xdr:cNvPicPr>
      </xdr:nvPicPr>
      <xdr:blipFill>
        <a:blip xmlns:r="http://schemas.openxmlformats.org/officeDocument/2006/relationships" r:embed="rId5"/>
        <a:stretch>
          <a:fillRect/>
        </a:stretch>
      </xdr:blipFill>
      <xdr:spPr>
        <a:xfrm>
          <a:off x="21257622" y="569027"/>
          <a:ext cx="5444977" cy="4099958"/>
        </a:xfrm>
        <a:prstGeom prst="rect">
          <a:avLst/>
        </a:prstGeom>
      </xdr:spPr>
    </xdr:pic>
    <xdr:clientData/>
  </xdr:twoCellAnchor>
  <xdr:twoCellAnchor editAs="oneCell">
    <xdr:from>
      <xdr:col>21</xdr:col>
      <xdr:colOff>522514</xdr:colOff>
      <xdr:row>19</xdr:row>
      <xdr:rowOff>36711</xdr:rowOff>
    </xdr:from>
    <xdr:to>
      <xdr:col>29</xdr:col>
      <xdr:colOff>522514</xdr:colOff>
      <xdr:row>35</xdr:row>
      <xdr:rowOff>144053</xdr:rowOff>
    </xdr:to>
    <xdr:pic>
      <xdr:nvPicPr>
        <xdr:cNvPr id="7" name="Imagen 6">
          <a:extLst>
            <a:ext uri="{FF2B5EF4-FFF2-40B4-BE49-F238E27FC236}">
              <a16:creationId xmlns:a16="http://schemas.microsoft.com/office/drawing/2014/main" id="{00000000-0008-0000-1A00-000007000000}"/>
            </a:ext>
          </a:extLst>
        </xdr:cNvPr>
        <xdr:cNvPicPr>
          <a:picLocks noChangeAspect="1"/>
        </xdr:cNvPicPr>
      </xdr:nvPicPr>
      <xdr:blipFill>
        <a:blip xmlns:r="http://schemas.openxmlformats.org/officeDocument/2006/relationships" r:embed="rId6"/>
        <a:stretch>
          <a:fillRect/>
        </a:stretch>
      </xdr:blipFill>
      <xdr:spPr>
        <a:xfrm>
          <a:off x="20723134" y="5324991"/>
          <a:ext cx="6278880" cy="2957222"/>
        </a:xfrm>
        <a:prstGeom prst="rect">
          <a:avLst/>
        </a:prstGeom>
      </xdr:spPr>
    </xdr:pic>
    <xdr:clientData/>
  </xdr:twoCellAnchor>
  <xdr:twoCellAnchor editAs="oneCell">
    <xdr:from>
      <xdr:col>20</xdr:col>
      <xdr:colOff>403762</xdr:colOff>
      <xdr:row>39</xdr:row>
      <xdr:rowOff>118489</xdr:rowOff>
    </xdr:from>
    <xdr:to>
      <xdr:col>28</xdr:col>
      <xdr:colOff>87642</xdr:colOff>
      <xdr:row>58</xdr:row>
      <xdr:rowOff>107279</xdr:rowOff>
    </xdr:to>
    <xdr:pic>
      <xdr:nvPicPr>
        <xdr:cNvPr id="8" name="Imagen 7">
          <a:extLst>
            <a:ext uri="{FF2B5EF4-FFF2-40B4-BE49-F238E27FC236}">
              <a16:creationId xmlns:a16="http://schemas.microsoft.com/office/drawing/2014/main" id="{00000000-0008-0000-1A00-000008000000}"/>
            </a:ext>
          </a:extLst>
        </xdr:cNvPr>
        <xdr:cNvPicPr>
          <a:picLocks noChangeAspect="1"/>
        </xdr:cNvPicPr>
      </xdr:nvPicPr>
      <xdr:blipFill>
        <a:blip xmlns:r="http://schemas.openxmlformats.org/officeDocument/2006/relationships" r:embed="rId7"/>
        <a:stretch>
          <a:fillRect/>
        </a:stretch>
      </xdr:blipFill>
      <xdr:spPr>
        <a:xfrm>
          <a:off x="19819522" y="8972929"/>
          <a:ext cx="5962760" cy="3356830"/>
        </a:xfrm>
        <a:prstGeom prst="rect">
          <a:avLst/>
        </a:prstGeom>
      </xdr:spPr>
    </xdr:pic>
    <xdr:clientData/>
  </xdr:twoCellAnchor>
  <xdr:twoCellAnchor editAs="oneCell">
    <xdr:from>
      <xdr:col>12</xdr:col>
      <xdr:colOff>471054</xdr:colOff>
      <xdr:row>63</xdr:row>
      <xdr:rowOff>174103</xdr:rowOff>
    </xdr:from>
    <xdr:to>
      <xdr:col>20</xdr:col>
      <xdr:colOff>132736</xdr:colOff>
      <xdr:row>80</xdr:row>
      <xdr:rowOff>2270</xdr:rowOff>
    </xdr:to>
    <xdr:pic>
      <xdr:nvPicPr>
        <xdr:cNvPr id="9" name="Imagen 8">
          <a:extLst>
            <a:ext uri="{FF2B5EF4-FFF2-40B4-BE49-F238E27FC236}">
              <a16:creationId xmlns:a16="http://schemas.microsoft.com/office/drawing/2014/main" id="{00000000-0008-0000-1A00-000009000000}"/>
            </a:ext>
          </a:extLst>
        </xdr:cNvPr>
        <xdr:cNvPicPr>
          <a:picLocks noChangeAspect="1"/>
        </xdr:cNvPicPr>
      </xdr:nvPicPr>
      <xdr:blipFill>
        <a:blip xmlns:r="http://schemas.openxmlformats.org/officeDocument/2006/relationships" r:embed="rId8"/>
        <a:stretch>
          <a:fillRect/>
        </a:stretch>
      </xdr:blipFill>
      <xdr:spPr>
        <a:xfrm>
          <a:off x="13607934" y="13272883"/>
          <a:ext cx="5940562" cy="2807587"/>
        </a:xfrm>
        <a:prstGeom prst="rect">
          <a:avLst/>
        </a:prstGeom>
      </xdr:spPr>
    </xdr:pic>
    <xdr:clientData/>
  </xdr:twoCellAnchor>
  <xdr:twoCellAnchor editAs="oneCell">
    <xdr:from>
      <xdr:col>21</xdr:col>
      <xdr:colOff>512618</xdr:colOff>
      <xdr:row>61</xdr:row>
      <xdr:rowOff>154881</xdr:rowOff>
    </xdr:from>
    <xdr:to>
      <xdr:col>27</xdr:col>
      <xdr:colOff>17676</xdr:colOff>
      <xdr:row>79</xdr:row>
      <xdr:rowOff>133412</xdr:rowOff>
    </xdr:to>
    <xdr:pic>
      <xdr:nvPicPr>
        <xdr:cNvPr id="10" name="Imagen 9">
          <a:extLst>
            <a:ext uri="{FF2B5EF4-FFF2-40B4-BE49-F238E27FC236}">
              <a16:creationId xmlns:a16="http://schemas.microsoft.com/office/drawing/2014/main" id="{00000000-0008-0000-1A00-00000A000000}"/>
            </a:ext>
          </a:extLst>
        </xdr:cNvPr>
        <xdr:cNvPicPr>
          <a:picLocks noChangeAspect="1"/>
        </xdr:cNvPicPr>
      </xdr:nvPicPr>
      <xdr:blipFill>
        <a:blip xmlns:r="http://schemas.openxmlformats.org/officeDocument/2006/relationships" r:embed="rId9"/>
        <a:stretch>
          <a:fillRect/>
        </a:stretch>
      </xdr:blipFill>
      <xdr:spPr>
        <a:xfrm>
          <a:off x="20713238" y="12903141"/>
          <a:ext cx="4214218" cy="3133211"/>
        </a:xfrm>
        <a:prstGeom prst="rect">
          <a:avLst/>
        </a:prstGeom>
      </xdr:spPr>
    </xdr:pic>
    <xdr:clientData/>
  </xdr:twoCellAnchor>
  <xdr:twoCellAnchor editAs="oneCell">
    <xdr:from>
      <xdr:col>28</xdr:col>
      <xdr:colOff>706584</xdr:colOff>
      <xdr:row>63</xdr:row>
      <xdr:rowOff>20821</xdr:rowOff>
    </xdr:from>
    <xdr:to>
      <xdr:col>35</xdr:col>
      <xdr:colOff>4330</xdr:colOff>
      <xdr:row>83</xdr:row>
      <xdr:rowOff>38669</xdr:rowOff>
    </xdr:to>
    <xdr:pic>
      <xdr:nvPicPr>
        <xdr:cNvPr id="11" name="Imagen 10">
          <a:extLst>
            <a:ext uri="{FF2B5EF4-FFF2-40B4-BE49-F238E27FC236}">
              <a16:creationId xmlns:a16="http://schemas.microsoft.com/office/drawing/2014/main" id="{00000000-0008-0000-1A00-00000B000000}"/>
            </a:ext>
          </a:extLst>
        </xdr:cNvPr>
        <xdr:cNvPicPr>
          <a:picLocks noChangeAspect="1"/>
        </xdr:cNvPicPr>
      </xdr:nvPicPr>
      <xdr:blipFill>
        <a:blip xmlns:r="http://schemas.openxmlformats.org/officeDocument/2006/relationships" r:embed="rId10"/>
        <a:stretch>
          <a:fillRect/>
        </a:stretch>
      </xdr:blipFill>
      <xdr:spPr>
        <a:xfrm>
          <a:off x="26401224" y="13119601"/>
          <a:ext cx="4778431" cy="352304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twoCellAnchor editAs="oneCell">
    <xdr:from>
      <xdr:col>9</xdr:col>
      <xdr:colOff>419100</xdr:colOff>
      <xdr:row>1</xdr:row>
      <xdr:rowOff>123826</xdr:rowOff>
    </xdr:from>
    <xdr:to>
      <xdr:col>17</xdr:col>
      <xdr:colOff>630053</xdr:colOff>
      <xdr:row>22</xdr:row>
      <xdr:rowOff>123826</xdr:rowOff>
    </xdr:to>
    <xdr:pic>
      <xdr:nvPicPr>
        <xdr:cNvPr id="12" name="Imagen 11">
          <a:extLst>
            <a:ext uri="{FF2B5EF4-FFF2-40B4-BE49-F238E27FC236}">
              <a16:creationId xmlns:a16="http://schemas.microsoft.com/office/drawing/2014/main" id="{00000000-0008-0000-1B00-00000C000000}"/>
            </a:ext>
            <a:ext uri="{147F2762-F138-4A5C-976F-8EAC2B608ADB}">
              <a16:predDERef xmlns:a16="http://schemas.microsoft.com/office/drawing/2014/main" pred="{EE6B4DD3-9E72-46FE-8A2B-66BBF6B643AE}"/>
            </a:ext>
          </a:extLst>
        </xdr:cNvPr>
        <xdr:cNvPicPr>
          <a:picLocks noChangeAspect="1"/>
        </xdr:cNvPicPr>
      </xdr:nvPicPr>
      <xdr:blipFill>
        <a:blip xmlns:r="http://schemas.openxmlformats.org/officeDocument/2006/relationships" r:embed="rId2"/>
        <a:stretch>
          <a:fillRect/>
        </a:stretch>
      </xdr:blipFill>
      <xdr:spPr>
        <a:xfrm>
          <a:off x="10896600" y="1104901"/>
          <a:ext cx="6306953" cy="4962525"/>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twoCellAnchor editAs="oneCell">
    <xdr:from>
      <xdr:col>0</xdr:col>
      <xdr:colOff>-38100</xdr:colOff>
      <xdr:row>0</xdr:row>
      <xdr:rowOff>923925</xdr:rowOff>
    </xdr:from>
    <xdr:to>
      <xdr:col>0</xdr:col>
      <xdr:colOff>-38100</xdr:colOff>
      <xdr:row>0</xdr:row>
      <xdr:rowOff>923925</xdr:rowOff>
    </xdr:to>
    <xdr:pic>
      <xdr:nvPicPr>
        <xdr:cNvPr id="3" name="Imagen 2">
          <a:extLst>
            <a:ext uri="{FF2B5EF4-FFF2-40B4-BE49-F238E27FC236}">
              <a16:creationId xmlns:a16="http://schemas.microsoft.com/office/drawing/2014/main" id="{00000000-0008-0000-1C00-000003000000}"/>
            </a:ext>
            <a:ext uri="{147F2762-F138-4A5C-976F-8EAC2B608ADB}">
              <a16:predDERef xmlns:a16="http://schemas.microsoft.com/office/drawing/2014/main" pred="{D8C5CB16-01D7-4F12-99DB-06EAECB2DDEA}"/>
            </a:ext>
          </a:extLst>
        </xdr:cNvPr>
        <xdr:cNvPicPr>
          <a:picLocks noChangeAspect="1"/>
        </xdr:cNvPicPr>
      </xdr:nvPicPr>
      <xdr:blipFill>
        <a:blip xmlns:r="http://schemas.openxmlformats.org/officeDocument/2006/relationships" r:embed="rId2"/>
        <a:stretch>
          <a:fillRect/>
        </a:stretch>
      </xdr:blipFill>
      <xdr:spPr>
        <a:xfrm>
          <a:off x="-38100" y="923925"/>
          <a:ext cx="0" cy="0"/>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twoCellAnchor editAs="oneCell">
    <xdr:from>
      <xdr:col>12</xdr:col>
      <xdr:colOff>711654</xdr:colOff>
      <xdr:row>3</xdr:row>
      <xdr:rowOff>102053</xdr:rowOff>
    </xdr:from>
    <xdr:to>
      <xdr:col>18</xdr:col>
      <xdr:colOff>165224</xdr:colOff>
      <xdr:row>24</xdr:row>
      <xdr:rowOff>195259</xdr:rowOff>
    </xdr:to>
    <xdr:pic>
      <xdr:nvPicPr>
        <xdr:cNvPr id="4" name="Imagen 3">
          <a:extLst>
            <a:ext uri="{FF2B5EF4-FFF2-40B4-BE49-F238E27FC236}">
              <a16:creationId xmlns:a16="http://schemas.microsoft.com/office/drawing/2014/main" id="{00000000-0008-0000-1D00-000004000000}"/>
            </a:ext>
            <a:ext uri="{147F2762-F138-4A5C-976F-8EAC2B608ADB}">
              <a16:predDERef xmlns:a16="http://schemas.microsoft.com/office/drawing/2014/main" pred="{00000000-0008-0000-1D00-000002000000}"/>
            </a:ext>
          </a:extLst>
        </xdr:cNvPr>
        <xdr:cNvPicPr>
          <a:picLocks noChangeAspect="1"/>
        </xdr:cNvPicPr>
      </xdr:nvPicPr>
      <xdr:blipFill>
        <a:blip xmlns:r="http://schemas.openxmlformats.org/officeDocument/2006/relationships" r:embed="rId2"/>
        <a:stretch>
          <a:fillRect/>
        </a:stretch>
      </xdr:blipFill>
      <xdr:spPr>
        <a:xfrm>
          <a:off x="13475154" y="1664153"/>
          <a:ext cx="4025570" cy="5484356"/>
        </a:xfrm>
        <a:prstGeom prst="rect">
          <a:avLst/>
        </a:prstGeom>
      </xdr:spPr>
    </xdr:pic>
    <xdr:clientData/>
  </xdr:twoCellAnchor>
  <xdr:twoCellAnchor editAs="oneCell">
    <xdr:from>
      <xdr:col>19</xdr:col>
      <xdr:colOff>114805</xdr:colOff>
      <xdr:row>5</xdr:row>
      <xdr:rowOff>723900</xdr:rowOff>
    </xdr:from>
    <xdr:to>
      <xdr:col>26</xdr:col>
      <xdr:colOff>585737</xdr:colOff>
      <xdr:row>20</xdr:row>
      <xdr:rowOff>116549</xdr:rowOff>
    </xdr:to>
    <xdr:pic>
      <xdr:nvPicPr>
        <xdr:cNvPr id="6" name="Imagen 5">
          <a:extLst>
            <a:ext uri="{FF2B5EF4-FFF2-40B4-BE49-F238E27FC236}">
              <a16:creationId xmlns:a16="http://schemas.microsoft.com/office/drawing/2014/main" id="{00000000-0008-0000-1D00-000006000000}"/>
            </a:ext>
          </a:extLst>
        </xdr:cNvPr>
        <xdr:cNvPicPr>
          <a:picLocks noChangeAspect="1"/>
        </xdr:cNvPicPr>
      </xdr:nvPicPr>
      <xdr:blipFill>
        <a:blip xmlns:r="http://schemas.openxmlformats.org/officeDocument/2006/relationships" r:embed="rId3"/>
        <a:stretch>
          <a:fillRect/>
        </a:stretch>
      </xdr:blipFill>
      <xdr:spPr>
        <a:xfrm>
          <a:off x="18726655" y="3067050"/>
          <a:ext cx="5938282" cy="2669249"/>
        </a:xfrm>
        <a:prstGeom prst="rect">
          <a:avLst/>
        </a:prstGeom>
      </xdr:spPr>
    </xdr:pic>
    <xdr:clientData/>
  </xdr:twoCellAnchor>
  <xdr:twoCellAnchor editAs="oneCell">
    <xdr:from>
      <xdr:col>27</xdr:col>
      <xdr:colOff>209550</xdr:colOff>
      <xdr:row>6</xdr:row>
      <xdr:rowOff>9044</xdr:rowOff>
    </xdr:from>
    <xdr:to>
      <xdr:col>33</xdr:col>
      <xdr:colOff>244414</xdr:colOff>
      <xdr:row>20</xdr:row>
      <xdr:rowOff>99181</xdr:rowOff>
    </xdr:to>
    <xdr:pic>
      <xdr:nvPicPr>
        <xdr:cNvPr id="7" name="Imagen 6">
          <a:extLst>
            <a:ext uri="{FF2B5EF4-FFF2-40B4-BE49-F238E27FC236}">
              <a16:creationId xmlns:a16="http://schemas.microsoft.com/office/drawing/2014/main" id="{00000000-0008-0000-1D00-000007000000}"/>
            </a:ext>
          </a:extLst>
        </xdr:cNvPr>
        <xdr:cNvPicPr>
          <a:picLocks noChangeAspect="1"/>
        </xdr:cNvPicPr>
      </xdr:nvPicPr>
      <xdr:blipFill>
        <a:blip xmlns:r="http://schemas.openxmlformats.org/officeDocument/2006/relationships" r:embed="rId4"/>
        <a:stretch>
          <a:fillRect/>
        </a:stretch>
      </xdr:blipFill>
      <xdr:spPr>
        <a:xfrm>
          <a:off x="25069800" y="3114194"/>
          <a:ext cx="4721164" cy="2604737"/>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twoCellAnchor editAs="oneCell">
    <xdr:from>
      <xdr:col>11</xdr:col>
      <xdr:colOff>343214</xdr:colOff>
      <xdr:row>3</xdr:row>
      <xdr:rowOff>122464</xdr:rowOff>
    </xdr:from>
    <xdr:to>
      <xdr:col>16</xdr:col>
      <xdr:colOff>366892</xdr:colOff>
      <xdr:row>12</xdr:row>
      <xdr:rowOff>177481</xdr:rowOff>
    </xdr:to>
    <xdr:pic>
      <xdr:nvPicPr>
        <xdr:cNvPr id="6" name="Imagen 5">
          <a:extLst>
            <a:ext uri="{FF2B5EF4-FFF2-40B4-BE49-F238E27FC236}">
              <a16:creationId xmlns:a16="http://schemas.microsoft.com/office/drawing/2014/main" id="{00000000-0008-0000-1E00-000006000000}"/>
            </a:ext>
            <a:ext uri="{147F2762-F138-4A5C-976F-8EAC2B608ADB}">
              <a16:predDERef xmlns:a16="http://schemas.microsoft.com/office/drawing/2014/main" pred="{A02139FD-6B3D-4387-AE93-C5B519CE9BB2}"/>
            </a:ext>
          </a:extLst>
        </xdr:cNvPr>
        <xdr:cNvPicPr>
          <a:picLocks noChangeAspect="1"/>
        </xdr:cNvPicPr>
      </xdr:nvPicPr>
      <xdr:blipFill>
        <a:blip xmlns:r="http://schemas.openxmlformats.org/officeDocument/2006/relationships" r:embed="rId2"/>
        <a:stretch>
          <a:fillRect/>
        </a:stretch>
      </xdr:blipFill>
      <xdr:spPr>
        <a:xfrm>
          <a:off x="12344714" y="1684564"/>
          <a:ext cx="3833678" cy="2655342"/>
        </a:xfrm>
        <a:prstGeom prst="rect">
          <a:avLst/>
        </a:prstGeom>
      </xdr:spPr>
    </xdr:pic>
    <xdr:clientData/>
  </xdr:twoCellAnchor>
  <xdr:twoCellAnchor editAs="oneCell">
    <xdr:from>
      <xdr:col>19</xdr:col>
      <xdr:colOff>206829</xdr:colOff>
      <xdr:row>15</xdr:row>
      <xdr:rowOff>76902</xdr:rowOff>
    </xdr:from>
    <xdr:to>
      <xdr:col>24</xdr:col>
      <xdr:colOff>203611</xdr:colOff>
      <xdr:row>29</xdr:row>
      <xdr:rowOff>136639</xdr:rowOff>
    </xdr:to>
    <xdr:pic>
      <xdr:nvPicPr>
        <xdr:cNvPr id="7" name="Imagen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3"/>
        <a:stretch>
          <a:fillRect/>
        </a:stretch>
      </xdr:blipFill>
      <xdr:spPr>
        <a:xfrm>
          <a:off x="18843172" y="4801302"/>
          <a:ext cx="3915639" cy="2574337"/>
        </a:xfrm>
        <a:prstGeom prst="rect">
          <a:avLst/>
        </a:prstGeom>
      </xdr:spPr>
    </xdr:pic>
    <xdr:clientData/>
  </xdr:twoCellAnchor>
  <xdr:twoCellAnchor editAs="oneCell">
    <xdr:from>
      <xdr:col>13</xdr:col>
      <xdr:colOff>740229</xdr:colOff>
      <xdr:row>30</xdr:row>
      <xdr:rowOff>141698</xdr:rowOff>
    </xdr:from>
    <xdr:to>
      <xdr:col>19</xdr:col>
      <xdr:colOff>757311</xdr:colOff>
      <xdr:row>43</xdr:row>
      <xdr:rowOff>24129</xdr:rowOff>
    </xdr:to>
    <xdr:pic>
      <xdr:nvPicPr>
        <xdr:cNvPr id="8" name="Imagen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4"/>
        <a:stretch>
          <a:fillRect/>
        </a:stretch>
      </xdr:blipFill>
      <xdr:spPr>
        <a:xfrm>
          <a:off x="14673943" y="7543984"/>
          <a:ext cx="4729236" cy="2233746"/>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twoCellAnchor editAs="oneCell">
    <xdr:from>
      <xdr:col>15</xdr:col>
      <xdr:colOff>217715</xdr:colOff>
      <xdr:row>12</xdr:row>
      <xdr:rowOff>163286</xdr:rowOff>
    </xdr:from>
    <xdr:to>
      <xdr:col>20</xdr:col>
      <xdr:colOff>431438</xdr:colOff>
      <xdr:row>25</xdr:row>
      <xdr:rowOff>75656</xdr:rowOff>
    </xdr:to>
    <xdr:pic>
      <xdr:nvPicPr>
        <xdr:cNvPr id="6" name="Imagen 5" descr="Imagen de la pantalla de un celular con letras&#10;&#10;El contenido generado por IA puede ser incorrecto.">
          <a:extLst>
            <a:ext uri="{FF2B5EF4-FFF2-40B4-BE49-F238E27FC236}">
              <a16:creationId xmlns:a16="http://schemas.microsoft.com/office/drawing/2014/main" id="{00000000-0008-0000-1F00-000006000000}"/>
            </a:ext>
          </a:extLst>
        </xdr:cNvPr>
        <xdr:cNvPicPr>
          <a:picLocks noChangeAspect="1"/>
        </xdr:cNvPicPr>
      </xdr:nvPicPr>
      <xdr:blipFill>
        <a:blip xmlns:r="http://schemas.openxmlformats.org/officeDocument/2006/relationships" r:embed="rId2"/>
        <a:stretch>
          <a:fillRect/>
        </a:stretch>
      </xdr:blipFill>
      <xdr:spPr>
        <a:xfrm>
          <a:off x="15718972" y="4343400"/>
          <a:ext cx="4132580" cy="2274570"/>
        </a:xfrm>
        <a:prstGeom prst="rect">
          <a:avLst/>
        </a:prstGeom>
      </xdr:spPr>
    </xdr:pic>
    <xdr:clientData/>
  </xdr:twoCellAnchor>
  <xdr:twoCellAnchor editAs="oneCell">
    <xdr:from>
      <xdr:col>15</xdr:col>
      <xdr:colOff>636815</xdr:colOff>
      <xdr:row>28</xdr:row>
      <xdr:rowOff>88446</xdr:rowOff>
    </xdr:from>
    <xdr:to>
      <xdr:col>20</xdr:col>
      <xdr:colOff>374288</xdr:colOff>
      <xdr:row>40</xdr:row>
      <xdr:rowOff>109855</xdr:rowOff>
    </xdr:to>
    <xdr:pic>
      <xdr:nvPicPr>
        <xdr:cNvPr id="7" name="Imagen 6" descr="Interfaz de usuario gráfica, Texto&#10;&#10;El contenido generado por IA puede ser incorrecto.">
          <a:extLst>
            <a:ext uri="{FF2B5EF4-FFF2-40B4-BE49-F238E27FC236}">
              <a16:creationId xmlns:a16="http://schemas.microsoft.com/office/drawing/2014/main" id="{00000000-0008-0000-1F00-000007000000}"/>
            </a:ext>
          </a:extLst>
        </xdr:cNvPr>
        <xdr:cNvPicPr>
          <a:picLocks noChangeAspect="1"/>
        </xdr:cNvPicPr>
      </xdr:nvPicPr>
      <xdr:blipFill>
        <a:blip xmlns:r="http://schemas.openxmlformats.org/officeDocument/2006/relationships" r:embed="rId3"/>
        <a:stretch>
          <a:fillRect/>
        </a:stretch>
      </xdr:blipFill>
      <xdr:spPr>
        <a:xfrm>
          <a:off x="16138072" y="7153275"/>
          <a:ext cx="3656330" cy="2176780"/>
        </a:xfrm>
        <a:prstGeom prst="rect">
          <a:avLst/>
        </a:prstGeom>
      </xdr:spPr>
    </xdr:pic>
    <xdr:clientData/>
  </xdr:twoCellAnchor>
  <xdr:twoCellAnchor editAs="oneCell">
    <xdr:from>
      <xdr:col>15</xdr:col>
      <xdr:colOff>474890</xdr:colOff>
      <xdr:row>41</xdr:row>
      <xdr:rowOff>121104</xdr:rowOff>
    </xdr:from>
    <xdr:to>
      <xdr:col>20</xdr:col>
      <xdr:colOff>561613</xdr:colOff>
      <xdr:row>54</xdr:row>
      <xdr:rowOff>33927</xdr:rowOff>
    </xdr:to>
    <xdr:pic>
      <xdr:nvPicPr>
        <xdr:cNvPr id="8" name="Imagen 7" descr="Interfaz de usuario gráfica&#10;&#10;El contenido generado por IA puede ser incorrecto.">
          <a:extLst>
            <a:ext uri="{FF2B5EF4-FFF2-40B4-BE49-F238E27FC236}">
              <a16:creationId xmlns:a16="http://schemas.microsoft.com/office/drawing/2014/main" id="{00000000-0008-0000-1F00-000008000000}"/>
            </a:ext>
          </a:extLst>
        </xdr:cNvPr>
        <xdr:cNvPicPr>
          <a:picLocks noChangeAspect="1"/>
        </xdr:cNvPicPr>
      </xdr:nvPicPr>
      <xdr:blipFill>
        <a:blip xmlns:r="http://schemas.openxmlformats.org/officeDocument/2006/relationships" r:embed="rId4"/>
        <a:stretch>
          <a:fillRect/>
        </a:stretch>
      </xdr:blipFill>
      <xdr:spPr>
        <a:xfrm>
          <a:off x="15976147" y="9515475"/>
          <a:ext cx="4005580" cy="222059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twoCellAnchor editAs="oneCell">
    <xdr:from>
      <xdr:col>8</xdr:col>
      <xdr:colOff>181840</xdr:colOff>
      <xdr:row>3</xdr:row>
      <xdr:rowOff>223556</xdr:rowOff>
    </xdr:from>
    <xdr:to>
      <xdr:col>15</xdr:col>
      <xdr:colOff>79817</xdr:colOff>
      <xdr:row>14</xdr:row>
      <xdr:rowOff>60053</xdr:rowOff>
    </xdr:to>
    <xdr:pic>
      <xdr:nvPicPr>
        <xdr:cNvPr id="6" name="Imagen 5">
          <a:extLst>
            <a:ext uri="{FF2B5EF4-FFF2-40B4-BE49-F238E27FC236}">
              <a16:creationId xmlns:a16="http://schemas.microsoft.com/office/drawing/2014/main" id="{00000000-0008-0000-2000-000006000000}"/>
            </a:ext>
            <a:ext uri="{147F2762-F138-4A5C-976F-8EAC2B608ADB}">
              <a16:predDERef xmlns:a16="http://schemas.microsoft.com/office/drawing/2014/main" pred="{00000000-0008-0000-2000-000002000000}"/>
            </a:ext>
          </a:extLst>
        </xdr:cNvPr>
        <xdr:cNvPicPr>
          <a:picLocks noChangeAspect="1"/>
        </xdr:cNvPicPr>
      </xdr:nvPicPr>
      <xdr:blipFill>
        <a:blip xmlns:r="http://schemas.openxmlformats.org/officeDocument/2006/relationships" r:embed="rId2"/>
        <a:stretch>
          <a:fillRect/>
        </a:stretch>
      </xdr:blipFill>
      <xdr:spPr>
        <a:xfrm>
          <a:off x="9897340" y="1785656"/>
          <a:ext cx="5231977" cy="2789247"/>
        </a:xfrm>
        <a:prstGeom prst="rect">
          <a:avLst/>
        </a:prstGeom>
      </xdr:spPr>
    </xdr:pic>
    <xdr:clientData/>
  </xdr:twoCellAnchor>
  <xdr:twoCellAnchor editAs="oneCell">
    <xdr:from>
      <xdr:col>22</xdr:col>
      <xdr:colOff>152400</xdr:colOff>
      <xdr:row>5</xdr:row>
      <xdr:rowOff>667422</xdr:rowOff>
    </xdr:from>
    <xdr:to>
      <xdr:col>28</xdr:col>
      <xdr:colOff>337988</xdr:colOff>
      <xdr:row>19</xdr:row>
      <xdr:rowOff>124885</xdr:rowOff>
    </xdr:to>
    <xdr:pic>
      <xdr:nvPicPr>
        <xdr:cNvPr id="7" name="Imagen 6">
          <a:extLst>
            <a:ext uri="{FF2B5EF4-FFF2-40B4-BE49-F238E27FC236}">
              <a16:creationId xmlns:a16="http://schemas.microsoft.com/office/drawing/2014/main" id="{00000000-0008-0000-2000-000007000000}"/>
            </a:ext>
          </a:extLst>
        </xdr:cNvPr>
        <xdr:cNvPicPr>
          <a:picLocks noChangeAspect="1"/>
        </xdr:cNvPicPr>
      </xdr:nvPicPr>
      <xdr:blipFill>
        <a:blip xmlns:r="http://schemas.openxmlformats.org/officeDocument/2006/relationships" r:embed="rId3"/>
        <a:stretch>
          <a:fillRect/>
        </a:stretch>
      </xdr:blipFill>
      <xdr:spPr>
        <a:xfrm>
          <a:off x="21225164" y="2994986"/>
          <a:ext cx="4923842" cy="2588590"/>
        </a:xfrm>
        <a:prstGeom prst="rect">
          <a:avLst/>
        </a:prstGeom>
      </xdr:spPr>
    </xdr:pic>
    <xdr:clientData/>
  </xdr:twoCellAnchor>
  <xdr:twoCellAnchor editAs="oneCell">
    <xdr:from>
      <xdr:col>17</xdr:col>
      <xdr:colOff>304800</xdr:colOff>
      <xdr:row>22</xdr:row>
      <xdr:rowOff>61686</xdr:rowOff>
    </xdr:from>
    <xdr:to>
      <xdr:col>23</xdr:col>
      <xdr:colOff>368713</xdr:colOff>
      <xdr:row>34</xdr:row>
      <xdr:rowOff>130629</xdr:rowOff>
    </xdr:to>
    <xdr:pic>
      <xdr:nvPicPr>
        <xdr:cNvPr id="8" name="Imagen 7">
          <a:extLst>
            <a:ext uri="{FF2B5EF4-FFF2-40B4-BE49-F238E27FC236}">
              <a16:creationId xmlns:a16="http://schemas.microsoft.com/office/drawing/2014/main" id="{00000000-0008-0000-2000-000008000000}"/>
            </a:ext>
          </a:extLst>
        </xdr:cNvPr>
        <xdr:cNvPicPr>
          <a:picLocks noChangeAspect="1"/>
        </xdr:cNvPicPr>
      </xdr:nvPicPr>
      <xdr:blipFill>
        <a:blip xmlns:r="http://schemas.openxmlformats.org/officeDocument/2006/relationships" r:embed="rId4"/>
        <a:stretch>
          <a:fillRect/>
        </a:stretch>
      </xdr:blipFill>
      <xdr:spPr>
        <a:xfrm>
          <a:off x="17373600" y="6059715"/>
          <a:ext cx="4766542" cy="2213428"/>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503295" cy="838199"/>
        </a:xfrm>
        <a:prstGeom prst="rect">
          <a:avLst/>
        </a:prstGeom>
      </xdr:spPr>
    </xdr:pic>
    <xdr:clientData/>
  </xdr:twoCellAnchor>
  <xdr:twoCellAnchor editAs="oneCell">
    <xdr:from>
      <xdr:col>24</xdr:col>
      <xdr:colOff>706582</xdr:colOff>
      <xdr:row>0</xdr:row>
      <xdr:rowOff>532015</xdr:rowOff>
    </xdr:from>
    <xdr:to>
      <xdr:col>32</xdr:col>
      <xdr:colOff>42603</xdr:colOff>
      <xdr:row>11</xdr:row>
      <xdr:rowOff>121986</xdr:rowOff>
    </xdr:to>
    <xdr:pic>
      <xdr:nvPicPr>
        <xdr:cNvPr id="5" name="Imagen 4">
          <a:extLst>
            <a:ext uri="{FF2B5EF4-FFF2-40B4-BE49-F238E27FC236}">
              <a16:creationId xmlns:a16="http://schemas.microsoft.com/office/drawing/2014/main" id="{00000000-0008-0000-2100-000005000000}"/>
            </a:ext>
          </a:extLst>
        </xdr:cNvPr>
        <xdr:cNvPicPr>
          <a:picLocks noChangeAspect="1"/>
        </xdr:cNvPicPr>
      </xdr:nvPicPr>
      <xdr:blipFill>
        <a:blip xmlns:r="http://schemas.openxmlformats.org/officeDocument/2006/relationships" r:embed="rId2"/>
        <a:stretch>
          <a:fillRect/>
        </a:stretch>
      </xdr:blipFill>
      <xdr:spPr>
        <a:xfrm>
          <a:off x="23358764" y="532015"/>
          <a:ext cx="5653694" cy="3580080"/>
        </a:xfrm>
        <a:prstGeom prst="rect">
          <a:avLst/>
        </a:prstGeom>
      </xdr:spPr>
    </xdr:pic>
    <xdr:clientData/>
  </xdr:twoCellAnchor>
  <xdr:twoCellAnchor editAs="oneCell">
    <xdr:from>
      <xdr:col>25</xdr:col>
      <xdr:colOff>13854</xdr:colOff>
      <xdr:row>14</xdr:row>
      <xdr:rowOff>94212</xdr:rowOff>
    </xdr:from>
    <xdr:to>
      <xdr:col>32</xdr:col>
      <xdr:colOff>139584</xdr:colOff>
      <xdr:row>27</xdr:row>
      <xdr:rowOff>121928</xdr:rowOff>
    </xdr:to>
    <xdr:pic>
      <xdr:nvPicPr>
        <xdr:cNvPr id="9" name="Imagen 8">
          <a:extLst>
            <a:ext uri="{FF2B5EF4-FFF2-40B4-BE49-F238E27FC236}">
              <a16:creationId xmlns:a16="http://schemas.microsoft.com/office/drawing/2014/main" id="{00000000-0008-0000-2100-000009000000}"/>
            </a:ext>
          </a:extLst>
        </xdr:cNvPr>
        <xdr:cNvPicPr>
          <a:picLocks noChangeAspect="1"/>
        </xdr:cNvPicPr>
      </xdr:nvPicPr>
      <xdr:blipFill>
        <a:blip xmlns:r="http://schemas.openxmlformats.org/officeDocument/2006/relationships" r:embed="rId3"/>
        <a:stretch>
          <a:fillRect/>
        </a:stretch>
      </xdr:blipFill>
      <xdr:spPr>
        <a:xfrm>
          <a:off x="23513934" y="4666212"/>
          <a:ext cx="5673090" cy="2435636"/>
        </a:xfrm>
        <a:prstGeom prst="rect">
          <a:avLst/>
        </a:prstGeom>
      </xdr:spPr>
    </xdr:pic>
    <xdr:clientData/>
  </xdr:twoCellAnchor>
  <xdr:twoCellAnchor editAs="oneCell">
    <xdr:from>
      <xdr:col>16</xdr:col>
      <xdr:colOff>107868</xdr:colOff>
      <xdr:row>0</xdr:row>
      <xdr:rowOff>377834</xdr:rowOff>
    </xdr:from>
    <xdr:to>
      <xdr:col>23</xdr:col>
      <xdr:colOff>316783</xdr:colOff>
      <xdr:row>7</xdr:row>
      <xdr:rowOff>55617</xdr:rowOff>
    </xdr:to>
    <xdr:pic>
      <xdr:nvPicPr>
        <xdr:cNvPr id="10" name="Imagen 9">
          <a:extLst>
            <a:ext uri="{FF2B5EF4-FFF2-40B4-BE49-F238E27FC236}">
              <a16:creationId xmlns:a16="http://schemas.microsoft.com/office/drawing/2014/main" id="{00000000-0008-0000-2100-00000A000000}"/>
            </a:ext>
          </a:extLst>
        </xdr:cNvPr>
        <xdr:cNvPicPr>
          <a:picLocks noChangeAspect="1"/>
        </xdr:cNvPicPr>
      </xdr:nvPicPr>
      <xdr:blipFill>
        <a:blip xmlns:r="http://schemas.openxmlformats.org/officeDocument/2006/relationships" r:embed="rId4"/>
        <a:stretch>
          <a:fillRect/>
        </a:stretch>
      </xdr:blipFill>
      <xdr:spPr>
        <a:xfrm>
          <a:off x="16475628" y="377834"/>
          <a:ext cx="5756275" cy="2969623"/>
        </a:xfrm>
        <a:prstGeom prst="rect">
          <a:avLst/>
        </a:prstGeom>
      </xdr:spPr>
    </xdr:pic>
    <xdr:clientData/>
  </xdr:twoCellAnchor>
  <xdr:twoCellAnchor editAs="oneCell">
    <xdr:from>
      <xdr:col>16</xdr:col>
      <xdr:colOff>138546</xdr:colOff>
      <xdr:row>10</xdr:row>
      <xdr:rowOff>108066</xdr:rowOff>
    </xdr:from>
    <xdr:to>
      <xdr:col>23</xdr:col>
      <xdr:colOff>264276</xdr:colOff>
      <xdr:row>33</xdr:row>
      <xdr:rowOff>144039</xdr:rowOff>
    </xdr:to>
    <xdr:pic>
      <xdr:nvPicPr>
        <xdr:cNvPr id="11" name="Imagen 10">
          <a:extLst>
            <a:ext uri="{FF2B5EF4-FFF2-40B4-BE49-F238E27FC236}">
              <a16:creationId xmlns:a16="http://schemas.microsoft.com/office/drawing/2014/main" id="{00000000-0008-0000-2100-00000B000000}"/>
            </a:ext>
          </a:extLst>
        </xdr:cNvPr>
        <xdr:cNvPicPr>
          <a:picLocks noChangeAspect="1"/>
        </xdr:cNvPicPr>
      </xdr:nvPicPr>
      <xdr:blipFill>
        <a:blip xmlns:r="http://schemas.openxmlformats.org/officeDocument/2006/relationships" r:embed="rId5"/>
        <a:stretch>
          <a:fillRect/>
        </a:stretch>
      </xdr:blipFill>
      <xdr:spPr>
        <a:xfrm>
          <a:off x="16473055" y="3918066"/>
          <a:ext cx="5653694" cy="4206191"/>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693170</xdr:colOff>
      <xdr:row>0</xdr:row>
      <xdr:rowOff>38100</xdr:rowOff>
    </xdr:from>
    <xdr:to>
      <xdr:col>1</xdr:col>
      <xdr:colOff>993318</xdr:colOff>
      <xdr:row>0</xdr:row>
      <xdr:rowOff>844924</xdr:rowOff>
    </xdr:to>
    <xdr:pic>
      <xdr:nvPicPr>
        <xdr:cNvPr id="2" name="Imagen 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3170" y="38100"/>
          <a:ext cx="1862248" cy="806824"/>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twoCellAnchor editAs="oneCell">
    <xdr:from>
      <xdr:col>14</xdr:col>
      <xdr:colOff>674686</xdr:colOff>
      <xdr:row>7</xdr:row>
      <xdr:rowOff>150720</xdr:rowOff>
    </xdr:from>
    <xdr:to>
      <xdr:col>20</xdr:col>
      <xdr:colOff>448071</xdr:colOff>
      <xdr:row>11</xdr:row>
      <xdr:rowOff>9922</xdr:rowOff>
    </xdr:to>
    <xdr:pic>
      <xdr:nvPicPr>
        <xdr:cNvPr id="7" name="Imagen 6">
          <a:extLst>
            <a:ext uri="{FF2B5EF4-FFF2-40B4-BE49-F238E27FC236}">
              <a16:creationId xmlns:a16="http://schemas.microsoft.com/office/drawing/2014/main" id="{00000000-0008-0000-2400-000007000000}"/>
            </a:ext>
            <a:ext uri="{147F2762-F138-4A5C-976F-8EAC2B608ADB}">
              <a16:predDERef xmlns:a16="http://schemas.microsoft.com/office/drawing/2014/main" pred="{6DE16B30-C8D7-450A-B040-7EF0BD453C5A}"/>
            </a:ext>
          </a:extLst>
        </xdr:cNvPr>
        <xdr:cNvPicPr>
          <a:picLocks noChangeAspect="1"/>
        </xdr:cNvPicPr>
      </xdr:nvPicPr>
      <xdr:blipFill>
        <a:blip xmlns:r="http://schemas.openxmlformats.org/officeDocument/2006/relationships" r:embed="rId2"/>
        <a:stretch>
          <a:fillRect/>
        </a:stretch>
      </xdr:blipFill>
      <xdr:spPr>
        <a:xfrm>
          <a:off x="14972108" y="3484470"/>
          <a:ext cx="4357291" cy="692640"/>
        </a:xfrm>
        <a:prstGeom prst="rect">
          <a:avLst/>
        </a:prstGeom>
      </xdr:spPr>
    </xdr:pic>
    <xdr:clientData/>
  </xdr:twoCellAnchor>
  <xdr:twoCellAnchor editAs="oneCell">
    <xdr:from>
      <xdr:col>15</xdr:col>
      <xdr:colOff>228203</xdr:colOff>
      <xdr:row>12</xdr:row>
      <xdr:rowOff>178593</xdr:rowOff>
    </xdr:from>
    <xdr:to>
      <xdr:col>24</xdr:col>
      <xdr:colOff>368697</xdr:colOff>
      <xdr:row>16</xdr:row>
      <xdr:rowOff>128800</xdr:rowOff>
    </xdr:to>
    <xdr:pic>
      <xdr:nvPicPr>
        <xdr:cNvPr id="8" name="Imagen 7">
          <a:extLst>
            <a:ext uri="{FF2B5EF4-FFF2-40B4-BE49-F238E27FC236}">
              <a16:creationId xmlns:a16="http://schemas.microsoft.com/office/drawing/2014/main" id="{00000000-0008-0000-2400-000008000000}"/>
            </a:ext>
            <a:ext uri="{147F2762-F138-4A5C-976F-8EAC2B608ADB}">
              <a16:predDERef xmlns:a16="http://schemas.microsoft.com/office/drawing/2014/main" pred="{E1856E25-7DAA-F8CE-B9B4-6AA9AE3569A1}"/>
            </a:ext>
          </a:extLst>
        </xdr:cNvPr>
        <xdr:cNvPicPr>
          <a:picLocks noChangeAspect="1"/>
        </xdr:cNvPicPr>
      </xdr:nvPicPr>
      <xdr:blipFill>
        <a:blip xmlns:r="http://schemas.openxmlformats.org/officeDocument/2006/relationships" r:embed="rId3"/>
        <a:stretch>
          <a:fillRect/>
        </a:stretch>
      </xdr:blipFill>
      <xdr:spPr>
        <a:xfrm flipV="1">
          <a:off x="15289609" y="4554140"/>
          <a:ext cx="7016354" cy="783644"/>
        </a:xfrm>
        <a:prstGeom prst="rect">
          <a:avLst/>
        </a:prstGeom>
      </xdr:spPr>
    </xdr:pic>
    <xdr:clientData/>
  </xdr:twoCellAnchor>
  <xdr:twoCellAnchor editAs="oneCell">
    <xdr:from>
      <xdr:col>13</xdr:col>
      <xdr:colOff>0</xdr:colOff>
      <xdr:row>22</xdr:row>
      <xdr:rowOff>0</xdr:rowOff>
    </xdr:from>
    <xdr:to>
      <xdr:col>19</xdr:col>
      <xdr:colOff>0</xdr:colOff>
      <xdr:row>27</xdr:row>
      <xdr:rowOff>142875</xdr:rowOff>
    </xdr:to>
    <xdr:pic>
      <xdr:nvPicPr>
        <xdr:cNvPr id="9" name="Imagen 8">
          <a:extLst>
            <a:ext uri="{FF2B5EF4-FFF2-40B4-BE49-F238E27FC236}">
              <a16:creationId xmlns:a16="http://schemas.microsoft.com/office/drawing/2014/main" id="{00000000-0008-0000-2400-000009000000}"/>
            </a:ext>
            <a:ext uri="{147F2762-F138-4A5C-976F-8EAC2B608ADB}">
              <a16:predDERef xmlns:a16="http://schemas.microsoft.com/office/drawing/2014/main" pred="{3CBCEB22-0A71-3539-EB46-A7BD37AEFE56}"/>
            </a:ext>
          </a:extLst>
        </xdr:cNvPr>
        <xdr:cNvPicPr>
          <a:picLocks noChangeAspect="1"/>
        </xdr:cNvPicPr>
      </xdr:nvPicPr>
      <xdr:blipFill>
        <a:blip xmlns:r="http://schemas.openxmlformats.org/officeDocument/2006/relationships" r:embed="rId4"/>
        <a:stretch>
          <a:fillRect/>
        </a:stretch>
      </xdr:blipFill>
      <xdr:spPr>
        <a:xfrm>
          <a:off x="13525500" y="6467475"/>
          <a:ext cx="4572000" cy="1190625"/>
        </a:xfrm>
        <a:prstGeom prst="rect">
          <a:avLst/>
        </a:prstGeom>
      </xdr:spPr>
    </xdr:pic>
    <xdr:clientData/>
  </xdr:twoCellAnchor>
  <xdr:twoCellAnchor editAs="oneCell">
    <xdr:from>
      <xdr:col>13</xdr:col>
      <xdr:colOff>9525</xdr:colOff>
      <xdr:row>28</xdr:row>
      <xdr:rowOff>66675</xdr:rowOff>
    </xdr:from>
    <xdr:to>
      <xdr:col>18</xdr:col>
      <xdr:colOff>457200</xdr:colOff>
      <xdr:row>38</xdr:row>
      <xdr:rowOff>38100</xdr:rowOff>
    </xdr:to>
    <xdr:pic>
      <xdr:nvPicPr>
        <xdr:cNvPr id="10" name="Imagen 9">
          <a:extLst>
            <a:ext uri="{FF2B5EF4-FFF2-40B4-BE49-F238E27FC236}">
              <a16:creationId xmlns:a16="http://schemas.microsoft.com/office/drawing/2014/main" id="{00000000-0008-0000-2400-00000A000000}"/>
            </a:ext>
            <a:ext uri="{147F2762-F138-4A5C-976F-8EAC2B608ADB}">
              <a16:predDERef xmlns:a16="http://schemas.microsoft.com/office/drawing/2014/main" pred="{46FED63C-8831-F3EB-1AB5-148521BA50D3}"/>
            </a:ext>
          </a:extLst>
        </xdr:cNvPr>
        <xdr:cNvPicPr>
          <a:picLocks noChangeAspect="1"/>
        </xdr:cNvPicPr>
      </xdr:nvPicPr>
      <xdr:blipFill>
        <a:blip xmlns:r="http://schemas.openxmlformats.org/officeDocument/2006/relationships" r:embed="rId5"/>
        <a:stretch>
          <a:fillRect/>
        </a:stretch>
      </xdr:blipFill>
      <xdr:spPr>
        <a:xfrm>
          <a:off x="13535025" y="7791450"/>
          <a:ext cx="4257675" cy="2066925"/>
        </a:xfrm>
        <a:prstGeom prst="rect">
          <a:avLst/>
        </a:prstGeom>
      </xdr:spPr>
    </xdr:pic>
    <xdr:clientData/>
  </xdr:twoCellAnchor>
  <xdr:twoCellAnchor editAs="oneCell">
    <xdr:from>
      <xdr:col>13</xdr:col>
      <xdr:colOff>390525</xdr:colOff>
      <xdr:row>38</xdr:row>
      <xdr:rowOff>200025</xdr:rowOff>
    </xdr:from>
    <xdr:to>
      <xdr:col>18</xdr:col>
      <xdr:colOff>152400</xdr:colOff>
      <xdr:row>46</xdr:row>
      <xdr:rowOff>190500</xdr:rowOff>
    </xdr:to>
    <xdr:pic>
      <xdr:nvPicPr>
        <xdr:cNvPr id="11" name="Imagen 10">
          <a:extLst>
            <a:ext uri="{FF2B5EF4-FFF2-40B4-BE49-F238E27FC236}">
              <a16:creationId xmlns:a16="http://schemas.microsoft.com/office/drawing/2014/main" id="{00000000-0008-0000-2400-00000B000000}"/>
            </a:ext>
            <a:ext uri="{147F2762-F138-4A5C-976F-8EAC2B608ADB}">
              <a16:predDERef xmlns:a16="http://schemas.microsoft.com/office/drawing/2014/main" pred="{BC8946A6-B076-19D3-36CE-4FE10129BD8D}"/>
            </a:ext>
          </a:extLst>
        </xdr:cNvPr>
        <xdr:cNvPicPr>
          <a:picLocks noChangeAspect="1"/>
        </xdr:cNvPicPr>
      </xdr:nvPicPr>
      <xdr:blipFill>
        <a:blip xmlns:r="http://schemas.openxmlformats.org/officeDocument/2006/relationships" r:embed="rId6"/>
        <a:stretch>
          <a:fillRect/>
        </a:stretch>
      </xdr:blipFill>
      <xdr:spPr>
        <a:xfrm>
          <a:off x="13916025" y="10020300"/>
          <a:ext cx="3571875" cy="1666875"/>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1502795</xdr:colOff>
      <xdr:row>0</xdr:row>
      <xdr:rowOff>66676</xdr:rowOff>
    </xdr:from>
    <xdr:to>
      <xdr:col>1</xdr:col>
      <xdr:colOff>742950</xdr:colOff>
      <xdr:row>0</xdr:row>
      <xdr:rowOff>904875</xdr:rowOff>
    </xdr:to>
    <xdr:pic>
      <xdr:nvPicPr>
        <xdr:cNvPr id="2" name="Imagen 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2795" y="66676"/>
          <a:ext cx="1440430" cy="838199"/>
        </a:xfrm>
        <a:prstGeom prst="rect">
          <a:avLst/>
        </a:prstGeom>
      </xdr:spPr>
    </xdr:pic>
    <xdr:clientData/>
  </xdr:twoCellAnchor>
  <xdr:twoCellAnchor editAs="oneCell">
    <xdr:from>
      <xdr:col>12</xdr:col>
      <xdr:colOff>695325</xdr:colOff>
      <xdr:row>0</xdr:row>
      <xdr:rowOff>895350</xdr:rowOff>
    </xdr:from>
    <xdr:to>
      <xdr:col>18</xdr:col>
      <xdr:colOff>695325</xdr:colOff>
      <xdr:row>4</xdr:row>
      <xdr:rowOff>276225</xdr:rowOff>
    </xdr:to>
    <xdr:pic>
      <xdr:nvPicPr>
        <xdr:cNvPr id="3" name="Imagen 2">
          <a:extLst>
            <a:ext uri="{FF2B5EF4-FFF2-40B4-BE49-F238E27FC236}">
              <a16:creationId xmlns:a16="http://schemas.microsoft.com/office/drawing/2014/main" id="{00000000-0008-0000-2500-000003000000}"/>
            </a:ext>
            <a:ext uri="{147F2762-F138-4A5C-976F-8EAC2B608ADB}">
              <a16:predDERef xmlns:a16="http://schemas.microsoft.com/office/drawing/2014/main" pred="{9C2273A7-72E8-497F-93CA-E689D3AD9315}"/>
            </a:ext>
          </a:extLst>
        </xdr:cNvPr>
        <xdr:cNvPicPr>
          <a:picLocks noChangeAspect="1"/>
        </xdr:cNvPicPr>
      </xdr:nvPicPr>
      <xdr:blipFill>
        <a:blip xmlns:r="http://schemas.openxmlformats.org/officeDocument/2006/relationships" r:embed="rId2"/>
        <a:stretch>
          <a:fillRect/>
        </a:stretch>
      </xdr:blipFill>
      <xdr:spPr>
        <a:xfrm>
          <a:off x="13458825" y="895350"/>
          <a:ext cx="4572000" cy="1447800"/>
        </a:xfrm>
        <a:prstGeom prst="rect">
          <a:avLst/>
        </a:prstGeom>
      </xdr:spPr>
    </xdr:pic>
    <xdr:clientData/>
  </xdr:twoCellAnchor>
  <xdr:twoCellAnchor editAs="oneCell">
    <xdr:from>
      <xdr:col>13</xdr:col>
      <xdr:colOff>19050</xdr:colOff>
      <xdr:row>5</xdr:row>
      <xdr:rowOff>47625</xdr:rowOff>
    </xdr:from>
    <xdr:to>
      <xdr:col>19</xdr:col>
      <xdr:colOff>19050</xdr:colOff>
      <xdr:row>14</xdr:row>
      <xdr:rowOff>95250</xdr:rowOff>
    </xdr:to>
    <xdr:pic>
      <xdr:nvPicPr>
        <xdr:cNvPr id="4" name="Imagen 3">
          <a:extLst>
            <a:ext uri="{FF2B5EF4-FFF2-40B4-BE49-F238E27FC236}">
              <a16:creationId xmlns:a16="http://schemas.microsoft.com/office/drawing/2014/main" id="{00000000-0008-0000-2500-000004000000}"/>
            </a:ext>
            <a:ext uri="{147F2762-F138-4A5C-976F-8EAC2B608ADB}">
              <a16:predDERef xmlns:a16="http://schemas.microsoft.com/office/drawing/2014/main" pred="{EECCBEFF-FE3C-82B8-E1BF-23CE6F92771C}"/>
            </a:ext>
          </a:extLst>
        </xdr:cNvPr>
        <xdr:cNvPicPr>
          <a:picLocks noChangeAspect="1"/>
        </xdr:cNvPicPr>
      </xdr:nvPicPr>
      <xdr:blipFill>
        <a:blip xmlns:r="http://schemas.openxmlformats.org/officeDocument/2006/relationships" r:embed="rId3"/>
        <a:stretch>
          <a:fillRect/>
        </a:stretch>
      </xdr:blipFill>
      <xdr:spPr>
        <a:xfrm>
          <a:off x="13544550" y="2400300"/>
          <a:ext cx="4572000" cy="2486025"/>
        </a:xfrm>
        <a:prstGeom prst="rect">
          <a:avLst/>
        </a:prstGeom>
      </xdr:spPr>
    </xdr:pic>
    <xdr:clientData/>
  </xdr:twoCellAnchor>
  <xdr:twoCellAnchor editAs="oneCell">
    <xdr:from>
      <xdr:col>13</xdr:col>
      <xdr:colOff>47625</xdr:colOff>
      <xdr:row>16</xdr:row>
      <xdr:rowOff>76200</xdr:rowOff>
    </xdr:from>
    <xdr:to>
      <xdr:col>19</xdr:col>
      <xdr:colOff>38100</xdr:colOff>
      <xdr:row>28</xdr:row>
      <xdr:rowOff>28575</xdr:rowOff>
    </xdr:to>
    <xdr:pic>
      <xdr:nvPicPr>
        <xdr:cNvPr id="5" name="Imagen 4">
          <a:extLst>
            <a:ext uri="{FF2B5EF4-FFF2-40B4-BE49-F238E27FC236}">
              <a16:creationId xmlns:a16="http://schemas.microsoft.com/office/drawing/2014/main" id="{00000000-0008-0000-2500-000005000000}"/>
            </a:ext>
            <a:ext uri="{147F2762-F138-4A5C-976F-8EAC2B608ADB}">
              <a16:predDERef xmlns:a16="http://schemas.microsoft.com/office/drawing/2014/main" pred="{FAD3F926-E604-5503-9F46-600991A30648}"/>
            </a:ext>
          </a:extLst>
        </xdr:cNvPr>
        <xdr:cNvPicPr>
          <a:picLocks noChangeAspect="1"/>
        </xdr:cNvPicPr>
      </xdr:nvPicPr>
      <xdr:blipFill>
        <a:blip xmlns:r="http://schemas.openxmlformats.org/officeDocument/2006/relationships" r:embed="rId4"/>
        <a:stretch>
          <a:fillRect/>
        </a:stretch>
      </xdr:blipFill>
      <xdr:spPr>
        <a:xfrm>
          <a:off x="13573125" y="5286375"/>
          <a:ext cx="4562475" cy="24669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hyperlink" Target="https://fenusas.com.co/"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2.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5.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26.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27.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8.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29.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0.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1.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2.bin"/></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pageSetUpPr fitToPage="1"/>
  </sheetPr>
  <dimension ref="A1:Z54"/>
  <sheetViews>
    <sheetView showGridLines="0" view="pageBreakPreview" topLeftCell="A10" zoomScaleNormal="100" zoomScaleSheetLayoutView="100" workbookViewId="0">
      <selection activeCell="K25" sqref="K25"/>
    </sheetView>
  </sheetViews>
  <sheetFormatPr baseColWidth="10" defaultColWidth="11.42578125" defaultRowHeight="16.5"/>
  <cols>
    <col min="1" max="1" width="5.85546875" style="1" customWidth="1"/>
    <col min="2" max="2" width="62.5703125" style="1" customWidth="1"/>
    <col min="3" max="3" width="11.28515625" style="1" customWidth="1"/>
    <col min="4" max="4" width="11.7109375" style="1" customWidth="1"/>
    <col min="5" max="5" width="15.42578125" style="1" customWidth="1"/>
    <col min="6" max="6" width="15.85546875" style="1" customWidth="1"/>
    <col min="7" max="7" width="13.140625" style="1" customWidth="1"/>
    <col min="8" max="8" width="10.140625" style="1" customWidth="1"/>
    <col min="9" max="9" width="21" style="1" customWidth="1"/>
    <col min="10" max="10" width="18.28515625" style="1" customWidth="1"/>
    <col min="11" max="11" width="21" style="1" customWidth="1"/>
    <col min="12" max="12" width="11.42578125" style="1"/>
    <col min="13" max="13" width="5.85546875" style="1" customWidth="1"/>
    <col min="14" max="14" width="6.140625" style="1" customWidth="1"/>
    <col min="15" max="15" width="25.7109375" style="1" customWidth="1"/>
    <col min="16" max="16" width="11.42578125" style="1"/>
    <col min="17" max="17" width="10.85546875" style="1" customWidth="1"/>
    <col min="18" max="18" width="12.28515625" style="1" customWidth="1"/>
    <col min="19" max="19" width="14.5703125" style="1" customWidth="1"/>
    <col min="20" max="25" width="11.42578125" style="1"/>
    <col min="26" max="26" width="13.5703125" style="1" bestFit="1" customWidth="1"/>
    <col min="27" max="16384" width="11.42578125" style="1"/>
  </cols>
  <sheetData>
    <row r="1" spans="1:26" ht="72" customHeight="1" thickBot="1">
      <c r="A1" s="701" t="s">
        <v>0</v>
      </c>
      <c r="B1" s="702"/>
      <c r="C1" s="702"/>
      <c r="D1" s="702"/>
      <c r="E1" s="703"/>
      <c r="F1" s="704"/>
      <c r="G1" s="705"/>
      <c r="H1" s="705"/>
      <c r="I1" s="706"/>
    </row>
    <row r="2" spans="1:26" ht="17.25" thickBot="1">
      <c r="O2" s="676" t="s">
        <v>33</v>
      </c>
      <c r="P2" s="676"/>
      <c r="Q2" s="676"/>
      <c r="R2" s="676"/>
      <c r="S2" s="676"/>
    </row>
    <row r="3" spans="1:26" ht="17.25" customHeight="1" thickBot="1">
      <c r="A3" s="719" t="s">
        <v>1</v>
      </c>
      <c r="B3" s="720"/>
      <c r="C3" s="720"/>
      <c r="D3" s="720"/>
      <c r="E3" s="720"/>
      <c r="F3" s="720"/>
      <c r="G3" s="720"/>
      <c r="H3" s="720"/>
      <c r="I3" s="721"/>
      <c r="O3" s="330" t="s">
        <v>35</v>
      </c>
      <c r="P3" s="639" t="s">
        <v>36</v>
      </c>
      <c r="Q3" s="330" t="s">
        <v>517</v>
      </c>
      <c r="R3" s="330" t="s">
        <v>518</v>
      </c>
      <c r="S3" s="330" t="s">
        <v>38</v>
      </c>
    </row>
    <row r="4" spans="1:26" ht="33" customHeight="1">
      <c r="A4" s="722" t="str">
        <f>+'PRESUPUESTO OFICIAL 2026'!B4</f>
        <v xml:space="preserve">Mantenimiento del sistema de climatización y equipos electro mecánicos del Centro Administrativo Departamental y sus Sedes Externas	
LOTE 1		</v>
      </c>
      <c r="B4" s="723"/>
      <c r="C4" s="723"/>
      <c r="D4" s="723"/>
      <c r="E4" s="723"/>
      <c r="F4" s="723"/>
      <c r="G4" s="723"/>
      <c r="H4" s="723"/>
      <c r="I4" s="723"/>
      <c r="O4" s="331" t="s">
        <v>514</v>
      </c>
      <c r="P4" s="639" t="s">
        <v>36</v>
      </c>
      <c r="Q4" s="332">
        <v>1</v>
      </c>
      <c r="R4" s="333">
        <v>700000</v>
      </c>
      <c r="S4" s="333">
        <f>+R4*Q4</f>
        <v>700000</v>
      </c>
    </row>
    <row r="5" spans="1:26">
      <c r="A5" s="711"/>
      <c r="B5" s="712"/>
      <c r="C5" s="712"/>
      <c r="D5" s="712"/>
      <c r="E5" s="712"/>
      <c r="F5" s="712"/>
      <c r="G5" s="712"/>
      <c r="H5" s="712"/>
      <c r="I5" s="713"/>
      <c r="K5" s="611"/>
      <c r="O5" s="331" t="s">
        <v>515</v>
      </c>
      <c r="P5" s="639" t="s">
        <v>36</v>
      </c>
      <c r="Q5" s="332">
        <v>22</v>
      </c>
      <c r="R5" s="333">
        <v>25500</v>
      </c>
      <c r="S5" s="333">
        <f t="shared" ref="S5:S8" si="0">+R5*Q5</f>
        <v>561000</v>
      </c>
    </row>
    <row r="6" spans="1:26" s="61" customFormat="1" ht="27.75" customHeight="1">
      <c r="A6" s="58" t="s">
        <v>2</v>
      </c>
      <c r="B6" s="59" t="s">
        <v>3</v>
      </c>
      <c r="C6" s="59" t="s">
        <v>4</v>
      </c>
      <c r="D6" s="59" t="s">
        <v>5</v>
      </c>
      <c r="E6" s="59" t="s">
        <v>6</v>
      </c>
      <c r="F6" s="59" t="s">
        <v>7</v>
      </c>
      <c r="G6" s="59" t="s">
        <v>8</v>
      </c>
      <c r="H6" s="59" t="s">
        <v>9</v>
      </c>
      <c r="I6" s="60" t="s">
        <v>10</v>
      </c>
      <c r="K6" s="612"/>
      <c r="O6" s="331" t="s">
        <v>516</v>
      </c>
      <c r="P6" s="639" t="s">
        <v>36</v>
      </c>
      <c r="Q6" s="332">
        <v>3</v>
      </c>
      <c r="R6" s="333">
        <v>67900</v>
      </c>
      <c r="S6" s="333">
        <f t="shared" si="0"/>
        <v>203700</v>
      </c>
    </row>
    <row r="7" spans="1:26" ht="20.100000000000001" customHeight="1">
      <c r="A7" s="63">
        <v>1</v>
      </c>
      <c r="B7" s="714" t="s">
        <v>11</v>
      </c>
      <c r="C7" s="715"/>
      <c r="D7" s="715"/>
      <c r="E7" s="715"/>
      <c r="F7" s="715"/>
      <c r="G7" s="715"/>
      <c r="H7" s="715"/>
      <c r="I7" s="716"/>
      <c r="O7" s="331" t="s">
        <v>519</v>
      </c>
      <c r="P7" s="639" t="s">
        <v>36</v>
      </c>
      <c r="Q7" s="332">
        <v>1</v>
      </c>
      <c r="R7" s="333">
        <v>30295.078399999999</v>
      </c>
      <c r="S7" s="333">
        <f t="shared" si="0"/>
        <v>30295.078399999999</v>
      </c>
    </row>
    <row r="8" spans="1:26" ht="20.100000000000001" customHeight="1">
      <c r="A8" s="42" t="s">
        <v>12</v>
      </c>
      <c r="B8" s="74" t="s">
        <v>13</v>
      </c>
      <c r="C8" s="42" t="s">
        <v>14</v>
      </c>
      <c r="D8" s="42">
        <v>1</v>
      </c>
      <c r="E8" s="93">
        <f>+'COSTO PERSONAL'!V5</f>
        <v>7879072.5</v>
      </c>
      <c r="F8" s="95">
        <f>'COSTO PERSONAL'!W42+1</f>
        <v>1.5829</v>
      </c>
      <c r="G8" s="43">
        <v>0.25</v>
      </c>
      <c r="H8" s="44">
        <v>10</v>
      </c>
      <c r="I8" s="286">
        <f>H8*G8*F8*E8*D8</f>
        <v>31179459.650625002</v>
      </c>
      <c r="K8" s="611"/>
      <c r="O8" s="331" t="s">
        <v>520</v>
      </c>
      <c r="P8" s="639" t="s">
        <v>36</v>
      </c>
      <c r="Q8" s="332">
        <v>1</v>
      </c>
      <c r="R8" s="333">
        <v>17000</v>
      </c>
      <c r="S8" s="333">
        <f t="shared" si="0"/>
        <v>17000</v>
      </c>
      <c r="Z8" s="611"/>
    </row>
    <row r="9" spans="1:26" ht="20.100000000000001" customHeight="1">
      <c r="A9" s="42">
        <v>1.2</v>
      </c>
      <c r="B9" s="74" t="s">
        <v>15</v>
      </c>
      <c r="C9" s="42" t="s">
        <v>14</v>
      </c>
      <c r="D9" s="42">
        <v>1</v>
      </c>
      <c r="E9" s="93">
        <f>+'COSTO PERSONAL'!Z5</f>
        <v>4377262.5</v>
      </c>
      <c r="F9" s="95">
        <f>'COSTO PERSONAL'!Y42+1</f>
        <v>1.5829</v>
      </c>
      <c r="G9" s="43">
        <v>0.2</v>
      </c>
      <c r="H9" s="44">
        <f>+H8</f>
        <v>10</v>
      </c>
      <c r="I9" s="286">
        <f>H9*G9*F9*E9*D9</f>
        <v>13857537.622500001</v>
      </c>
      <c r="K9" s="584"/>
      <c r="O9" s="331"/>
      <c r="P9" s="639"/>
      <c r="Q9" s="332"/>
      <c r="R9" s="333"/>
      <c r="S9" s="333"/>
    </row>
    <row r="10" spans="1:26" ht="20.100000000000001" customHeight="1">
      <c r="A10" s="42" t="s">
        <v>16</v>
      </c>
      <c r="B10" s="74" t="s">
        <v>17</v>
      </c>
      <c r="C10" s="42" t="s">
        <v>14</v>
      </c>
      <c r="D10" s="42">
        <v>1</v>
      </c>
      <c r="E10" s="93">
        <f>+'COSTO PERSONAL'!AB5</f>
        <v>3501810</v>
      </c>
      <c r="F10" s="95">
        <f>'COSTO PERSONAL'!AA42+1</f>
        <v>1.5829</v>
      </c>
      <c r="G10" s="43">
        <v>0.2</v>
      </c>
      <c r="H10" s="44">
        <f>+H9</f>
        <v>10</v>
      </c>
      <c r="I10" s="286">
        <f>H10*G10*F10*E10*D10</f>
        <v>11086030.097999999</v>
      </c>
      <c r="O10" s="331"/>
      <c r="P10" s="639"/>
      <c r="Q10" s="332"/>
      <c r="R10" s="333"/>
      <c r="S10" s="333"/>
      <c r="V10" s="1">
        <v>18900</v>
      </c>
    </row>
    <row r="11" spans="1:26" ht="20.100000000000001" customHeight="1">
      <c r="A11" s="42"/>
      <c r="B11" s="330"/>
      <c r="C11" s="330"/>
      <c r="D11" s="330"/>
      <c r="E11" s="544"/>
      <c r="F11" s="545"/>
      <c r="G11" s="546"/>
      <c r="H11" s="44"/>
      <c r="I11" s="547"/>
      <c r="O11" s="331"/>
      <c r="P11" s="639"/>
      <c r="Q11" s="332"/>
      <c r="R11" s="333"/>
      <c r="S11" s="333"/>
      <c r="V11" s="1">
        <v>32000</v>
      </c>
    </row>
    <row r="12" spans="1:26" ht="20.100000000000001" customHeight="1">
      <c r="A12" s="89">
        <v>2</v>
      </c>
      <c r="B12" s="717" t="s">
        <v>18</v>
      </c>
      <c r="C12" s="717"/>
      <c r="D12" s="717"/>
      <c r="E12" s="717"/>
      <c r="F12" s="717"/>
      <c r="G12" s="717"/>
      <c r="H12" s="717"/>
      <c r="I12" s="718"/>
      <c r="K12" s="584"/>
      <c r="O12" s="331"/>
      <c r="P12" s="639"/>
      <c r="Q12" s="332"/>
      <c r="R12" s="333"/>
      <c r="S12" s="333"/>
    </row>
    <row r="13" spans="1:26" ht="20.100000000000001" customHeight="1">
      <c r="A13" s="46" t="s">
        <v>19</v>
      </c>
      <c r="B13" s="47" t="s">
        <v>20</v>
      </c>
      <c r="C13" s="48" t="s">
        <v>14</v>
      </c>
      <c r="D13" s="48">
        <v>1</v>
      </c>
      <c r="E13" s="92">
        <v>145000</v>
      </c>
      <c r="F13" s="707"/>
      <c r="G13" s="707"/>
      <c r="H13" s="87">
        <f>+H10</f>
        <v>10</v>
      </c>
      <c r="I13" s="108">
        <f>H13*E13*D13</f>
        <v>1450000</v>
      </c>
      <c r="O13" s="331"/>
      <c r="P13" s="639"/>
      <c r="Q13" s="332"/>
      <c r="R13" s="333"/>
      <c r="S13" s="333"/>
    </row>
    <row r="14" spans="1:26" ht="20.25" customHeight="1">
      <c r="A14" s="49" t="s">
        <v>21</v>
      </c>
      <c r="B14" s="74" t="s">
        <v>22</v>
      </c>
      <c r="C14" s="42" t="s">
        <v>23</v>
      </c>
      <c r="D14" s="42">
        <v>1</v>
      </c>
      <c r="E14" s="93">
        <v>145000</v>
      </c>
      <c r="F14" s="708"/>
      <c r="G14" s="708"/>
      <c r="H14" s="44">
        <f>+H13</f>
        <v>10</v>
      </c>
      <c r="I14" s="109">
        <f>D14*E14*H14</f>
        <v>1450000</v>
      </c>
      <c r="O14" s="331"/>
      <c r="P14" s="639"/>
      <c r="Q14" s="332"/>
      <c r="R14" s="333"/>
      <c r="S14" s="333"/>
    </row>
    <row r="15" spans="1:26" ht="20.100000000000001" customHeight="1" thickBot="1">
      <c r="A15" s="50" t="s">
        <v>24</v>
      </c>
      <c r="B15" s="51" t="s">
        <v>25</v>
      </c>
      <c r="C15" s="52" t="s">
        <v>23</v>
      </c>
      <c r="D15" s="52">
        <v>1</v>
      </c>
      <c r="E15" s="94">
        <v>145000</v>
      </c>
      <c r="F15" s="724"/>
      <c r="G15" s="725"/>
      <c r="H15" s="53">
        <f>+H8</f>
        <v>10</v>
      </c>
      <c r="I15" s="109">
        <f>D15*E15*H15</f>
        <v>1450000</v>
      </c>
      <c r="O15" s="330"/>
      <c r="P15" s="639"/>
      <c r="Q15" s="332"/>
      <c r="R15" s="334"/>
      <c r="S15" s="333"/>
    </row>
    <row r="16" spans="1:26" ht="20.100000000000001" customHeight="1" thickBot="1">
      <c r="A16" s="57">
        <v>3</v>
      </c>
      <c r="B16" s="709" t="s">
        <v>26</v>
      </c>
      <c r="C16" s="709"/>
      <c r="D16" s="709"/>
      <c r="E16" s="709"/>
      <c r="F16" s="709"/>
      <c r="G16" s="709"/>
      <c r="H16" s="709"/>
      <c r="I16" s="710"/>
      <c r="O16" s="1" t="s">
        <v>66</v>
      </c>
      <c r="S16" s="65">
        <f>SUM(S4:S15)</f>
        <v>1511995.0784</v>
      </c>
    </row>
    <row r="17" spans="1:19" ht="20.100000000000001" customHeight="1" thickBot="1">
      <c r="A17" s="54" t="s">
        <v>27</v>
      </c>
      <c r="B17" s="55" t="s">
        <v>28</v>
      </c>
      <c r="C17" s="56" t="s">
        <v>23</v>
      </c>
      <c r="D17" s="56">
        <v>1</v>
      </c>
      <c r="E17" s="96">
        <v>100000</v>
      </c>
      <c r="F17" s="677"/>
      <c r="G17" s="678"/>
      <c r="H17" s="88">
        <f>+H8</f>
        <v>10</v>
      </c>
      <c r="I17" s="110">
        <f>H17*E17*D17</f>
        <v>1000000</v>
      </c>
    </row>
    <row r="18" spans="1:19" ht="20.100000000000001" customHeight="1" thickBot="1">
      <c r="A18" s="63">
        <v>4</v>
      </c>
      <c r="B18" s="680" t="s">
        <v>29</v>
      </c>
      <c r="C18" s="680"/>
      <c r="D18" s="680"/>
      <c r="E18" s="680"/>
      <c r="F18" s="680"/>
      <c r="G18" s="680"/>
      <c r="H18" s="680"/>
      <c r="I18" s="681"/>
    </row>
    <row r="19" spans="1:19" ht="60.6" customHeight="1">
      <c r="A19" s="54" t="s">
        <v>30</v>
      </c>
      <c r="B19" s="91" t="s">
        <v>31</v>
      </c>
      <c r="C19" s="56" t="s">
        <v>32</v>
      </c>
      <c r="D19" s="56">
        <v>1</v>
      </c>
      <c r="E19" s="96">
        <f>+S33</f>
        <v>372423.07692307694</v>
      </c>
      <c r="F19" s="90"/>
      <c r="G19" s="42"/>
      <c r="H19" s="44">
        <v>5</v>
      </c>
      <c r="I19" s="286">
        <f>H19*E19*D19</f>
        <v>1862115.3846153847</v>
      </c>
      <c r="O19" s="676" t="s">
        <v>33</v>
      </c>
      <c r="P19" s="676"/>
      <c r="Q19" s="676"/>
      <c r="R19" s="676"/>
      <c r="S19" s="676"/>
    </row>
    <row r="20" spans="1:19" ht="20.100000000000001" customHeight="1" thickBot="1">
      <c r="A20" s="57">
        <v>5</v>
      </c>
      <c r="B20" s="672" t="s">
        <v>34</v>
      </c>
      <c r="C20" s="673"/>
      <c r="D20" s="673"/>
      <c r="E20" s="673"/>
      <c r="F20" s="673"/>
      <c r="G20" s="674"/>
      <c r="H20" s="674"/>
      <c r="I20" s="675"/>
      <c r="O20" s="330" t="s">
        <v>35</v>
      </c>
      <c r="P20" s="42" t="s">
        <v>36</v>
      </c>
      <c r="Q20" s="330" t="s">
        <v>37</v>
      </c>
      <c r="R20" s="330" t="s">
        <v>38</v>
      </c>
      <c r="S20" s="330" t="s">
        <v>39</v>
      </c>
    </row>
    <row r="21" spans="1:19" ht="25.15" customHeight="1">
      <c r="A21" s="54">
        <v>5.0999999999999996</v>
      </c>
      <c r="B21" s="543" t="s">
        <v>40</v>
      </c>
      <c r="C21" s="56" t="s">
        <v>23</v>
      </c>
      <c r="D21" s="56">
        <v>1</v>
      </c>
      <c r="E21" s="96">
        <v>1500000</v>
      </c>
      <c r="F21" s="677"/>
      <c r="G21" s="678"/>
      <c r="H21" s="88">
        <v>10</v>
      </c>
      <c r="I21" s="110">
        <f>H21*E21*D21</f>
        <v>15000000</v>
      </c>
      <c r="O21" s="331" t="s">
        <v>41</v>
      </c>
      <c r="P21" s="42" t="s">
        <v>36</v>
      </c>
      <c r="Q21" s="332">
        <v>2</v>
      </c>
      <c r="R21" s="333">
        <v>25000</v>
      </c>
      <c r="S21" s="333">
        <f>+R21*Q21</f>
        <v>50000</v>
      </c>
    </row>
    <row r="22" spans="1:19" ht="20.100000000000001" customHeight="1">
      <c r="A22" s="63">
        <v>6</v>
      </c>
      <c r="B22" s="672" t="s">
        <v>42</v>
      </c>
      <c r="C22" s="673"/>
      <c r="D22" s="673"/>
      <c r="E22" s="673"/>
      <c r="F22" s="673"/>
      <c r="G22" s="673"/>
      <c r="H22" s="673"/>
      <c r="I22" s="688"/>
      <c r="J22" s="661"/>
      <c r="K22" s="661"/>
      <c r="L22" s="661"/>
      <c r="O22" s="331" t="s">
        <v>43</v>
      </c>
      <c r="P22" s="42" t="s">
        <v>36</v>
      </c>
      <c r="Q22" s="332">
        <v>2</v>
      </c>
      <c r="R22" s="333">
        <v>7000</v>
      </c>
      <c r="S22" s="333">
        <f t="shared" ref="S22:S32" si="1">+R22*Q22</f>
        <v>14000</v>
      </c>
    </row>
    <row r="23" spans="1:19" ht="20.100000000000001" customHeight="1">
      <c r="A23" s="54">
        <v>6.1</v>
      </c>
      <c r="B23" s="695" t="s">
        <v>44</v>
      </c>
      <c r="C23" s="696"/>
      <c r="D23" s="696"/>
      <c r="E23" s="696"/>
      <c r="F23" s="697"/>
      <c r="G23" s="72">
        <v>0.5</v>
      </c>
      <c r="H23" s="73">
        <v>4.0000000000000001E-3</v>
      </c>
      <c r="I23" s="382">
        <v>1405027</v>
      </c>
      <c r="J23" s="662"/>
      <c r="K23" s="663"/>
      <c r="L23" s="661"/>
      <c r="O23" s="331" t="s">
        <v>45</v>
      </c>
      <c r="P23" s="42" t="s">
        <v>36</v>
      </c>
      <c r="Q23" s="332">
        <v>2</v>
      </c>
      <c r="R23" s="333">
        <v>50000</v>
      </c>
      <c r="S23" s="333">
        <f t="shared" si="1"/>
        <v>100000</v>
      </c>
    </row>
    <row r="24" spans="1:19" ht="15" customHeight="1">
      <c r="A24" s="39"/>
      <c r="B24" s="40"/>
      <c r="C24" s="39"/>
      <c r="D24" s="39"/>
      <c r="E24" s="41"/>
      <c r="F24" s="39"/>
      <c r="G24" s="38"/>
      <c r="H24" s="36"/>
      <c r="I24" s="38"/>
      <c r="J24" s="663"/>
      <c r="K24" s="664">
        <f>+I25/I28</f>
        <v>0.13674807545143486</v>
      </c>
      <c r="L24" s="661"/>
      <c r="O24" s="331" t="s">
        <v>46</v>
      </c>
      <c r="P24" s="42" t="s">
        <v>36</v>
      </c>
      <c r="Q24" s="332">
        <v>2</v>
      </c>
      <c r="R24" s="333">
        <v>10000</v>
      </c>
      <c r="S24" s="333">
        <f t="shared" si="1"/>
        <v>20000</v>
      </c>
    </row>
    <row r="25" spans="1:19" ht="17.25" customHeight="1">
      <c r="A25" s="689" t="s">
        <v>47</v>
      </c>
      <c r="B25" s="690"/>
      <c r="C25" s="690"/>
      <c r="D25" s="690"/>
      <c r="E25" s="690"/>
      <c r="F25" s="690"/>
      <c r="G25" s="62" t="s">
        <v>48</v>
      </c>
      <c r="H25" s="548">
        <f>+K29</f>
        <v>0.13674807545143486</v>
      </c>
      <c r="I25" s="317">
        <f>ROUND(I8+I9+I10+I11+I13+I14+I15+I17+I19+I21+I23,0)</f>
        <v>79740170</v>
      </c>
      <c r="J25" s="664">
        <f>I25</f>
        <v>79740170</v>
      </c>
      <c r="K25" s="667">
        <f>+I25/I28</f>
        <v>0.13674807545143486</v>
      </c>
      <c r="L25" s="661"/>
      <c r="O25" s="331" t="s">
        <v>49</v>
      </c>
      <c r="P25" s="42" t="s">
        <v>36</v>
      </c>
      <c r="Q25" s="332">
        <v>2</v>
      </c>
      <c r="R25" s="333">
        <v>5000</v>
      </c>
      <c r="S25" s="333">
        <f t="shared" si="1"/>
        <v>10000</v>
      </c>
    </row>
    <row r="26" spans="1:19" ht="17.25" customHeight="1">
      <c r="A26" s="691" t="s">
        <v>50</v>
      </c>
      <c r="B26" s="692"/>
      <c r="C26" s="692"/>
      <c r="D26" s="692"/>
      <c r="E26" s="692"/>
      <c r="F26" s="692"/>
      <c r="G26" s="45" t="s">
        <v>51</v>
      </c>
      <c r="H26" s="86">
        <v>0.05</v>
      </c>
      <c r="I26" s="318">
        <f>ROUND(I28*H26,0)</f>
        <v>29155866</v>
      </c>
      <c r="J26" s="663"/>
      <c r="K26" s="663"/>
      <c r="L26" s="661"/>
      <c r="O26" s="331" t="s">
        <v>52</v>
      </c>
      <c r="P26" s="42" t="s">
        <v>36</v>
      </c>
      <c r="Q26" s="332">
        <v>2</v>
      </c>
      <c r="R26" s="333">
        <v>2500</v>
      </c>
      <c r="S26" s="333">
        <f t="shared" si="1"/>
        <v>5000</v>
      </c>
    </row>
    <row r="27" spans="1:19" ht="17.25" customHeight="1" thickBot="1">
      <c r="A27" s="698" t="s">
        <v>53</v>
      </c>
      <c r="B27" s="699"/>
      <c r="C27" s="699"/>
      <c r="D27" s="699"/>
      <c r="E27" s="699"/>
      <c r="F27" s="699"/>
      <c r="G27" s="700"/>
      <c r="H27" s="561">
        <f>+H25+H26</f>
        <v>0.18674807545143485</v>
      </c>
      <c r="I27" s="319">
        <f>SUM(I25:I26)</f>
        <v>108896036</v>
      </c>
      <c r="J27" s="663"/>
      <c r="K27" s="663"/>
      <c r="L27" s="661"/>
      <c r="O27" s="331" t="s">
        <v>54</v>
      </c>
      <c r="P27" s="42" t="s">
        <v>36</v>
      </c>
      <c r="Q27" s="332">
        <v>2</v>
      </c>
      <c r="R27" s="333">
        <v>15000</v>
      </c>
      <c r="S27" s="333">
        <f t="shared" si="1"/>
        <v>30000</v>
      </c>
    </row>
    <row r="28" spans="1:19" ht="17.25" customHeight="1" thickBot="1">
      <c r="A28" s="693" t="s">
        <v>55</v>
      </c>
      <c r="B28" s="694"/>
      <c r="C28" s="694"/>
      <c r="D28" s="694"/>
      <c r="E28" s="694"/>
      <c r="F28" s="694"/>
      <c r="G28" s="694"/>
      <c r="H28" s="694"/>
      <c r="I28" s="320">
        <f>+'PRESUPUESTO OFICIAL 2026'!L56</f>
        <v>583117310.69530976</v>
      </c>
      <c r="J28" s="663"/>
      <c r="K28" s="663"/>
      <c r="L28" s="661"/>
      <c r="O28" s="331" t="s">
        <v>56</v>
      </c>
      <c r="P28" s="42" t="s">
        <v>36</v>
      </c>
      <c r="Q28" s="332">
        <v>2</v>
      </c>
      <c r="R28" s="333">
        <v>5000</v>
      </c>
      <c r="S28" s="333">
        <f t="shared" si="1"/>
        <v>10000</v>
      </c>
    </row>
    <row r="29" spans="1:19" ht="17.25" customHeight="1">
      <c r="A29" s="686" t="s">
        <v>57</v>
      </c>
      <c r="B29" s="687"/>
      <c r="C29" s="687"/>
      <c r="D29" s="687"/>
      <c r="E29" s="687"/>
      <c r="F29" s="687"/>
      <c r="G29" s="687"/>
      <c r="H29" s="687"/>
      <c r="I29" s="321">
        <f>I28+I27</f>
        <v>692013346.69530976</v>
      </c>
      <c r="J29" s="663"/>
      <c r="K29" s="665">
        <f>+I25/I28</f>
        <v>0.13674807545143486</v>
      </c>
      <c r="L29" s="661"/>
      <c r="O29" s="331" t="s">
        <v>58</v>
      </c>
      <c r="P29" s="42" t="s">
        <v>36</v>
      </c>
      <c r="Q29" s="332">
        <v>5</v>
      </c>
      <c r="R29" s="333">
        <v>2500</v>
      </c>
      <c r="S29" s="333">
        <f t="shared" si="1"/>
        <v>12500</v>
      </c>
    </row>
    <row r="30" spans="1:19" ht="19.5" customHeight="1" thickBot="1">
      <c r="A30" s="54">
        <v>7</v>
      </c>
      <c r="B30" s="55" t="s">
        <v>59</v>
      </c>
      <c r="C30" s="56" t="s">
        <v>23</v>
      </c>
      <c r="D30" s="56">
        <v>1</v>
      </c>
      <c r="E30" s="683"/>
      <c r="F30" s="684"/>
      <c r="G30" s="684"/>
      <c r="H30" s="685"/>
      <c r="I30" s="328">
        <f>+Pólizas!G20</f>
        <v>2898257.8778148494</v>
      </c>
      <c r="J30" s="664"/>
      <c r="K30" s="663"/>
      <c r="L30" s="661"/>
      <c r="O30" s="331" t="s">
        <v>60</v>
      </c>
      <c r="P30" s="42" t="s">
        <v>36</v>
      </c>
      <c r="Q30" s="332">
        <v>0</v>
      </c>
      <c r="R30" s="333">
        <v>50000</v>
      </c>
      <c r="S30" s="333">
        <f t="shared" si="1"/>
        <v>0</v>
      </c>
    </row>
    <row r="31" spans="1:19" ht="17.25" customHeight="1">
      <c r="A31" s="682" t="s">
        <v>61</v>
      </c>
      <c r="B31" s="682"/>
      <c r="C31" s="682"/>
      <c r="D31" s="682"/>
      <c r="E31" s="682"/>
      <c r="F31" s="682"/>
      <c r="G31" s="682"/>
      <c r="H31" s="682"/>
      <c r="I31" s="327">
        <f>+I30+I29</f>
        <v>694911604.57312465</v>
      </c>
      <c r="J31" s="663"/>
      <c r="K31" s="663"/>
      <c r="L31" s="661"/>
      <c r="O31" s="331" t="s">
        <v>62</v>
      </c>
      <c r="P31" s="42" t="s">
        <v>63</v>
      </c>
      <c r="Q31" s="332">
        <v>1</v>
      </c>
      <c r="R31" s="333">
        <v>100000</v>
      </c>
      <c r="S31" s="333">
        <f t="shared" si="1"/>
        <v>100000</v>
      </c>
    </row>
    <row r="32" spans="1:19">
      <c r="J32" s="663"/>
      <c r="K32" s="663"/>
      <c r="L32" s="661"/>
      <c r="O32" s="330" t="s">
        <v>64</v>
      </c>
      <c r="P32" s="42" t="s">
        <v>63</v>
      </c>
      <c r="Q32" s="332">
        <v>1</v>
      </c>
      <c r="R32" s="334">
        <f>SUM(R21:R31)/ 13</f>
        <v>20923.076923076922</v>
      </c>
      <c r="S32" s="333">
        <f t="shared" si="1"/>
        <v>20923.076923076922</v>
      </c>
    </row>
    <row r="33" spans="1:19">
      <c r="A33" s="679" t="s">
        <v>65</v>
      </c>
      <c r="B33" s="679"/>
      <c r="C33" s="679"/>
      <c r="D33" s="679"/>
      <c r="E33" s="679"/>
      <c r="F33" s="679"/>
      <c r="G33" s="679"/>
      <c r="H33" s="679"/>
      <c r="I33" s="679"/>
      <c r="O33" s="1" t="s">
        <v>66</v>
      </c>
      <c r="S33" s="65">
        <f>SUM(S21:S32)</f>
        <v>372423.07692307694</v>
      </c>
    </row>
    <row r="34" spans="1:19">
      <c r="A34" s="679"/>
      <c r="B34" s="679"/>
      <c r="C34" s="679"/>
      <c r="D34" s="679"/>
      <c r="E34" s="679"/>
      <c r="F34" s="679"/>
      <c r="G34" s="679"/>
      <c r="H34" s="679"/>
      <c r="I34" s="679"/>
    </row>
    <row r="35" spans="1:19">
      <c r="A35" s="679"/>
      <c r="B35" s="679"/>
      <c r="C35" s="679"/>
      <c r="D35" s="679"/>
      <c r="E35" s="679"/>
      <c r="F35" s="679"/>
      <c r="G35" s="679"/>
      <c r="H35" s="679"/>
      <c r="I35" s="679"/>
    </row>
    <row r="36" spans="1:19">
      <c r="A36" s="679"/>
      <c r="B36" s="679"/>
      <c r="C36" s="679"/>
      <c r="D36" s="679"/>
      <c r="E36" s="679"/>
      <c r="F36" s="679"/>
      <c r="G36" s="679"/>
      <c r="H36" s="679"/>
      <c r="I36" s="679"/>
    </row>
    <row r="37" spans="1:19">
      <c r="A37" s="679"/>
      <c r="B37" s="679"/>
      <c r="C37" s="679"/>
      <c r="D37" s="679"/>
      <c r="E37" s="679"/>
      <c r="F37" s="679"/>
      <c r="G37" s="679"/>
      <c r="H37" s="679"/>
      <c r="I37" s="679"/>
    </row>
    <row r="38" spans="1:19">
      <c r="A38" s="679"/>
      <c r="B38" s="679"/>
      <c r="C38" s="679"/>
      <c r="D38" s="679"/>
      <c r="E38" s="679"/>
      <c r="F38" s="679"/>
      <c r="G38" s="679"/>
      <c r="H38" s="679"/>
      <c r="I38" s="679"/>
    </row>
    <row r="39" spans="1:19">
      <c r="A39" s="679"/>
      <c r="B39" s="679"/>
      <c r="C39" s="679"/>
      <c r="D39" s="679"/>
      <c r="E39" s="679"/>
      <c r="F39" s="679"/>
      <c r="G39" s="679"/>
      <c r="H39" s="679"/>
      <c r="I39" s="679"/>
    </row>
    <row r="40" spans="1:19">
      <c r="A40" s="679"/>
      <c r="B40" s="679"/>
      <c r="C40" s="679"/>
      <c r="D40" s="679"/>
      <c r="E40" s="679"/>
      <c r="F40" s="679"/>
      <c r="G40" s="679"/>
      <c r="H40" s="679"/>
      <c r="I40" s="679"/>
    </row>
    <row r="41" spans="1:19">
      <c r="A41" s="679"/>
      <c r="B41" s="679"/>
      <c r="C41" s="679"/>
      <c r="D41" s="679"/>
      <c r="E41" s="679"/>
      <c r="F41" s="679"/>
      <c r="G41" s="679"/>
      <c r="H41" s="679"/>
      <c r="I41" s="679"/>
    </row>
    <row r="42" spans="1:19">
      <c r="A42" s="679"/>
      <c r="B42" s="679"/>
      <c r="C42" s="679"/>
      <c r="D42" s="679"/>
      <c r="E42" s="679"/>
      <c r="F42" s="679"/>
      <c r="G42" s="679"/>
      <c r="H42" s="679"/>
      <c r="I42" s="679"/>
    </row>
    <row r="43" spans="1:19">
      <c r="A43" s="679"/>
      <c r="B43" s="679"/>
      <c r="C43" s="679"/>
      <c r="D43" s="679"/>
      <c r="E43" s="679"/>
      <c r="F43" s="679"/>
      <c r="G43" s="679"/>
      <c r="H43" s="679"/>
      <c r="I43" s="679"/>
    </row>
    <row r="44" spans="1:19">
      <c r="A44" s="679"/>
      <c r="B44" s="679"/>
      <c r="C44" s="679"/>
      <c r="D44" s="679"/>
      <c r="E44" s="679"/>
      <c r="F44" s="679"/>
      <c r="G44" s="679"/>
      <c r="H44" s="679"/>
      <c r="I44" s="679"/>
    </row>
    <row r="45" spans="1:19">
      <c r="A45" s="679"/>
      <c r="B45" s="679"/>
      <c r="C45" s="679"/>
      <c r="D45" s="679"/>
      <c r="E45" s="679"/>
      <c r="F45" s="679"/>
      <c r="G45" s="679"/>
      <c r="H45" s="679"/>
      <c r="I45" s="679"/>
    </row>
    <row r="46" spans="1:19">
      <c r="A46" s="679"/>
      <c r="B46" s="679"/>
      <c r="C46" s="679"/>
      <c r="D46" s="679"/>
      <c r="E46" s="679"/>
      <c r="F46" s="679"/>
      <c r="G46" s="679"/>
      <c r="H46" s="679"/>
      <c r="I46" s="679"/>
    </row>
    <row r="47" spans="1:19">
      <c r="A47" s="679"/>
      <c r="B47" s="679"/>
      <c r="C47" s="679"/>
      <c r="D47" s="679"/>
      <c r="E47" s="679"/>
      <c r="F47" s="679"/>
      <c r="G47" s="679"/>
      <c r="H47" s="679"/>
      <c r="I47" s="679"/>
    </row>
    <row r="48" spans="1:19">
      <c r="A48" s="679"/>
      <c r="B48" s="679"/>
      <c r="C48" s="679"/>
      <c r="D48" s="679"/>
      <c r="E48" s="679"/>
      <c r="F48" s="679"/>
      <c r="G48" s="679"/>
      <c r="H48" s="679"/>
      <c r="I48" s="679"/>
    </row>
    <row r="49" spans="1:9">
      <c r="A49" s="679"/>
      <c r="B49" s="679"/>
      <c r="C49" s="679"/>
      <c r="D49" s="679"/>
      <c r="E49" s="679"/>
      <c r="F49" s="679"/>
      <c r="G49" s="679"/>
      <c r="H49" s="679"/>
      <c r="I49" s="679"/>
    </row>
    <row r="50" spans="1:9">
      <c r="A50" s="679"/>
      <c r="B50" s="679"/>
      <c r="C50" s="679"/>
      <c r="D50" s="679"/>
      <c r="E50" s="679"/>
      <c r="F50" s="679"/>
      <c r="G50" s="679"/>
      <c r="H50" s="679"/>
      <c r="I50" s="679"/>
    </row>
    <row r="51" spans="1:9">
      <c r="A51" s="679"/>
      <c r="B51" s="679"/>
      <c r="C51" s="679"/>
      <c r="D51" s="679"/>
      <c r="E51" s="679"/>
      <c r="F51" s="679"/>
      <c r="G51" s="679"/>
      <c r="H51" s="679"/>
      <c r="I51" s="679"/>
    </row>
    <row r="52" spans="1:9">
      <c r="A52" s="679"/>
      <c r="B52" s="679"/>
      <c r="C52" s="679"/>
      <c r="D52" s="679"/>
      <c r="E52" s="679"/>
      <c r="F52" s="679"/>
      <c r="G52" s="679"/>
      <c r="H52" s="679"/>
      <c r="I52" s="679"/>
    </row>
    <row r="53" spans="1:9">
      <c r="A53" s="679"/>
      <c r="B53" s="679"/>
      <c r="C53" s="679"/>
      <c r="D53" s="679"/>
      <c r="E53" s="679"/>
      <c r="F53" s="679"/>
      <c r="G53" s="679"/>
      <c r="H53" s="679"/>
      <c r="I53" s="679"/>
    </row>
    <row r="54" spans="1:9" hidden="1">
      <c r="A54" s="679"/>
      <c r="B54" s="679"/>
      <c r="C54" s="679"/>
      <c r="D54" s="679"/>
      <c r="E54" s="679"/>
      <c r="F54" s="679"/>
      <c r="G54" s="679"/>
      <c r="H54" s="679"/>
      <c r="I54" s="679"/>
    </row>
  </sheetData>
  <mergeCells count="27">
    <mergeCell ref="A1:E1"/>
    <mergeCell ref="F1:I1"/>
    <mergeCell ref="F17:G17"/>
    <mergeCell ref="F13:G13"/>
    <mergeCell ref="F14:G14"/>
    <mergeCell ref="B16:I16"/>
    <mergeCell ref="A5:I5"/>
    <mergeCell ref="B7:I7"/>
    <mergeCell ref="B12:I12"/>
    <mergeCell ref="A3:I3"/>
    <mergeCell ref="A4:I4"/>
    <mergeCell ref="F15:G15"/>
    <mergeCell ref="B20:I20"/>
    <mergeCell ref="O2:S2"/>
    <mergeCell ref="O19:S19"/>
    <mergeCell ref="F21:G21"/>
    <mergeCell ref="A33:I54"/>
    <mergeCell ref="B18:I18"/>
    <mergeCell ref="A31:H31"/>
    <mergeCell ref="E30:H30"/>
    <mergeCell ref="A29:H29"/>
    <mergeCell ref="B22:I22"/>
    <mergeCell ref="A25:F25"/>
    <mergeCell ref="A26:F26"/>
    <mergeCell ref="A28:H28"/>
    <mergeCell ref="B23:F23"/>
    <mergeCell ref="A27:G27"/>
  </mergeCells>
  <pageMargins left="0.23622047244094491" right="0.23622047244094491" top="0.35433070866141736" bottom="0.35433070866141736" header="0.31496062992125984" footer="0.31496062992125984"/>
  <pageSetup scale="6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W40"/>
  <sheetViews>
    <sheetView zoomScale="85" zoomScaleNormal="85" workbookViewId="0">
      <selection activeCell="G22" sqref="G22"/>
    </sheetView>
  </sheetViews>
  <sheetFormatPr baseColWidth="10" defaultColWidth="11.42578125" defaultRowHeight="16.5"/>
  <cols>
    <col min="1" max="1" width="5.85546875" style="1" customWidth="1"/>
    <col min="2" max="2" width="39.7109375" style="1" customWidth="1"/>
    <col min="3" max="3" width="15.7109375" style="1" customWidth="1"/>
    <col min="4" max="4" width="16.42578125" style="1" customWidth="1"/>
    <col min="5" max="5" width="14.28515625" style="1" customWidth="1"/>
    <col min="6" max="6" width="13.85546875" style="1" customWidth="1"/>
    <col min="7" max="7" width="19.5703125" style="1" customWidth="1"/>
    <col min="8" max="8" width="18.42578125" style="1" customWidth="1"/>
    <col min="9" max="14" width="11.42578125" style="1"/>
    <col min="15" max="15" width="14.140625" style="1" customWidth="1"/>
    <col min="16" max="16384" width="11.42578125" style="1"/>
  </cols>
  <sheetData>
    <row r="1" spans="1:23" ht="81.75" customHeight="1" thickBot="1">
      <c r="A1" s="704" t="s">
        <v>67</v>
      </c>
      <c r="B1" s="705"/>
      <c r="C1" s="705"/>
      <c r="D1" s="706"/>
      <c r="E1" s="704"/>
      <c r="F1" s="705"/>
      <c r="G1" s="706"/>
      <c r="I1" s="704" t="s">
        <v>67</v>
      </c>
      <c r="J1" s="705"/>
      <c r="K1" s="705"/>
      <c r="L1" s="706"/>
      <c r="M1" s="704"/>
      <c r="N1" s="705"/>
      <c r="O1" s="706"/>
      <c r="Q1" s="704" t="s">
        <v>67</v>
      </c>
      <c r="R1" s="705"/>
      <c r="S1" s="705"/>
      <c r="T1" s="706"/>
      <c r="U1" s="704"/>
      <c r="V1" s="705"/>
      <c r="W1" s="706"/>
    </row>
    <row r="2" spans="1:23" ht="17.25" thickBot="1"/>
    <row r="3" spans="1:23" ht="14.45" customHeight="1" thickBot="1">
      <c r="A3" s="747" t="str">
        <f>+'AU  Consul P2'!A3:I3</f>
        <v>SECRETARÍA DE TALENTO HUMANO Y SERVICIOS ADMINISTRATIVOS- DIRECCIÓN DE SERVICIOS GENERALES</v>
      </c>
      <c r="B3" s="748"/>
      <c r="C3" s="748"/>
      <c r="D3" s="748"/>
      <c r="E3" s="748"/>
      <c r="F3" s="748"/>
      <c r="G3" s="749"/>
      <c r="I3" s="747">
        <f>+'AU  Consul P2'!I3:Q3</f>
        <v>0</v>
      </c>
      <c r="J3" s="748"/>
      <c r="K3" s="748"/>
      <c r="L3" s="748"/>
      <c r="M3" s="748"/>
      <c r="N3" s="748"/>
      <c r="O3" s="749"/>
      <c r="Q3" s="747" t="str">
        <f>+'AU  Consul P2'!Q3:Y3</f>
        <v>cantidad</v>
      </c>
      <c r="R3" s="748"/>
      <c r="S3" s="748"/>
      <c r="T3" s="748"/>
      <c r="U3" s="748"/>
      <c r="V3" s="748"/>
      <c r="W3" s="749"/>
    </row>
    <row r="4" spans="1:23" ht="40.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c r="I4" s="750">
        <f>+'PRESUPUESTO OFICIAL 2026'!J4</f>
        <v>0</v>
      </c>
      <c r="J4" s="751"/>
      <c r="K4" s="752"/>
      <c r="L4" s="752"/>
      <c r="M4" s="752"/>
      <c r="N4" s="752"/>
      <c r="O4" s="753"/>
      <c r="Q4" s="750">
        <f>+'PRESUPUESTO OFICIAL 2026'!N4</f>
        <v>0</v>
      </c>
      <c r="R4" s="751"/>
      <c r="S4" s="752"/>
      <c r="T4" s="752"/>
      <c r="U4" s="752"/>
      <c r="V4" s="752"/>
      <c r="W4" s="753"/>
    </row>
    <row r="5" spans="1:23" ht="17.25" thickBot="1">
      <c r="A5" s="287"/>
      <c r="B5" s="287"/>
      <c r="C5" s="287"/>
      <c r="D5" s="287"/>
      <c r="E5" s="287"/>
      <c r="F5" s="287"/>
      <c r="G5" s="287"/>
      <c r="H5" s="411" t="s">
        <v>68</v>
      </c>
      <c r="I5" s="287"/>
      <c r="J5" s="287"/>
      <c r="K5" s="287"/>
      <c r="L5" s="287"/>
      <c r="M5" s="287"/>
      <c r="N5" s="287"/>
      <c r="O5" s="287"/>
      <c r="Q5" s="287"/>
      <c r="R5" s="287"/>
      <c r="S5" s="287"/>
      <c r="T5" s="287"/>
      <c r="U5" s="287"/>
      <c r="V5" s="287"/>
      <c r="W5" s="287"/>
    </row>
    <row r="6" spans="1:23" ht="16.5" customHeight="1">
      <c r="A6" s="754" t="s">
        <v>69</v>
      </c>
      <c r="B6" s="755"/>
      <c r="C6" s="756">
        <f>H6</f>
        <v>692013346</v>
      </c>
      <c r="D6" s="757"/>
      <c r="E6" s="757"/>
      <c r="F6" s="757"/>
      <c r="G6" s="758"/>
      <c r="H6" s="35">
        <f>+'PRESUPUESTO OFICIAL 2026'!L59</f>
        <v>692013346</v>
      </c>
      <c r="I6" s="754" t="s">
        <v>69</v>
      </c>
      <c r="J6" s="755"/>
      <c r="K6" s="756">
        <f>+'PRESUPUESTO OFICIAL 2026 TH'!L59</f>
        <v>474155370</v>
      </c>
      <c r="L6" s="757"/>
      <c r="M6" s="757"/>
      <c r="N6" s="757"/>
      <c r="O6" s="758"/>
      <c r="Q6" s="754" t="s">
        <v>69</v>
      </c>
      <c r="R6" s="755"/>
      <c r="S6" s="756">
        <f>+'PRESUPUESTO OFICIAL 2026 SALUD'!L59</f>
        <v>217857977</v>
      </c>
      <c r="T6" s="757"/>
      <c r="U6" s="757"/>
      <c r="V6" s="757"/>
      <c r="W6" s="758"/>
    </row>
    <row r="7" spans="1:23" ht="16.5" customHeight="1">
      <c r="A7" s="759" t="s">
        <v>70</v>
      </c>
      <c r="B7" s="760"/>
      <c r="C7" s="761">
        <f>10*30</f>
        <v>300</v>
      </c>
      <c r="D7" s="762"/>
      <c r="E7" s="762"/>
      <c r="F7" s="762"/>
      <c r="G7" s="763"/>
      <c r="I7" s="759" t="s">
        <v>70</v>
      </c>
      <c r="J7" s="760"/>
      <c r="K7" s="761">
        <f>+C7</f>
        <v>300</v>
      </c>
      <c r="L7" s="762"/>
      <c r="M7" s="762"/>
      <c r="N7" s="762"/>
      <c r="O7" s="763"/>
      <c r="Q7" s="759" t="s">
        <v>70</v>
      </c>
      <c r="R7" s="760"/>
      <c r="S7" s="761">
        <f>+C7</f>
        <v>300</v>
      </c>
      <c r="T7" s="762"/>
      <c r="U7" s="762"/>
      <c r="V7" s="762"/>
      <c r="W7" s="763"/>
    </row>
    <row r="8" spans="1:23" ht="17.25" thickBot="1">
      <c r="A8" s="741" t="s">
        <v>71</v>
      </c>
      <c r="B8" s="764"/>
      <c r="C8" s="765">
        <v>0</v>
      </c>
      <c r="D8" s="766"/>
      <c r="E8" s="766"/>
      <c r="F8" s="766"/>
      <c r="G8" s="767"/>
      <c r="I8" s="741" t="s">
        <v>71</v>
      </c>
      <c r="J8" s="764"/>
      <c r="K8" s="765">
        <v>0</v>
      </c>
      <c r="L8" s="766"/>
      <c r="M8" s="766"/>
      <c r="N8" s="766"/>
      <c r="O8" s="767"/>
      <c r="Q8" s="741" t="s">
        <v>71</v>
      </c>
      <c r="R8" s="764"/>
      <c r="S8" s="765">
        <v>0</v>
      </c>
      <c r="T8" s="766"/>
      <c r="U8" s="766"/>
      <c r="V8" s="766"/>
      <c r="W8" s="767"/>
    </row>
    <row r="9" spans="1:23" ht="17.25" thickBot="1">
      <c r="A9" s="720"/>
      <c r="B9" s="720"/>
      <c r="C9" s="39"/>
      <c r="D9" s="39"/>
      <c r="E9" s="288"/>
      <c r="F9" s="36"/>
      <c r="G9" s="37"/>
      <c r="I9" s="720"/>
      <c r="J9" s="720"/>
      <c r="K9" s="39"/>
      <c r="L9" s="39"/>
      <c r="M9" s="288"/>
      <c r="N9" s="36"/>
      <c r="O9" s="37"/>
      <c r="Q9" s="720"/>
      <c r="R9" s="720"/>
      <c r="S9" s="39"/>
      <c r="T9" s="39"/>
      <c r="U9" s="288"/>
      <c r="V9" s="36"/>
      <c r="W9" s="37"/>
    </row>
    <row r="10" spans="1:23" ht="17.25" customHeight="1" thickBot="1">
      <c r="A10" s="698" t="s">
        <v>72</v>
      </c>
      <c r="B10" s="700"/>
      <c r="C10" s="746" t="s">
        <v>73</v>
      </c>
      <c r="D10" s="700"/>
      <c r="E10" s="289" t="s">
        <v>74</v>
      </c>
      <c r="F10" s="290" t="s">
        <v>75</v>
      </c>
      <c r="G10" s="291" t="s">
        <v>76</v>
      </c>
      <c r="I10" s="698" t="s">
        <v>72</v>
      </c>
      <c r="J10" s="700"/>
      <c r="K10" s="746" t="s">
        <v>73</v>
      </c>
      <c r="L10" s="700"/>
      <c r="M10" s="289" t="s">
        <v>74</v>
      </c>
      <c r="N10" s="290" t="s">
        <v>75</v>
      </c>
      <c r="O10" s="291" t="s">
        <v>76</v>
      </c>
      <c r="Q10" s="698" t="s">
        <v>72</v>
      </c>
      <c r="R10" s="700"/>
      <c r="S10" s="746" t="s">
        <v>73</v>
      </c>
      <c r="T10" s="700"/>
      <c r="U10" s="289" t="s">
        <v>74</v>
      </c>
      <c r="V10" s="290" t="s">
        <v>75</v>
      </c>
      <c r="W10" s="291" t="s">
        <v>76</v>
      </c>
    </row>
    <row r="11" spans="1:23" ht="16.5" customHeight="1">
      <c r="A11" s="735" t="s">
        <v>77</v>
      </c>
      <c r="B11" s="736"/>
      <c r="C11" s="292">
        <v>0.15</v>
      </c>
      <c r="D11" s="293">
        <f>C6*C11</f>
        <v>103802001.89999999</v>
      </c>
      <c r="E11" s="294">
        <f>C7+(6*30)</f>
        <v>480</v>
      </c>
      <c r="F11" s="295">
        <v>4.0000000000000001E-3</v>
      </c>
      <c r="G11" s="296">
        <f>(D11*F11)/365*E11</f>
        <v>546026.96889863012</v>
      </c>
      <c r="I11" s="735" t="s">
        <v>77</v>
      </c>
      <c r="J11" s="736"/>
      <c r="K11" s="292">
        <v>0.15</v>
      </c>
      <c r="L11" s="293">
        <f>K6*K11</f>
        <v>71123305.5</v>
      </c>
      <c r="M11" s="294">
        <f>K7+(6*30)</f>
        <v>480</v>
      </c>
      <c r="N11" s="295">
        <v>4.0000000000000001E-3</v>
      </c>
      <c r="O11" s="296">
        <f>(L11*N11)/365*M11</f>
        <v>374128.07276712329</v>
      </c>
      <c r="Q11" s="735" t="s">
        <v>77</v>
      </c>
      <c r="R11" s="736"/>
      <c r="S11" s="292">
        <v>0.15</v>
      </c>
      <c r="T11" s="293">
        <f>S6*S11</f>
        <v>32678696.549999997</v>
      </c>
      <c r="U11" s="294">
        <f>S7+(6*30)</f>
        <v>480</v>
      </c>
      <c r="V11" s="295">
        <v>4.0000000000000001E-3</v>
      </c>
      <c r="W11" s="296">
        <f>(T11*V11)/365*U11</f>
        <v>171898.89692054794</v>
      </c>
    </row>
    <row r="12" spans="1:23" ht="16.5" customHeight="1">
      <c r="A12" s="737" t="s">
        <v>78</v>
      </c>
      <c r="B12" s="738"/>
      <c r="C12" s="297">
        <v>0.05</v>
      </c>
      <c r="D12" s="298">
        <f>C6*C12</f>
        <v>34600667.300000004</v>
      </c>
      <c r="E12" s="299">
        <f>C7+(3*360)</f>
        <v>1380</v>
      </c>
      <c r="F12" s="300">
        <v>3.0000000000000001E-3</v>
      </c>
      <c r="G12" s="301">
        <f>(D12*F12)/365*E12</f>
        <v>392456.88389589044</v>
      </c>
      <c r="I12" s="737" t="s">
        <v>78</v>
      </c>
      <c r="J12" s="738"/>
      <c r="K12" s="297">
        <v>0.05</v>
      </c>
      <c r="L12" s="298">
        <f>K6*K12</f>
        <v>23707768.5</v>
      </c>
      <c r="M12" s="299">
        <f>K7+(3*360)</f>
        <v>1380</v>
      </c>
      <c r="N12" s="300">
        <v>3.0000000000000001E-3</v>
      </c>
      <c r="O12" s="301">
        <f>(L12*N12)/365*M12</f>
        <v>268904.5523013699</v>
      </c>
      <c r="Q12" s="737" t="s">
        <v>78</v>
      </c>
      <c r="R12" s="738"/>
      <c r="S12" s="297">
        <v>0.05</v>
      </c>
      <c r="T12" s="298">
        <f>S6*S12</f>
        <v>10892898.850000001</v>
      </c>
      <c r="U12" s="299">
        <f>S7+(3*360)</f>
        <v>1380</v>
      </c>
      <c r="V12" s="300">
        <v>3.0000000000000001E-3</v>
      </c>
      <c r="W12" s="301">
        <f>(T12*V12)/365*U12</f>
        <v>123552.33216164386</v>
      </c>
    </row>
    <row r="13" spans="1:23" ht="27" hidden="1" customHeight="1">
      <c r="A13" s="739" t="s">
        <v>79</v>
      </c>
      <c r="B13" s="740"/>
      <c r="C13" s="297"/>
      <c r="D13" s="298">
        <f>C7*C13</f>
        <v>0</v>
      </c>
      <c r="E13" s="299">
        <f>C7+(5*360)</f>
        <v>2100</v>
      </c>
      <c r="F13" s="300">
        <v>4.0000000000000001E-3</v>
      </c>
      <c r="G13" s="301">
        <f>(D13*F13)/365*E13</f>
        <v>0</v>
      </c>
      <c r="I13" s="739" t="s">
        <v>79</v>
      </c>
      <c r="J13" s="740"/>
      <c r="K13" s="297"/>
      <c r="L13" s="298">
        <f>K7*K13</f>
        <v>0</v>
      </c>
      <c r="M13" s="299">
        <f>K7+(5*360)</f>
        <v>2100</v>
      </c>
      <c r="N13" s="300">
        <v>4.0000000000000001E-3</v>
      </c>
      <c r="O13" s="301">
        <f>(L13*N13)/365*M13</f>
        <v>0</v>
      </c>
      <c r="Q13" s="739" t="s">
        <v>79</v>
      </c>
      <c r="R13" s="740"/>
      <c r="S13" s="297"/>
      <c r="T13" s="298">
        <f>S7*S13</f>
        <v>0</v>
      </c>
      <c r="U13" s="299">
        <f>S7+(5*360)</f>
        <v>2100</v>
      </c>
      <c r="V13" s="300">
        <v>4.0000000000000001E-3</v>
      </c>
      <c r="W13" s="301">
        <f>(T13*V13)/365*U13</f>
        <v>0</v>
      </c>
    </row>
    <row r="14" spans="1:23" ht="15" customHeight="1">
      <c r="A14" s="737" t="s">
        <v>80</v>
      </c>
      <c r="B14" s="738"/>
      <c r="C14" s="297">
        <v>0.15</v>
      </c>
      <c r="D14" s="298">
        <f>C6*C14</f>
        <v>103802001.89999999</v>
      </c>
      <c r="E14" s="294">
        <f>C7+(6*30)</f>
        <v>480</v>
      </c>
      <c r="F14" s="300">
        <v>4.0000000000000001E-3</v>
      </c>
      <c r="G14" s="301">
        <f>(D14*F14)/365*E14</f>
        <v>546026.96889863012</v>
      </c>
      <c r="I14" s="737" t="s">
        <v>80</v>
      </c>
      <c r="J14" s="738"/>
      <c r="K14" s="297">
        <v>0.15</v>
      </c>
      <c r="L14" s="298">
        <f>K6*K14</f>
        <v>71123305.5</v>
      </c>
      <c r="M14" s="294">
        <f>K7+(6*30)</f>
        <v>480</v>
      </c>
      <c r="N14" s="300">
        <v>4.0000000000000001E-3</v>
      </c>
      <c r="O14" s="301">
        <f>(L14*N14)/365*M14</f>
        <v>374128.07276712329</v>
      </c>
      <c r="Q14" s="737" t="s">
        <v>80</v>
      </c>
      <c r="R14" s="738"/>
      <c r="S14" s="297">
        <v>0.15</v>
      </c>
      <c r="T14" s="298">
        <f>S6*S14</f>
        <v>32678696.549999997</v>
      </c>
      <c r="U14" s="294">
        <f>S7+(6*30)</f>
        <v>480</v>
      </c>
      <c r="V14" s="300">
        <v>4.0000000000000001E-3</v>
      </c>
      <c r="W14" s="301">
        <f>(T14*V14)/365*U14</f>
        <v>171898.89692054794</v>
      </c>
    </row>
    <row r="15" spans="1:23" ht="17.25" customHeight="1" thickBot="1">
      <c r="A15" s="741" t="s">
        <v>81</v>
      </c>
      <c r="B15" s="742"/>
      <c r="C15" s="302" t="s">
        <v>82</v>
      </c>
      <c r="D15" s="303">
        <f>200*1423500</f>
        <v>284700000</v>
      </c>
      <c r="E15" s="304">
        <f>C7</f>
        <v>300</v>
      </c>
      <c r="F15" s="305">
        <v>4.0000000000000001E-3</v>
      </c>
      <c r="G15" s="306">
        <f>(D15*F15)/365*E15</f>
        <v>936000</v>
      </c>
      <c r="I15" s="741" t="s">
        <v>81</v>
      </c>
      <c r="J15" s="742"/>
      <c r="K15" s="302" t="s">
        <v>82</v>
      </c>
      <c r="L15" s="303">
        <f>200*1423500</f>
        <v>284700000</v>
      </c>
      <c r="M15" s="304">
        <f>K7</f>
        <v>300</v>
      </c>
      <c r="N15" s="305">
        <v>4.0000000000000001E-3</v>
      </c>
      <c r="O15" s="306">
        <f>(L15*N15)/365*M15</f>
        <v>936000</v>
      </c>
      <c r="Q15" s="741" t="s">
        <v>81</v>
      </c>
      <c r="R15" s="742"/>
      <c r="S15" s="302" t="s">
        <v>82</v>
      </c>
      <c r="T15" s="303">
        <v>0</v>
      </c>
      <c r="U15" s="304">
        <f>S7</f>
        <v>300</v>
      </c>
      <c r="V15" s="305">
        <v>4.0000000000000001E-3</v>
      </c>
      <c r="W15" s="306">
        <f>(T15*V15)/365*U15</f>
        <v>0</v>
      </c>
    </row>
    <row r="16" spans="1:23" ht="17.25" customHeight="1" thickBot="1">
      <c r="A16" s="743" t="s">
        <v>83</v>
      </c>
      <c r="B16" s="744"/>
      <c r="C16" s="744"/>
      <c r="D16" s="744"/>
      <c r="E16" s="744"/>
      <c r="F16" s="745"/>
      <c r="G16" s="307">
        <f>SUM(G11:G15)</f>
        <v>2420510.8216931508</v>
      </c>
      <c r="I16" s="743" t="s">
        <v>83</v>
      </c>
      <c r="J16" s="744"/>
      <c r="K16" s="744"/>
      <c r="L16" s="744"/>
      <c r="M16" s="744"/>
      <c r="N16" s="745"/>
      <c r="O16" s="307">
        <f>SUM(O11:O15)</f>
        <v>1953160.6978356165</v>
      </c>
      <c r="Q16" s="743" t="s">
        <v>83</v>
      </c>
      <c r="R16" s="744"/>
      <c r="S16" s="744"/>
      <c r="T16" s="744"/>
      <c r="U16" s="744"/>
      <c r="V16" s="745"/>
      <c r="W16" s="307">
        <f>SUM(W11:W15)</f>
        <v>467350.12600273977</v>
      </c>
    </row>
    <row r="17" spans="1:23" ht="17.25" thickBot="1">
      <c r="A17" s="308"/>
      <c r="B17" s="384"/>
      <c r="C17" s="308"/>
      <c r="D17" s="308"/>
      <c r="E17" s="308"/>
      <c r="F17" s="308"/>
      <c r="G17" s="37"/>
      <c r="I17" s="308"/>
      <c r="J17" s="384"/>
      <c r="K17" s="308"/>
      <c r="L17" s="308"/>
      <c r="M17" s="308"/>
      <c r="N17" s="308"/>
      <c r="O17" s="37"/>
      <c r="Q17" s="308"/>
      <c r="R17" s="384"/>
      <c r="S17" s="308"/>
      <c r="T17" s="308"/>
      <c r="U17" s="308"/>
      <c r="V17" s="308"/>
      <c r="W17" s="37"/>
    </row>
    <row r="18" spans="1:23" ht="16.5" customHeight="1">
      <c r="A18" s="726" t="s">
        <v>84</v>
      </c>
      <c r="B18" s="727"/>
      <c r="C18" s="727"/>
      <c r="D18" s="727"/>
      <c r="E18" s="727"/>
      <c r="F18" s="728"/>
      <c r="G18" s="309">
        <v>15000</v>
      </c>
      <c r="I18" s="726" t="s">
        <v>84</v>
      </c>
      <c r="J18" s="727"/>
      <c r="K18" s="727"/>
      <c r="L18" s="727"/>
      <c r="M18" s="727"/>
      <c r="N18" s="728"/>
      <c r="O18" s="309">
        <v>15000</v>
      </c>
      <c r="Q18" s="726" t="s">
        <v>84</v>
      </c>
      <c r="R18" s="727"/>
      <c r="S18" s="727"/>
      <c r="T18" s="727"/>
      <c r="U18" s="727"/>
      <c r="V18" s="728"/>
      <c r="W18" s="309"/>
    </row>
    <row r="19" spans="1:23">
      <c r="A19" s="729" t="s">
        <v>85</v>
      </c>
      <c r="B19" s="730"/>
      <c r="C19" s="730"/>
      <c r="D19" s="730"/>
      <c r="E19" s="730"/>
      <c r="F19" s="731"/>
      <c r="G19" s="310">
        <f>(G18+G16)*19%</f>
        <v>462747.05612169864</v>
      </c>
      <c r="I19" s="729" t="s">
        <v>85</v>
      </c>
      <c r="J19" s="730"/>
      <c r="K19" s="730"/>
      <c r="L19" s="730"/>
      <c r="M19" s="730"/>
      <c r="N19" s="731"/>
      <c r="O19" s="310">
        <f>(O18+O16)*19%</f>
        <v>373950.53258876712</v>
      </c>
      <c r="Q19" s="729" t="s">
        <v>85</v>
      </c>
      <c r="R19" s="730"/>
      <c r="S19" s="730"/>
      <c r="T19" s="730"/>
      <c r="U19" s="730"/>
      <c r="V19" s="731"/>
      <c r="W19" s="310">
        <f>(W18+W16)*19%</f>
        <v>88796.52394052055</v>
      </c>
    </row>
    <row r="20" spans="1:23" ht="17.25" customHeight="1" thickBot="1">
      <c r="A20" s="732" t="s">
        <v>86</v>
      </c>
      <c r="B20" s="733"/>
      <c r="C20" s="733"/>
      <c r="D20" s="733"/>
      <c r="E20" s="733"/>
      <c r="F20" s="734"/>
      <c r="G20" s="311">
        <f>SUM(G16:G19)</f>
        <v>2898257.8778148494</v>
      </c>
      <c r="I20" s="732" t="s">
        <v>86</v>
      </c>
      <c r="J20" s="733"/>
      <c r="K20" s="733"/>
      <c r="L20" s="733"/>
      <c r="M20" s="733"/>
      <c r="N20" s="734"/>
      <c r="O20" s="311">
        <f>SUM(O16:O19)</f>
        <v>2342111.2304243837</v>
      </c>
      <c r="Q20" s="732" t="s">
        <v>86</v>
      </c>
      <c r="R20" s="733"/>
      <c r="S20" s="733"/>
      <c r="T20" s="733"/>
      <c r="U20" s="733"/>
      <c r="V20" s="734"/>
      <c r="W20" s="311">
        <f>SUM(W16:W19)</f>
        <v>556146.64994326036</v>
      </c>
    </row>
    <row r="21" spans="1:23">
      <c r="A21" s="312"/>
      <c r="B21" s="313"/>
      <c r="C21" s="313"/>
      <c r="D21" s="313"/>
      <c r="E21" s="313"/>
      <c r="F21" s="313"/>
      <c r="G21" s="314"/>
      <c r="I21" s="312"/>
      <c r="J21" s="313"/>
      <c r="K21" s="313"/>
      <c r="L21" s="313"/>
      <c r="M21" s="313"/>
      <c r="N21" s="313"/>
      <c r="O21" s="314"/>
      <c r="Q21" s="312"/>
      <c r="R21" s="313"/>
      <c r="S21" s="313"/>
      <c r="T21" s="313"/>
      <c r="U21" s="313"/>
      <c r="V21" s="313"/>
      <c r="W21" s="314"/>
    </row>
    <row r="22" spans="1:23">
      <c r="A22" s="39"/>
      <c r="B22" s="40"/>
      <c r="C22" s="39"/>
      <c r="D22" s="315"/>
      <c r="E22" s="38"/>
      <c r="F22" s="44" t="s">
        <v>87</v>
      </c>
      <c r="G22" s="322">
        <f>+G20/C6</f>
        <v>4.1881531542237761E-3</v>
      </c>
      <c r="H22" s="408"/>
      <c r="I22" s="39"/>
      <c r="J22" s="40"/>
      <c r="K22" s="39"/>
      <c r="L22" s="315"/>
      <c r="M22" s="38"/>
      <c r="N22" s="44" t="s">
        <v>87</v>
      </c>
      <c r="O22" s="322">
        <f>+O20/K6</f>
        <v>4.9395438259496752E-3</v>
      </c>
      <c r="Q22" s="39"/>
      <c r="R22" s="40"/>
      <c r="S22" s="39"/>
      <c r="T22" s="315"/>
      <c r="U22" s="38"/>
      <c r="V22" s="44" t="s">
        <v>87</v>
      </c>
      <c r="W22" s="322">
        <f>+W20/S6</f>
        <v>2.5527945205479456E-3</v>
      </c>
    </row>
    <row r="23" spans="1:23">
      <c r="A23" s="313"/>
      <c r="B23" s="313"/>
      <c r="C23" s="313"/>
      <c r="D23" s="313"/>
      <c r="E23" s="313"/>
      <c r="F23" s="313"/>
      <c r="G23" s="314"/>
    </row>
    <row r="24" spans="1:23">
      <c r="A24" s="313"/>
      <c r="B24" s="313"/>
      <c r="C24" s="313"/>
      <c r="D24" s="313"/>
      <c r="E24" s="313"/>
      <c r="F24" s="312"/>
      <c r="G24" s="316"/>
    </row>
    <row r="25" spans="1:23">
      <c r="A25" s="313"/>
      <c r="B25" s="313"/>
      <c r="C25" s="313"/>
      <c r="D25" s="313"/>
      <c r="E25" s="313"/>
      <c r="F25" s="312"/>
      <c r="G25" s="316"/>
    </row>
    <row r="26" spans="1:23">
      <c r="A26" s="313"/>
      <c r="B26" s="313"/>
      <c r="C26" s="313"/>
      <c r="D26" s="313"/>
      <c r="E26" s="313"/>
      <c r="F26" s="312"/>
      <c r="G26" s="316"/>
    </row>
    <row r="27" spans="1:23">
      <c r="C27" s="1" t="s">
        <v>88</v>
      </c>
    </row>
    <row r="40" spans="5:6">
      <c r="E40" s="35"/>
      <c r="F40" s="35"/>
    </row>
  </sheetData>
  <mergeCells count="66">
    <mergeCell ref="Q19:V19"/>
    <mergeCell ref="Q20:V20"/>
    <mergeCell ref="Q13:R13"/>
    <mergeCell ref="Q14:R14"/>
    <mergeCell ref="Q15:R15"/>
    <mergeCell ref="Q16:V16"/>
    <mergeCell ref="Q18:V18"/>
    <mergeCell ref="I20:N20"/>
    <mergeCell ref="Q1:T1"/>
    <mergeCell ref="U1:W1"/>
    <mergeCell ref="Q3:W3"/>
    <mergeCell ref="Q4:W4"/>
    <mergeCell ref="Q6:R6"/>
    <mergeCell ref="S6:W6"/>
    <mergeCell ref="Q7:R7"/>
    <mergeCell ref="S7:W7"/>
    <mergeCell ref="Q8:R8"/>
    <mergeCell ref="S8:W8"/>
    <mergeCell ref="Q9:R9"/>
    <mergeCell ref="Q10:R10"/>
    <mergeCell ref="S10:T10"/>
    <mergeCell ref="Q11:R11"/>
    <mergeCell ref="Q12:R12"/>
    <mergeCell ref="I14:J14"/>
    <mergeCell ref="I15:J15"/>
    <mergeCell ref="I16:N16"/>
    <mergeCell ref="I18:N18"/>
    <mergeCell ref="I19:N19"/>
    <mergeCell ref="I10:J10"/>
    <mergeCell ref="K10:L10"/>
    <mergeCell ref="I11:J11"/>
    <mergeCell ref="I12:J12"/>
    <mergeCell ref="I13:J13"/>
    <mergeCell ref="I7:J7"/>
    <mergeCell ref="K7:O7"/>
    <mergeCell ref="I8:J8"/>
    <mergeCell ref="K8:O8"/>
    <mergeCell ref="I9:J9"/>
    <mergeCell ref="I1:L1"/>
    <mergeCell ref="M1:O1"/>
    <mergeCell ref="I3:O3"/>
    <mergeCell ref="I4:O4"/>
    <mergeCell ref="I6:J6"/>
    <mergeCell ref="K6:O6"/>
    <mergeCell ref="A10:B10"/>
    <mergeCell ref="C10:D10"/>
    <mergeCell ref="A1:D1"/>
    <mergeCell ref="E1:G1"/>
    <mergeCell ref="A3:G3"/>
    <mergeCell ref="A4:G4"/>
    <mergeCell ref="A6:B6"/>
    <mergeCell ref="C6:G6"/>
    <mergeCell ref="A7:B7"/>
    <mergeCell ref="C7:G7"/>
    <mergeCell ref="A8:B8"/>
    <mergeCell ref="C8:G8"/>
    <mergeCell ref="A9:B9"/>
    <mergeCell ref="A18:F18"/>
    <mergeCell ref="A19:F19"/>
    <mergeCell ref="A20:F20"/>
    <mergeCell ref="A11:B11"/>
    <mergeCell ref="A12:B12"/>
    <mergeCell ref="A13:B13"/>
    <mergeCell ref="A14:B14"/>
    <mergeCell ref="A15:B15"/>
    <mergeCell ref="A16:F1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MS94"/>
  <sheetViews>
    <sheetView topLeftCell="A21" zoomScale="118" zoomScaleNormal="118" workbookViewId="0">
      <selection activeCell="E76" sqref="E76:E77"/>
    </sheetView>
  </sheetViews>
  <sheetFormatPr baseColWidth="10" defaultColWidth="11.42578125" defaultRowHeight="16.5"/>
  <cols>
    <col min="1" max="1" width="2.42578125" style="2" customWidth="1"/>
    <col min="2" max="2" width="44.140625" style="2" customWidth="1"/>
    <col min="3" max="3" width="24.85546875" style="2" customWidth="1"/>
    <col min="4" max="4" width="13.140625" style="2" customWidth="1"/>
    <col min="5" max="5" width="21.28515625" style="2" customWidth="1"/>
    <col min="6" max="6" width="12.28515625" style="2" customWidth="1"/>
    <col min="7" max="7" width="21.28515625" style="2" customWidth="1"/>
    <col min="8" max="8" width="12.28515625" style="2" customWidth="1"/>
    <col min="9" max="9" width="21.28515625" style="2" customWidth="1"/>
    <col min="10" max="10" width="12.28515625" style="2" customWidth="1"/>
    <col min="11" max="11" width="21.28515625" style="2" customWidth="1"/>
    <col min="12" max="12" width="17.42578125" style="2" customWidth="1"/>
    <col min="13" max="13" width="21.28515625" style="2" customWidth="1"/>
    <col min="14" max="14" width="12.28515625" style="2" customWidth="1"/>
    <col min="15" max="15" width="21.28515625" style="2" customWidth="1"/>
    <col min="16" max="16" width="12.28515625" style="2" customWidth="1"/>
    <col min="17" max="17" width="21.28515625" style="2" customWidth="1"/>
    <col min="18" max="18" width="12.28515625" style="2" customWidth="1"/>
    <col min="19" max="19" width="22.7109375" style="2" customWidth="1"/>
    <col min="20" max="21" width="11.42578125" style="2" customWidth="1"/>
    <col min="22" max="22" width="22.7109375" style="2" customWidth="1"/>
    <col min="23" max="23" width="11.42578125" style="2"/>
    <col min="24" max="24" width="22.7109375" style="2" customWidth="1"/>
    <col min="25" max="25" width="11.42578125" style="2"/>
    <col min="26" max="26" width="22.7109375" style="2" customWidth="1"/>
    <col min="27" max="27" width="11.42578125" style="2"/>
    <col min="28" max="28" width="22.7109375" style="2" customWidth="1"/>
    <col min="29" max="29" width="11.42578125" style="2"/>
    <col min="30" max="30" width="15.5703125" style="2" bestFit="1" customWidth="1"/>
    <col min="31" max="31" width="28.85546875" style="2" customWidth="1"/>
    <col min="32" max="32" width="13.140625" style="2" bestFit="1" customWidth="1"/>
    <col min="33" max="16384" width="11.42578125" style="2"/>
  </cols>
  <sheetData>
    <row r="1" spans="1:357" ht="27.95" customHeight="1">
      <c r="C1" s="147"/>
      <c r="G1" s="2">
        <f>+C5*5</f>
        <v>8754525</v>
      </c>
      <c r="V1" s="811" t="s">
        <v>89</v>
      </c>
      <c r="W1" s="811"/>
      <c r="X1" s="811" t="s">
        <v>90</v>
      </c>
      <c r="Y1" s="811"/>
      <c r="Z1" s="811" t="s">
        <v>91</v>
      </c>
      <c r="AA1" s="811"/>
      <c r="AB1" s="811" t="s">
        <v>92</v>
      </c>
      <c r="AC1" s="811"/>
    </row>
    <row r="2" spans="1:357" ht="27.95" customHeight="1">
      <c r="B2" s="811" t="s">
        <v>93</v>
      </c>
      <c r="C2" s="811">
        <v>1</v>
      </c>
      <c r="D2" s="811"/>
      <c r="E2" s="811">
        <v>1.2</v>
      </c>
      <c r="F2" s="811"/>
      <c r="G2" s="811">
        <v>1.5</v>
      </c>
      <c r="H2" s="811"/>
      <c r="I2" s="811">
        <v>1.8</v>
      </c>
      <c r="J2" s="811"/>
      <c r="K2" s="811">
        <v>2</v>
      </c>
      <c r="L2" s="811"/>
      <c r="M2" s="811">
        <v>2.5</v>
      </c>
      <c r="N2" s="811"/>
      <c r="O2" s="811">
        <v>3</v>
      </c>
      <c r="P2" s="811"/>
      <c r="Q2" s="811">
        <v>3.5</v>
      </c>
      <c r="R2" s="811"/>
      <c r="S2" s="811">
        <v>5</v>
      </c>
      <c r="T2" s="811"/>
      <c r="V2" s="810">
        <v>4.5</v>
      </c>
      <c r="W2" s="810"/>
      <c r="X2" s="810">
        <v>4</v>
      </c>
      <c r="Y2" s="810"/>
      <c r="Z2" s="810">
        <v>2.5</v>
      </c>
      <c r="AA2" s="810"/>
      <c r="AB2" s="810">
        <v>2</v>
      </c>
      <c r="AC2" s="810"/>
    </row>
    <row r="3" spans="1:357" ht="27.95" customHeight="1">
      <c r="B3" s="811"/>
      <c r="C3" s="148" t="s">
        <v>94</v>
      </c>
      <c r="D3" s="148" t="s">
        <v>95</v>
      </c>
      <c r="E3" s="148" t="s">
        <v>94</v>
      </c>
      <c r="F3" s="148" t="s">
        <v>95</v>
      </c>
      <c r="G3" s="148" t="s">
        <v>94</v>
      </c>
      <c r="H3" s="148" t="s">
        <v>95</v>
      </c>
      <c r="I3" s="148" t="s">
        <v>94</v>
      </c>
      <c r="J3" s="148" t="s">
        <v>95</v>
      </c>
      <c r="K3" s="148" t="s">
        <v>94</v>
      </c>
      <c r="L3" s="148" t="s">
        <v>95</v>
      </c>
      <c r="M3" s="148" t="s">
        <v>94</v>
      </c>
      <c r="N3" s="148" t="s">
        <v>95</v>
      </c>
      <c r="O3" s="148" t="s">
        <v>94</v>
      </c>
      <c r="P3" s="148" t="s">
        <v>95</v>
      </c>
      <c r="Q3" s="148" t="s">
        <v>94</v>
      </c>
      <c r="R3" s="148" t="s">
        <v>95</v>
      </c>
      <c r="S3" s="148" t="s">
        <v>94</v>
      </c>
      <c r="T3" s="148" t="s">
        <v>95</v>
      </c>
      <c r="V3" s="148" t="s">
        <v>94</v>
      </c>
      <c r="W3" s="148" t="s">
        <v>95</v>
      </c>
      <c r="X3" s="148" t="s">
        <v>94</v>
      </c>
      <c r="Y3" s="148" t="s">
        <v>95</v>
      </c>
      <c r="Z3" s="148" t="s">
        <v>94</v>
      </c>
      <c r="AA3" s="148" t="s">
        <v>95</v>
      </c>
      <c r="AB3" s="148" t="s">
        <v>94</v>
      </c>
      <c r="AC3" s="148" t="s">
        <v>95</v>
      </c>
    </row>
    <row r="4" spans="1:357" ht="8.1" customHeight="1">
      <c r="B4" s="149"/>
      <c r="C4" s="149"/>
      <c r="D4" s="149"/>
      <c r="E4" s="149"/>
      <c r="F4" s="149"/>
      <c r="G4" s="149"/>
      <c r="H4" s="149"/>
      <c r="I4" s="149"/>
      <c r="J4" s="149"/>
      <c r="K4" s="149"/>
      <c r="L4" s="149"/>
      <c r="M4" s="149"/>
      <c r="N4" s="149"/>
      <c r="O4" s="149"/>
      <c r="P4" s="149"/>
      <c r="Q4" s="149"/>
      <c r="R4" s="149"/>
      <c r="S4" s="149"/>
      <c r="T4" s="149"/>
      <c r="V4" s="150"/>
      <c r="X4" s="150"/>
      <c r="Z4" s="150"/>
      <c r="AB4" s="150"/>
    </row>
    <row r="5" spans="1:357">
      <c r="B5" s="151" t="s">
        <v>96</v>
      </c>
      <c r="C5" s="152">
        <v>1750905</v>
      </c>
      <c r="D5" s="153" t="s">
        <v>48</v>
      </c>
      <c r="E5" s="154">
        <f>$C$5*E2</f>
        <v>2101086</v>
      </c>
      <c r="F5" s="155"/>
      <c r="G5" s="156">
        <f>$C$5*G2</f>
        <v>2626357.5</v>
      </c>
      <c r="H5" s="153"/>
      <c r="I5" s="154">
        <f>$C$5*I2</f>
        <v>3151629</v>
      </c>
      <c r="J5" s="155"/>
      <c r="K5" s="156">
        <f>$C$5*K2</f>
        <v>3501810</v>
      </c>
      <c r="L5" s="153"/>
      <c r="M5" s="154">
        <f>$C$5*M2</f>
        <v>4377262.5</v>
      </c>
      <c r="N5" s="155"/>
      <c r="O5" s="156">
        <f>$C$5*O2</f>
        <v>5252715</v>
      </c>
      <c r="P5" s="153"/>
      <c r="Q5" s="154">
        <f>$C$5*Q2</f>
        <v>6128167.5</v>
      </c>
      <c r="R5" s="155"/>
      <c r="S5" s="156">
        <f>C5*5</f>
        <v>8754525</v>
      </c>
      <c r="T5" s="153"/>
      <c r="V5" s="157">
        <f>C5*V2</f>
        <v>7879072.5</v>
      </c>
      <c r="W5" s="155"/>
      <c r="X5" s="158">
        <f>C5*X2</f>
        <v>7003620</v>
      </c>
      <c r="Y5" s="153"/>
      <c r="Z5" s="157">
        <f>C5*Z2</f>
        <v>4377262.5</v>
      </c>
      <c r="AA5" s="155"/>
      <c r="AB5" s="158">
        <f>C5*AB2</f>
        <v>3501810</v>
      </c>
      <c r="AC5" s="153"/>
    </row>
    <row r="6" spans="1:357">
      <c r="B6" s="159" t="s">
        <v>97</v>
      </c>
      <c r="C6" s="160">
        <f>C5/30</f>
        <v>58363.5</v>
      </c>
      <c r="D6" s="161"/>
      <c r="E6" s="162">
        <f>E5/30</f>
        <v>70036.2</v>
      </c>
      <c r="F6" s="163"/>
      <c r="G6" s="160">
        <f>G5/30</f>
        <v>87545.25</v>
      </c>
      <c r="H6" s="161"/>
      <c r="I6" s="162">
        <f>I5/30</f>
        <v>105054.3</v>
      </c>
      <c r="J6" s="163"/>
      <c r="K6" s="160">
        <f>K5/30</f>
        <v>116727</v>
      </c>
      <c r="L6" s="161"/>
      <c r="M6" s="162">
        <f>M5/30</f>
        <v>145908.75</v>
      </c>
      <c r="N6" s="163"/>
      <c r="O6" s="160">
        <f>O5/30</f>
        <v>175090.5</v>
      </c>
      <c r="P6" s="161"/>
      <c r="Q6" s="162">
        <f>Q5/30</f>
        <v>204272.25</v>
      </c>
      <c r="R6" s="163"/>
      <c r="S6" s="160">
        <f>S5/30</f>
        <v>291817.5</v>
      </c>
      <c r="T6" s="161"/>
      <c r="V6" s="157">
        <f>V5/30</f>
        <v>262635.75</v>
      </c>
      <c r="W6" s="163"/>
      <c r="X6" s="158">
        <f>X5/30</f>
        <v>233454</v>
      </c>
      <c r="Y6" s="161"/>
      <c r="Z6" s="157">
        <f>Z5/30</f>
        <v>145908.75</v>
      </c>
      <c r="AA6" s="163"/>
      <c r="AB6" s="158">
        <f>AB5/30</f>
        <v>116727</v>
      </c>
      <c r="AC6" s="161"/>
    </row>
    <row r="7" spans="1:357">
      <c r="B7" s="159" t="s">
        <v>98</v>
      </c>
      <c r="C7" s="164">
        <v>249095</v>
      </c>
      <c r="D7" s="161" t="s">
        <v>99</v>
      </c>
      <c r="E7" s="165">
        <f>$C$7</f>
        <v>249095</v>
      </c>
      <c r="F7" s="163"/>
      <c r="G7" s="166">
        <f>$C$7</f>
        <v>249095</v>
      </c>
      <c r="H7" s="161"/>
      <c r="I7" s="165">
        <f>$C$7</f>
        <v>249095</v>
      </c>
      <c r="J7" s="163"/>
      <c r="K7" s="166">
        <f>$C$7</f>
        <v>249095</v>
      </c>
      <c r="L7" s="161"/>
      <c r="M7" s="165"/>
      <c r="N7" s="163"/>
      <c r="O7" s="166"/>
      <c r="P7" s="161"/>
      <c r="Q7" s="165"/>
      <c r="R7" s="163"/>
      <c r="S7" s="160"/>
      <c r="T7" s="161"/>
      <c r="V7" s="167">
        <f>IF(V2&lt;2,$C$7,0)</f>
        <v>0</v>
      </c>
      <c r="W7" s="163"/>
      <c r="X7" s="168">
        <f>IF(X2&lt;2,$C$7,0)</f>
        <v>0</v>
      </c>
      <c r="Y7" s="161"/>
      <c r="Z7" s="167">
        <f>IF(Z2&lt;2,$C$7,0)</f>
        <v>0</v>
      </c>
      <c r="AA7" s="163"/>
      <c r="AB7" s="168">
        <f>IF(AB2&lt;2,$C$7,0)</f>
        <v>0</v>
      </c>
      <c r="AC7" s="161"/>
    </row>
    <row r="8" spans="1:357">
      <c r="B8" s="159" t="s">
        <v>100</v>
      </c>
      <c r="C8" s="166">
        <f>C7+C5</f>
        <v>2000000</v>
      </c>
      <c r="D8" s="161" t="s">
        <v>101</v>
      </c>
      <c r="E8" s="169">
        <f>E5+E7</f>
        <v>2350181</v>
      </c>
      <c r="F8" s="163"/>
      <c r="G8" s="170">
        <f>G5+G7</f>
        <v>2875452.5</v>
      </c>
      <c r="H8" s="161"/>
      <c r="I8" s="169">
        <f>I5+I7</f>
        <v>3400724</v>
      </c>
      <c r="J8" s="163"/>
      <c r="K8" s="170">
        <f>K5+K7</f>
        <v>3750905</v>
      </c>
      <c r="L8" s="161"/>
      <c r="M8" s="169">
        <f>M5+M7</f>
        <v>4377262.5</v>
      </c>
      <c r="N8" s="163"/>
      <c r="O8" s="170">
        <f>O5+O7</f>
        <v>5252715</v>
      </c>
      <c r="P8" s="161"/>
      <c r="Q8" s="169">
        <f>Q5+Q7</f>
        <v>6128167.5</v>
      </c>
      <c r="R8" s="163"/>
      <c r="S8" s="166">
        <f>S7+S5</f>
        <v>8754525</v>
      </c>
      <c r="T8" s="161"/>
      <c r="V8" s="171">
        <f>V7+V5</f>
        <v>7879072.5</v>
      </c>
      <c r="W8" s="163"/>
      <c r="X8" s="172">
        <f>X7+X5</f>
        <v>7003620</v>
      </c>
      <c r="Y8" s="161"/>
      <c r="Z8" s="171">
        <f>Z7+Z5</f>
        <v>4377262.5</v>
      </c>
      <c r="AA8" s="163"/>
      <c r="AB8" s="172">
        <f>AB7+AB5</f>
        <v>3501810</v>
      </c>
      <c r="AC8" s="161"/>
    </row>
    <row r="9" spans="1:357">
      <c r="B9" s="159" t="s">
        <v>102</v>
      </c>
      <c r="C9" s="166">
        <f>C8/30</f>
        <v>66666.666666666672</v>
      </c>
      <c r="D9" s="161"/>
      <c r="E9" s="620">
        <f>E8/30</f>
        <v>78339.366666666669</v>
      </c>
      <c r="F9" s="163"/>
      <c r="G9" s="170">
        <f>G8/30</f>
        <v>95848.416666666672</v>
      </c>
      <c r="H9" s="161"/>
      <c r="I9" s="620">
        <f>I8/30</f>
        <v>113357.46666666666</v>
      </c>
      <c r="J9" s="163"/>
      <c r="K9" s="170">
        <f>K8/30</f>
        <v>125030.16666666667</v>
      </c>
      <c r="L9" s="161"/>
      <c r="M9" s="169"/>
      <c r="N9" s="163"/>
      <c r="O9" s="170"/>
      <c r="P9" s="161"/>
      <c r="Q9" s="169"/>
      <c r="R9" s="163"/>
      <c r="S9" s="166"/>
      <c r="T9" s="161"/>
      <c r="V9" s="171"/>
      <c r="W9" s="163"/>
      <c r="X9" s="172"/>
      <c r="Y9" s="161"/>
      <c r="Z9" s="171"/>
      <c r="AA9" s="163"/>
      <c r="AB9" s="172">
        <f>AB8/30</f>
        <v>116727</v>
      </c>
      <c r="AC9" s="161"/>
    </row>
    <row r="10" spans="1:357">
      <c r="B10" s="159" t="s">
        <v>103</v>
      </c>
      <c r="C10" s="166">
        <f>C5*12</f>
        <v>21010860</v>
      </c>
      <c r="D10" s="161" t="s">
        <v>104</v>
      </c>
      <c r="E10" s="169">
        <f>(E5/30)*360</f>
        <v>25213032</v>
      </c>
      <c r="F10" s="163"/>
      <c r="G10" s="170">
        <f>(G5/30)*360</f>
        <v>31516290</v>
      </c>
      <c r="H10" s="161"/>
      <c r="I10" s="169">
        <f>(I5/30)*360</f>
        <v>37819548</v>
      </c>
      <c r="J10" s="163"/>
      <c r="K10" s="170">
        <f>(K5/30)*360</f>
        <v>42021720</v>
      </c>
      <c r="L10" s="161"/>
      <c r="M10" s="169">
        <f>(M5/30)*360</f>
        <v>52527150</v>
      </c>
      <c r="N10" s="163"/>
      <c r="O10" s="170">
        <f>(O5/30)*360</f>
        <v>63032580</v>
      </c>
      <c r="P10" s="161"/>
      <c r="Q10" s="169">
        <f>(Q5/30)*360</f>
        <v>73538010</v>
      </c>
      <c r="R10" s="163"/>
      <c r="S10" s="166">
        <f>(S5/30)*360</f>
        <v>105054300</v>
      </c>
      <c r="T10" s="161"/>
      <c r="V10" s="171">
        <f>(V5/30)*360</f>
        <v>94548870</v>
      </c>
      <c r="W10" s="163"/>
      <c r="X10" s="172">
        <f>(X5/30)*360</f>
        <v>84043440</v>
      </c>
      <c r="Y10" s="161"/>
      <c r="Z10" s="171">
        <f>(Z5/30)*360</f>
        <v>52527150</v>
      </c>
      <c r="AA10" s="163"/>
      <c r="AB10" s="172">
        <f>(AB5/30)*360</f>
        <v>42021720</v>
      </c>
      <c r="AC10" s="161"/>
      <c r="AD10" s="147"/>
    </row>
    <row r="11" spans="1:357">
      <c r="B11" s="159" t="s">
        <v>105</v>
      </c>
      <c r="C11" s="166">
        <f>C7*12</f>
        <v>2989140</v>
      </c>
      <c r="D11" s="161"/>
      <c r="E11" s="165">
        <f>C11</f>
        <v>2989140</v>
      </c>
      <c r="F11" s="163"/>
      <c r="G11" s="166">
        <f>E11</f>
        <v>2989140</v>
      </c>
      <c r="H11" s="161"/>
      <c r="I11" s="165">
        <f>G11</f>
        <v>2989140</v>
      </c>
      <c r="J11" s="163"/>
      <c r="K11" s="166">
        <f>I11</f>
        <v>2989140</v>
      </c>
      <c r="L11" s="161"/>
      <c r="M11" s="165"/>
      <c r="N11" s="163"/>
      <c r="O11" s="166"/>
      <c r="P11" s="161"/>
      <c r="Q11" s="165"/>
      <c r="R11" s="163"/>
      <c r="S11" s="166">
        <f>S7*12</f>
        <v>0</v>
      </c>
      <c r="T11" s="161"/>
      <c r="V11" s="171">
        <f>V7*12</f>
        <v>0</v>
      </c>
      <c r="W11" s="163"/>
      <c r="X11" s="172">
        <f>X7*12</f>
        <v>0</v>
      </c>
      <c r="Y11" s="161"/>
      <c r="Z11" s="171">
        <f>Z7*12</f>
        <v>0</v>
      </c>
      <c r="AA11" s="163"/>
      <c r="AB11" s="172">
        <f>AB7*12</f>
        <v>0</v>
      </c>
      <c r="AC11" s="161"/>
    </row>
    <row r="12" spans="1:357" ht="33">
      <c r="B12" s="173" t="s">
        <v>106</v>
      </c>
      <c r="C12" s="166">
        <f>C11+C10</f>
        <v>24000000</v>
      </c>
      <c r="D12" s="161" t="s">
        <v>107</v>
      </c>
      <c r="E12" s="165">
        <f>E10+E11</f>
        <v>28202172</v>
      </c>
      <c r="F12" s="163"/>
      <c r="G12" s="166">
        <f>G10+G11</f>
        <v>34505430</v>
      </c>
      <c r="H12" s="161"/>
      <c r="I12" s="165">
        <f>I10+I11</f>
        <v>40808688</v>
      </c>
      <c r="J12" s="163"/>
      <c r="K12" s="166">
        <f>K10+K11</f>
        <v>45010860</v>
      </c>
      <c r="L12" s="161"/>
      <c r="M12" s="165">
        <f>M10+M11</f>
        <v>52527150</v>
      </c>
      <c r="N12" s="163"/>
      <c r="O12" s="166">
        <f>O10+O11</f>
        <v>63032580</v>
      </c>
      <c r="P12" s="161"/>
      <c r="Q12" s="165">
        <f>Q10+Q11</f>
        <v>73538010</v>
      </c>
      <c r="R12" s="163"/>
      <c r="S12" s="166">
        <f>S11+S10</f>
        <v>105054300</v>
      </c>
      <c r="T12" s="161"/>
      <c r="V12" s="171">
        <f>V11+V10</f>
        <v>94548870</v>
      </c>
      <c r="W12" s="163"/>
      <c r="X12" s="172">
        <f>X11+X10</f>
        <v>84043440</v>
      </c>
      <c r="Y12" s="161"/>
      <c r="Z12" s="171">
        <f>Z11+Z10</f>
        <v>52527150</v>
      </c>
      <c r="AA12" s="163"/>
      <c r="AB12" s="172">
        <f>AB11+AB10</f>
        <v>42021720</v>
      </c>
      <c r="AC12" s="161"/>
    </row>
    <row r="13" spans="1:357">
      <c r="B13" s="173" t="s">
        <v>108</v>
      </c>
      <c r="C13" s="166">
        <f>C12/12</f>
        <v>2000000</v>
      </c>
      <c r="D13" s="174"/>
      <c r="E13" s="165">
        <f>E12/12</f>
        <v>2350181</v>
      </c>
      <c r="F13" s="175"/>
      <c r="G13" s="166">
        <f>G12/12</f>
        <v>2875452.5</v>
      </c>
      <c r="H13" s="174"/>
      <c r="I13" s="165">
        <f>I12/12</f>
        <v>3400724</v>
      </c>
      <c r="J13" s="175"/>
      <c r="K13" s="166">
        <f>K12/12</f>
        <v>3750905</v>
      </c>
      <c r="L13" s="174"/>
      <c r="M13" s="165">
        <f>M12/12</f>
        <v>4377262.5</v>
      </c>
      <c r="N13" s="175"/>
      <c r="O13" s="166">
        <f>O12/12</f>
        <v>5252715</v>
      </c>
      <c r="P13" s="174"/>
      <c r="Q13" s="165">
        <f>Q12/12</f>
        <v>6128167.5</v>
      </c>
      <c r="R13" s="175"/>
      <c r="S13" s="166">
        <f>S12/12</f>
        <v>8754525</v>
      </c>
      <c r="T13" s="174"/>
      <c r="V13" s="165">
        <f>V12/12</f>
        <v>7879072.5</v>
      </c>
      <c r="W13" s="175"/>
      <c r="X13" s="166">
        <f>X12/12</f>
        <v>7003620</v>
      </c>
      <c r="Y13" s="174"/>
      <c r="Z13" s="165">
        <f>Z12/12</f>
        <v>4377262.5</v>
      </c>
      <c r="AA13" s="175"/>
      <c r="AB13" s="166">
        <f>AB12/12</f>
        <v>3501810</v>
      </c>
      <c r="AC13" s="174"/>
    </row>
    <row r="14" spans="1:357">
      <c r="B14" s="173" t="s">
        <v>109</v>
      </c>
      <c r="C14" s="166">
        <f>C5*12%</f>
        <v>210108.6</v>
      </c>
      <c r="D14" s="174"/>
      <c r="E14" s="165">
        <f>E13*12%</f>
        <v>282021.71999999997</v>
      </c>
      <c r="F14" s="175"/>
      <c r="G14" s="166">
        <f>G13*12%</f>
        <v>345054.3</v>
      </c>
      <c r="H14" s="174"/>
      <c r="I14" s="165">
        <f>I13*12%</f>
        <v>408086.88</v>
      </c>
      <c r="J14" s="175"/>
      <c r="K14" s="166">
        <f>K13*12%</f>
        <v>450108.6</v>
      </c>
      <c r="L14" s="174"/>
      <c r="M14" s="165">
        <f>M13*12%</f>
        <v>525271.5</v>
      </c>
      <c r="N14" s="175"/>
      <c r="O14" s="166">
        <f>O13*12%</f>
        <v>630325.79999999993</v>
      </c>
      <c r="P14" s="174"/>
      <c r="Q14" s="165">
        <f>Q13*12%</f>
        <v>735380.1</v>
      </c>
      <c r="R14" s="175"/>
      <c r="S14" s="166">
        <f>S13*12%</f>
        <v>1050543</v>
      </c>
      <c r="T14" s="174"/>
      <c r="V14" s="165">
        <f>V13*12%</f>
        <v>945488.7</v>
      </c>
      <c r="W14" s="175"/>
      <c r="X14" s="166">
        <f>X13*12%</f>
        <v>840434.4</v>
      </c>
      <c r="Y14" s="174"/>
      <c r="Z14" s="165">
        <f>Z13*12%</f>
        <v>525271.5</v>
      </c>
      <c r="AA14" s="175"/>
      <c r="AB14" s="166">
        <f>AB13*12%</f>
        <v>420217.2</v>
      </c>
      <c r="AC14" s="174"/>
    </row>
    <row r="15" spans="1:357" s="186" customFormat="1" ht="18.600000000000001" customHeight="1">
      <c r="A15" s="2"/>
      <c r="B15" s="602" t="s">
        <v>110</v>
      </c>
      <c r="C15" s="177">
        <f>(C7/30)*342</f>
        <v>2839683</v>
      </c>
      <c r="D15" s="178"/>
      <c r="E15" s="179">
        <f>C15</f>
        <v>2839683</v>
      </c>
      <c r="F15" s="180"/>
      <c r="G15" s="181">
        <f>E15</f>
        <v>2839683</v>
      </c>
      <c r="H15" s="178"/>
      <c r="I15" s="179">
        <f>G15</f>
        <v>2839683</v>
      </c>
      <c r="J15" s="180"/>
      <c r="K15" s="181">
        <f>I15</f>
        <v>2839683</v>
      </c>
      <c r="L15" s="178"/>
      <c r="M15" s="179"/>
      <c r="N15" s="180"/>
      <c r="O15" s="181"/>
      <c r="P15" s="178"/>
      <c r="Q15" s="179"/>
      <c r="R15" s="180"/>
      <c r="S15" s="177">
        <f>(S7/30)*342</f>
        <v>0</v>
      </c>
      <c r="T15" s="178"/>
      <c r="U15" s="2"/>
      <c r="V15" s="182">
        <f>(V7/30)*342</f>
        <v>0</v>
      </c>
      <c r="W15" s="183"/>
      <c r="X15" s="184">
        <f>(X7/30)*342</f>
        <v>0</v>
      </c>
      <c r="Y15" s="185"/>
      <c r="Z15" s="182">
        <f>(Z7/30)*342</f>
        <v>0</v>
      </c>
      <c r="AA15" s="183"/>
      <c r="AB15" s="184">
        <f>(AB7/30)*342</f>
        <v>0</v>
      </c>
      <c r="AC15" s="185"/>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row>
    <row r="16" spans="1:357" ht="27.75" customHeight="1">
      <c r="C16" s="182"/>
      <c r="S16" s="182"/>
      <c r="V16" s="182"/>
      <c r="X16" s="182"/>
      <c r="Z16" s="182"/>
      <c r="AB16" s="182"/>
    </row>
    <row r="17" spans="2:29" ht="27.95" customHeight="1">
      <c r="B17" s="148" t="s">
        <v>111</v>
      </c>
      <c r="C17" s="187" t="s">
        <v>94</v>
      </c>
      <c r="D17" s="148" t="s">
        <v>112</v>
      </c>
      <c r="E17" s="187" t="s">
        <v>94</v>
      </c>
      <c r="F17" s="148" t="s">
        <v>112</v>
      </c>
      <c r="G17" s="187" t="s">
        <v>94</v>
      </c>
      <c r="H17" s="148" t="s">
        <v>112</v>
      </c>
      <c r="I17" s="187" t="s">
        <v>94</v>
      </c>
      <c r="J17" s="148" t="s">
        <v>112</v>
      </c>
      <c r="K17" s="187" t="s">
        <v>94</v>
      </c>
      <c r="L17" s="148" t="s">
        <v>112</v>
      </c>
      <c r="M17" s="187" t="s">
        <v>94</v>
      </c>
      <c r="N17" s="148" t="s">
        <v>112</v>
      </c>
      <c r="O17" s="187" t="s">
        <v>94</v>
      </c>
      <c r="P17" s="148" t="s">
        <v>112</v>
      </c>
      <c r="Q17" s="187" t="s">
        <v>94</v>
      </c>
      <c r="R17" s="148" t="s">
        <v>112</v>
      </c>
      <c r="S17" s="187" t="s">
        <v>94</v>
      </c>
      <c r="T17" s="148" t="s">
        <v>112</v>
      </c>
      <c r="V17" s="187" t="s">
        <v>94</v>
      </c>
      <c r="W17" s="148" t="s">
        <v>112</v>
      </c>
      <c r="X17" s="187" t="s">
        <v>94</v>
      </c>
      <c r="Y17" s="148" t="s">
        <v>112</v>
      </c>
      <c r="Z17" s="187" t="s">
        <v>94</v>
      </c>
      <c r="AA17" s="148" t="s">
        <v>112</v>
      </c>
      <c r="AB17" s="187" t="s">
        <v>94</v>
      </c>
      <c r="AC17" s="148" t="s">
        <v>112</v>
      </c>
    </row>
    <row r="18" spans="2:29" ht="8.1" customHeight="1">
      <c r="C18" s="182"/>
      <c r="S18" s="182"/>
      <c r="V18" s="182"/>
      <c r="X18" s="182"/>
      <c r="Z18" s="182"/>
      <c r="AB18" s="182"/>
    </row>
    <row r="19" spans="2:29" ht="18.600000000000001" customHeight="1">
      <c r="B19" s="805" t="s">
        <v>113</v>
      </c>
      <c r="C19" s="805"/>
      <c r="D19" s="805"/>
      <c r="E19" s="805"/>
      <c r="F19" s="805"/>
      <c r="G19" s="805"/>
      <c r="H19" s="805"/>
      <c r="I19" s="805"/>
      <c r="J19" s="805"/>
      <c r="K19" s="805"/>
      <c r="L19" s="805"/>
      <c r="M19" s="805"/>
      <c r="N19" s="805"/>
      <c r="O19" s="805"/>
      <c r="P19" s="805"/>
      <c r="Q19" s="805"/>
      <c r="R19" s="805"/>
      <c r="S19" s="805"/>
      <c r="T19" s="805"/>
      <c r="U19" s="188"/>
      <c r="V19" s="805" t="s">
        <v>113</v>
      </c>
      <c r="W19" s="805"/>
      <c r="X19" s="805"/>
      <c r="Y19" s="805"/>
      <c r="Z19" s="805"/>
      <c r="AA19" s="805"/>
      <c r="AB19" s="805"/>
      <c r="AC19" s="805"/>
    </row>
    <row r="20" spans="2:29" ht="18.600000000000001" customHeight="1">
      <c r="B20" s="151" t="s">
        <v>114</v>
      </c>
      <c r="C20" s="189">
        <f>C10</f>
        <v>21010860</v>
      </c>
      <c r="D20" s="190">
        <v>1</v>
      </c>
      <c r="E20" s="191">
        <f>E10</f>
        <v>25213032</v>
      </c>
      <c r="F20" s="192">
        <v>1</v>
      </c>
      <c r="G20" s="189">
        <f>G10</f>
        <v>31516290</v>
      </c>
      <c r="H20" s="190">
        <v>1</v>
      </c>
      <c r="I20" s="191">
        <f>I10</f>
        <v>37819548</v>
      </c>
      <c r="J20" s="192">
        <v>1</v>
      </c>
      <c r="K20" s="189">
        <f>K10</f>
        <v>42021720</v>
      </c>
      <c r="L20" s="190">
        <v>1</v>
      </c>
      <c r="M20" s="191">
        <f>M10</f>
        <v>52527150</v>
      </c>
      <c r="N20" s="192">
        <v>1</v>
      </c>
      <c r="O20" s="189">
        <f>O10</f>
        <v>63032580</v>
      </c>
      <c r="P20" s="190">
        <v>1</v>
      </c>
      <c r="Q20" s="191">
        <f>Q10</f>
        <v>73538010</v>
      </c>
      <c r="R20" s="192">
        <v>1</v>
      </c>
      <c r="S20" s="189">
        <f>S10</f>
        <v>105054300</v>
      </c>
      <c r="T20" s="193">
        <v>1</v>
      </c>
      <c r="U20" s="194"/>
      <c r="V20" s="191">
        <f>V10</f>
        <v>94548870</v>
      </c>
      <c r="W20" s="195">
        <v>1</v>
      </c>
      <c r="X20" s="189">
        <f>X10</f>
        <v>84043440</v>
      </c>
      <c r="Y20" s="190">
        <v>1</v>
      </c>
      <c r="Z20" s="191">
        <f>Z10</f>
        <v>52527150</v>
      </c>
      <c r="AA20" s="195">
        <v>1</v>
      </c>
      <c r="AB20" s="189">
        <f>AB10</f>
        <v>42021720</v>
      </c>
      <c r="AC20" s="190">
        <v>1</v>
      </c>
    </row>
    <row r="21" spans="2:29" ht="18.600000000000001" customHeight="1">
      <c r="B21" s="176" t="s">
        <v>110</v>
      </c>
      <c r="C21" s="177">
        <f>C15</f>
        <v>2839683</v>
      </c>
      <c r="D21" s="196">
        <f>C21/C20</f>
        <v>0.13515310653633406</v>
      </c>
      <c r="E21" s="197">
        <f>E15</f>
        <v>2839683</v>
      </c>
      <c r="F21" s="198">
        <f>E21/E20</f>
        <v>0.11262758878027838</v>
      </c>
      <c r="G21" s="177">
        <f>G15</f>
        <v>2839683</v>
      </c>
      <c r="H21" s="196">
        <f>G21/G20</f>
        <v>9.0102071024222713E-2</v>
      </c>
      <c r="I21" s="197">
        <f>I15</f>
        <v>2839683</v>
      </c>
      <c r="J21" s="198">
        <f>I21/I20</f>
        <v>7.5085059186852265E-2</v>
      </c>
      <c r="K21" s="177">
        <f>K15</f>
        <v>2839683</v>
      </c>
      <c r="L21" s="196">
        <f>K21/K20</f>
        <v>6.7576553268167028E-2</v>
      </c>
      <c r="M21" s="197">
        <f>M15</f>
        <v>0</v>
      </c>
      <c r="N21" s="198">
        <f>M21/M20</f>
        <v>0</v>
      </c>
      <c r="O21" s="177">
        <f>O15</f>
        <v>0</v>
      </c>
      <c r="P21" s="196">
        <f>O21/O20</f>
        <v>0</v>
      </c>
      <c r="Q21" s="197">
        <f>Q15</f>
        <v>0</v>
      </c>
      <c r="R21" s="198">
        <f>Q21/Q20</f>
        <v>0</v>
      </c>
      <c r="S21" s="177">
        <f>S15</f>
        <v>0</v>
      </c>
      <c r="T21" s="199">
        <f>S21/S20</f>
        <v>0</v>
      </c>
      <c r="U21" s="194"/>
      <c r="V21" s="197">
        <f>V15</f>
        <v>0</v>
      </c>
      <c r="W21" s="200">
        <f>V21/V20</f>
        <v>0</v>
      </c>
      <c r="X21" s="177">
        <f>X15</f>
        <v>0</v>
      </c>
      <c r="Y21" s="196">
        <f>X21/X20</f>
        <v>0</v>
      </c>
      <c r="Z21" s="197">
        <f>Z15</f>
        <v>0</v>
      </c>
      <c r="AA21" s="200">
        <f>Z21/Z20</f>
        <v>0</v>
      </c>
      <c r="AB21" s="177">
        <f>AB15</f>
        <v>0</v>
      </c>
      <c r="AC21" s="196">
        <f>AB21/AB20</f>
        <v>0</v>
      </c>
    </row>
    <row r="22" spans="2:29" ht="18" customHeight="1">
      <c r="C22" s="182"/>
      <c r="D22" s="201"/>
      <c r="E22" s="182"/>
      <c r="F22" s="201"/>
      <c r="G22" s="182"/>
      <c r="H22" s="201"/>
      <c r="I22" s="182"/>
      <c r="J22" s="201"/>
      <c r="K22" s="182"/>
      <c r="L22" s="201"/>
      <c r="M22" s="182"/>
      <c r="N22" s="201"/>
      <c r="O22" s="182"/>
      <c r="P22" s="201"/>
      <c r="Q22" s="182"/>
      <c r="R22" s="201"/>
      <c r="S22" s="182"/>
      <c r="T22" s="194"/>
      <c r="U22" s="194"/>
      <c r="V22" s="182"/>
      <c r="W22" s="201"/>
      <c r="X22" s="182"/>
      <c r="Y22" s="201"/>
      <c r="Z22" s="182"/>
      <c r="AA22" s="201"/>
      <c r="AB22" s="182"/>
      <c r="AC22" s="201"/>
    </row>
    <row r="23" spans="2:29" ht="18.600000000000001" customHeight="1">
      <c r="B23" s="805" t="s">
        <v>115</v>
      </c>
      <c r="C23" s="805"/>
      <c r="D23" s="805"/>
      <c r="E23" s="805"/>
      <c r="F23" s="805"/>
      <c r="G23" s="805"/>
      <c r="H23" s="805"/>
      <c r="I23" s="805"/>
      <c r="J23" s="805"/>
      <c r="K23" s="805"/>
      <c r="L23" s="805"/>
      <c r="M23" s="805"/>
      <c r="N23" s="805"/>
      <c r="O23" s="805"/>
      <c r="P23" s="805"/>
      <c r="Q23" s="805"/>
      <c r="R23" s="805"/>
      <c r="S23" s="805"/>
      <c r="T23" s="805"/>
      <c r="U23" s="194"/>
      <c r="V23" s="805" t="s">
        <v>116</v>
      </c>
      <c r="W23" s="805"/>
      <c r="X23" s="805"/>
      <c r="Y23" s="805"/>
      <c r="Z23" s="805"/>
      <c r="AA23" s="805"/>
      <c r="AB23" s="805"/>
      <c r="AC23" s="805"/>
    </row>
    <row r="24" spans="2:29">
      <c r="B24" s="151" t="s">
        <v>117</v>
      </c>
      <c r="C24" s="603">
        <f>+(C5+C7)*D24</f>
        <v>166600</v>
      </c>
      <c r="D24" s="190">
        <v>8.3299999999999999E-2</v>
      </c>
      <c r="E24" s="203">
        <f>+(E5+E7)*F24</f>
        <v>195770.0773</v>
      </c>
      <c r="F24" s="192">
        <v>8.3299999999999999E-2</v>
      </c>
      <c r="G24" s="202">
        <f>+(G5+G7)*H24</f>
        <v>239525.19325000001</v>
      </c>
      <c r="H24" s="190">
        <v>8.3299999999999999E-2</v>
      </c>
      <c r="I24" s="203">
        <f>+(I5+I7)*J24</f>
        <v>283280.30920000002</v>
      </c>
      <c r="J24" s="192">
        <v>8.3299999999999999E-2</v>
      </c>
      <c r="K24" s="202">
        <f>+(K5+K7)*L24</f>
        <v>312450.38650000002</v>
      </c>
      <c r="L24" s="190">
        <v>8.3299999999999999E-2</v>
      </c>
      <c r="M24" s="203">
        <f>+(M5+M7)*N24</f>
        <v>364625.96625</v>
      </c>
      <c r="N24" s="192">
        <v>8.3299999999999999E-2</v>
      </c>
      <c r="O24" s="202">
        <f>+(O5+O7)*P24</f>
        <v>437551.15950000001</v>
      </c>
      <c r="P24" s="190">
        <v>8.3299999999999999E-2</v>
      </c>
      <c r="Q24" s="203">
        <f>+(Q5+Q7)*R24</f>
        <v>510476.35275000002</v>
      </c>
      <c r="R24" s="192">
        <v>8.3299999999999999E-2</v>
      </c>
      <c r="S24" s="202">
        <f>+(S5+S7)*T24</f>
        <v>729251.9325</v>
      </c>
      <c r="T24" s="190">
        <v>8.3299999999999999E-2</v>
      </c>
      <c r="U24" s="201"/>
      <c r="V24" s="203">
        <f>+(V5+V7)*W24</f>
        <v>656326.73924999998</v>
      </c>
      <c r="W24" s="192">
        <v>8.3299999999999999E-2</v>
      </c>
      <c r="X24" s="202">
        <f>+(X5+X7)*Y24</f>
        <v>583401.54599999997</v>
      </c>
      <c r="Y24" s="190">
        <v>8.3299999999999999E-2</v>
      </c>
      <c r="Z24" s="203">
        <f>+(Z5+Z7)*AA24</f>
        <v>364625.96625</v>
      </c>
      <c r="AA24" s="192">
        <v>8.3299999999999999E-2</v>
      </c>
      <c r="AB24" s="202">
        <f>+(AB5+AB7)*AC24</f>
        <v>291700.77299999999</v>
      </c>
      <c r="AC24" s="190">
        <v>8.3299999999999999E-2</v>
      </c>
    </row>
    <row r="25" spans="2:29">
      <c r="B25" s="159" t="s">
        <v>118</v>
      </c>
      <c r="C25" s="603">
        <f>+(C5+C7)*D25</f>
        <v>20000</v>
      </c>
      <c r="D25" s="205">
        <v>0.01</v>
      </c>
      <c r="E25" s="206">
        <f>+(E5+E7)*F25</f>
        <v>23501.81</v>
      </c>
      <c r="F25" s="207">
        <v>0.01</v>
      </c>
      <c r="G25" s="204">
        <f>+(G5+G7)*H25</f>
        <v>28754.525000000001</v>
      </c>
      <c r="H25" s="205">
        <v>0.01</v>
      </c>
      <c r="I25" s="206">
        <f>+(I5+I7)*J25</f>
        <v>34007.24</v>
      </c>
      <c r="J25" s="207">
        <v>0.01</v>
      </c>
      <c r="K25" s="204">
        <f>+(K5+K7)*L25</f>
        <v>37509.050000000003</v>
      </c>
      <c r="L25" s="205">
        <v>0.01</v>
      </c>
      <c r="M25" s="206">
        <f>+(M5+M7)*N25</f>
        <v>43772.625</v>
      </c>
      <c r="N25" s="207">
        <v>0.01</v>
      </c>
      <c r="O25" s="204">
        <f>+(O5+O7)*P25</f>
        <v>52527.15</v>
      </c>
      <c r="P25" s="205">
        <v>0.01</v>
      </c>
      <c r="Q25" s="206">
        <f>+(Q5+Q7)*R25</f>
        <v>61281.675000000003</v>
      </c>
      <c r="R25" s="207">
        <v>0.01</v>
      </c>
      <c r="S25" s="204">
        <f>+(S5+S7)*T25</f>
        <v>87545.25</v>
      </c>
      <c r="T25" s="205">
        <v>0.01</v>
      </c>
      <c r="U25" s="201"/>
      <c r="V25" s="206">
        <f>+(V5+V7)*W25</f>
        <v>78790.725000000006</v>
      </c>
      <c r="W25" s="207">
        <v>0.01</v>
      </c>
      <c r="X25" s="204">
        <f>+(X5+X7)*Y25</f>
        <v>70036.2</v>
      </c>
      <c r="Y25" s="205">
        <v>0.01</v>
      </c>
      <c r="Z25" s="206">
        <f>+(Z5+Z7)*AA25</f>
        <v>43772.625</v>
      </c>
      <c r="AA25" s="207">
        <v>0.01</v>
      </c>
      <c r="AB25" s="204">
        <f>+(AB5+AB7)*AC25</f>
        <v>35018.1</v>
      </c>
      <c r="AC25" s="205">
        <v>0.01</v>
      </c>
    </row>
    <row r="26" spans="2:29">
      <c r="B26" s="159" t="s">
        <v>119</v>
      </c>
      <c r="C26" s="204">
        <f>+(C5+C7)*D26</f>
        <v>166600</v>
      </c>
      <c r="D26" s="205">
        <v>8.3299999999999999E-2</v>
      </c>
      <c r="E26" s="206">
        <f>+(E5+E7)*F26</f>
        <v>195770.0773</v>
      </c>
      <c r="F26" s="207">
        <v>8.3299999999999999E-2</v>
      </c>
      <c r="G26" s="204">
        <f>+(G5+G7)*H26</f>
        <v>239525.19325000001</v>
      </c>
      <c r="H26" s="205">
        <v>8.3299999999999999E-2</v>
      </c>
      <c r="I26" s="206">
        <f>+(I5+I7)*J26</f>
        <v>283280.30920000002</v>
      </c>
      <c r="J26" s="207">
        <v>8.3299999999999999E-2</v>
      </c>
      <c r="K26" s="204">
        <f>+(K5+K7)*L26</f>
        <v>312450.38650000002</v>
      </c>
      <c r="L26" s="205">
        <v>8.3299999999999999E-2</v>
      </c>
      <c r="M26" s="206">
        <f>+(M5+M7)*N26</f>
        <v>364625.96625</v>
      </c>
      <c r="N26" s="207">
        <v>8.3299999999999999E-2</v>
      </c>
      <c r="O26" s="204">
        <f>+(O5+O7)*P26</f>
        <v>437551.15950000001</v>
      </c>
      <c r="P26" s="205">
        <v>8.3299999999999999E-2</v>
      </c>
      <c r="Q26" s="206">
        <f>+(Q5+Q7)*R26</f>
        <v>510476.35275000002</v>
      </c>
      <c r="R26" s="207">
        <v>8.3299999999999999E-2</v>
      </c>
      <c r="S26" s="204">
        <f>+(S5+S7)*T26</f>
        <v>729251.9325</v>
      </c>
      <c r="T26" s="205">
        <v>8.3299999999999999E-2</v>
      </c>
      <c r="U26" s="201"/>
      <c r="V26" s="206">
        <f>+(V5+V7)*W26</f>
        <v>656326.73924999998</v>
      </c>
      <c r="W26" s="207">
        <v>8.3299999999999999E-2</v>
      </c>
      <c r="X26" s="204">
        <f>+(X5+X7)*Y26</f>
        <v>583401.54599999997</v>
      </c>
      <c r="Y26" s="205">
        <v>8.3299999999999999E-2</v>
      </c>
      <c r="Z26" s="206">
        <f>+(Z5+Z7)*AA26</f>
        <v>364625.96625</v>
      </c>
      <c r="AA26" s="207">
        <v>8.3299999999999999E-2</v>
      </c>
      <c r="AB26" s="204">
        <f>+(AB5+AB7)*AC26</f>
        <v>291700.77299999999</v>
      </c>
      <c r="AC26" s="205">
        <v>8.3299999999999999E-2</v>
      </c>
    </row>
    <row r="27" spans="2:29">
      <c r="B27" s="176" t="s">
        <v>120</v>
      </c>
      <c r="C27" s="208">
        <f>+C5*D27</f>
        <v>73012.738500000007</v>
      </c>
      <c r="D27" s="196">
        <v>4.1700000000000001E-2</v>
      </c>
      <c r="E27" s="209">
        <f>+E5*F27</f>
        <v>87615.286200000002</v>
      </c>
      <c r="F27" s="198">
        <v>4.1700000000000001E-2</v>
      </c>
      <c r="G27" s="208">
        <f>+G5*H27</f>
        <v>109519.10775</v>
      </c>
      <c r="H27" s="196">
        <v>4.1700000000000001E-2</v>
      </c>
      <c r="I27" s="209">
        <f>+I5*J27</f>
        <v>131422.92929999999</v>
      </c>
      <c r="J27" s="198">
        <v>4.1700000000000001E-2</v>
      </c>
      <c r="K27" s="208">
        <f>+K5*L27</f>
        <v>146025.47700000001</v>
      </c>
      <c r="L27" s="196">
        <v>4.1700000000000001E-2</v>
      </c>
      <c r="M27" s="209">
        <f>+M5*N27</f>
        <v>182531.84625</v>
      </c>
      <c r="N27" s="198">
        <v>4.1700000000000001E-2</v>
      </c>
      <c r="O27" s="208">
        <f>+O5*P27</f>
        <v>219038.21549999999</v>
      </c>
      <c r="P27" s="196">
        <v>4.1700000000000001E-2</v>
      </c>
      <c r="Q27" s="209">
        <f>+Q5*R27</f>
        <v>255544.58475000001</v>
      </c>
      <c r="R27" s="198">
        <v>4.1700000000000001E-2</v>
      </c>
      <c r="S27" s="208">
        <f>+S5*T27</f>
        <v>365063.6925</v>
      </c>
      <c r="T27" s="196">
        <v>4.1700000000000001E-2</v>
      </c>
      <c r="U27" s="201"/>
      <c r="V27" s="209">
        <f>+V5*W27</f>
        <v>328557.32325000002</v>
      </c>
      <c r="W27" s="198">
        <v>4.1700000000000001E-2</v>
      </c>
      <c r="X27" s="208">
        <f>+X5*Y27</f>
        <v>292050.95400000003</v>
      </c>
      <c r="Y27" s="196">
        <v>4.1700000000000001E-2</v>
      </c>
      <c r="Z27" s="209">
        <f>+Z5*AA27</f>
        <v>182531.84625</v>
      </c>
      <c r="AA27" s="198">
        <v>4.1700000000000001E-2</v>
      </c>
      <c r="AB27" s="208">
        <f>+AB5*AC27</f>
        <v>146025.47700000001</v>
      </c>
      <c r="AC27" s="196">
        <v>4.1700000000000001E-2</v>
      </c>
    </row>
    <row r="28" spans="2:29" ht="8.1" customHeight="1">
      <c r="C28" s="210"/>
      <c r="D28" s="201"/>
      <c r="E28" s="210"/>
      <c r="F28" s="201"/>
      <c r="G28" s="210"/>
      <c r="H28" s="201"/>
      <c r="I28" s="210"/>
      <c r="J28" s="201"/>
      <c r="K28" s="210"/>
      <c r="L28" s="201"/>
      <c r="M28" s="210"/>
      <c r="N28" s="201"/>
      <c r="O28" s="210"/>
      <c r="P28" s="201"/>
      <c r="Q28" s="210"/>
      <c r="R28" s="201"/>
      <c r="S28" s="210"/>
      <c r="T28" s="201"/>
      <c r="U28" s="201"/>
      <c r="V28" s="210"/>
      <c r="W28" s="201"/>
      <c r="X28" s="210"/>
      <c r="Y28" s="201"/>
      <c r="Z28" s="210"/>
      <c r="AA28" s="201"/>
      <c r="AB28" s="210"/>
      <c r="AC28" s="201"/>
    </row>
    <row r="29" spans="2:29">
      <c r="B29" s="805" t="s">
        <v>121</v>
      </c>
      <c r="C29" s="805"/>
      <c r="D29" s="805"/>
      <c r="E29" s="805"/>
      <c r="F29" s="805"/>
      <c r="G29" s="805"/>
      <c r="H29" s="805"/>
      <c r="I29" s="805"/>
      <c r="J29" s="805"/>
      <c r="K29" s="805"/>
      <c r="L29" s="805"/>
      <c r="M29" s="805"/>
      <c r="N29" s="805"/>
      <c r="O29" s="805"/>
      <c r="P29" s="805"/>
      <c r="Q29" s="805"/>
      <c r="R29" s="805"/>
      <c r="S29" s="805"/>
      <c r="T29" s="805"/>
      <c r="U29" s="201"/>
      <c r="V29" s="805" t="s">
        <v>121</v>
      </c>
      <c r="W29" s="805"/>
      <c r="X29" s="805"/>
      <c r="Y29" s="805"/>
      <c r="Z29" s="805"/>
      <c r="AA29" s="805"/>
      <c r="AB29" s="805"/>
      <c r="AC29" s="805"/>
    </row>
    <row r="30" spans="2:29">
      <c r="B30" s="151" t="s">
        <v>122</v>
      </c>
      <c r="C30" s="202">
        <f>+C5*D30</f>
        <v>210108.6</v>
      </c>
      <c r="D30" s="190">
        <v>0.12</v>
      </c>
      <c r="E30" s="203">
        <f>+E5*F30</f>
        <v>252130.31999999998</v>
      </c>
      <c r="F30" s="192">
        <v>0.12</v>
      </c>
      <c r="G30" s="202">
        <f>+G5*H30</f>
        <v>315162.89999999997</v>
      </c>
      <c r="H30" s="190">
        <v>0.12</v>
      </c>
      <c r="I30" s="203">
        <f>+I5*J30</f>
        <v>378195.48</v>
      </c>
      <c r="J30" s="192">
        <v>0.12</v>
      </c>
      <c r="K30" s="202">
        <f>+K5*L30</f>
        <v>420217.2</v>
      </c>
      <c r="L30" s="190">
        <v>0.12</v>
      </c>
      <c r="M30" s="203">
        <f>+M5*N30</f>
        <v>525271.5</v>
      </c>
      <c r="N30" s="192">
        <v>0.12</v>
      </c>
      <c r="O30" s="202">
        <f>+O5*P30</f>
        <v>630325.79999999993</v>
      </c>
      <c r="P30" s="190">
        <v>0.12</v>
      </c>
      <c r="Q30" s="203">
        <f>+Q5*R30</f>
        <v>735380.1</v>
      </c>
      <c r="R30" s="192">
        <v>0.12</v>
      </c>
      <c r="S30" s="202">
        <f>+S5*T30</f>
        <v>1050543</v>
      </c>
      <c r="T30" s="190">
        <v>0.12</v>
      </c>
      <c r="U30" s="201"/>
      <c r="V30" s="203">
        <f>+V5*W30</f>
        <v>945488.7</v>
      </c>
      <c r="W30" s="192">
        <v>0.12</v>
      </c>
      <c r="X30" s="202">
        <f>+X5*Y30</f>
        <v>840434.4</v>
      </c>
      <c r="Y30" s="190">
        <v>0.12</v>
      </c>
      <c r="Z30" s="203">
        <f>+Z5*AA30</f>
        <v>525271.5</v>
      </c>
      <c r="AA30" s="192">
        <v>0.12</v>
      </c>
      <c r="AB30" s="202">
        <f>+AB5*AC30</f>
        <v>420217.2</v>
      </c>
      <c r="AC30" s="190">
        <v>0.12</v>
      </c>
    </row>
    <row r="31" spans="2:29">
      <c r="B31" s="159" t="s">
        <v>123</v>
      </c>
      <c r="C31" s="204">
        <f>+C5*D31</f>
        <v>148826.92500000002</v>
      </c>
      <c r="D31" s="205">
        <v>8.5000000000000006E-2</v>
      </c>
      <c r="E31" s="206">
        <f>+E5*F31</f>
        <v>178592.31000000003</v>
      </c>
      <c r="F31" s="207">
        <v>8.5000000000000006E-2</v>
      </c>
      <c r="G31" s="204">
        <f>+G5*H31</f>
        <v>223240.38750000001</v>
      </c>
      <c r="H31" s="205">
        <v>8.5000000000000006E-2</v>
      </c>
      <c r="I31" s="206">
        <f>+I5*J31</f>
        <v>267888.46500000003</v>
      </c>
      <c r="J31" s="207">
        <v>8.5000000000000006E-2</v>
      </c>
      <c r="K31" s="204">
        <f>+K5*L31</f>
        <v>297653.85000000003</v>
      </c>
      <c r="L31" s="205">
        <v>8.5000000000000006E-2</v>
      </c>
      <c r="M31" s="206">
        <f>+M5*N31</f>
        <v>372067.3125</v>
      </c>
      <c r="N31" s="207">
        <v>8.5000000000000006E-2</v>
      </c>
      <c r="O31" s="204">
        <f>+O5*P31</f>
        <v>446480.77500000002</v>
      </c>
      <c r="P31" s="205">
        <v>8.5000000000000006E-2</v>
      </c>
      <c r="Q31" s="206">
        <f>+Q5*R31</f>
        <v>520894.23750000005</v>
      </c>
      <c r="R31" s="207">
        <v>8.5000000000000006E-2</v>
      </c>
      <c r="S31" s="204">
        <f>+S5*T31</f>
        <v>744134.625</v>
      </c>
      <c r="T31" s="205">
        <v>8.5000000000000006E-2</v>
      </c>
      <c r="U31" s="201"/>
      <c r="V31" s="604">
        <f>+V5*W31</f>
        <v>669721.16250000009</v>
      </c>
      <c r="W31" s="609">
        <v>8.5000000000000006E-2</v>
      </c>
      <c r="X31" s="604">
        <f>+X5*Y31</f>
        <v>595307.70000000007</v>
      </c>
      <c r="Y31" s="609">
        <v>8.5000000000000006E-2</v>
      </c>
      <c r="Z31" s="604">
        <f>+Z5*AA31</f>
        <v>372067.3125</v>
      </c>
      <c r="AA31" s="609">
        <v>8.5000000000000006E-2</v>
      </c>
      <c r="AB31" s="604">
        <f>+AB5*AC31</f>
        <v>297653.85000000003</v>
      </c>
      <c r="AC31" s="609">
        <v>8.5000000000000006E-2</v>
      </c>
    </row>
    <row r="32" spans="2:29">
      <c r="B32" s="176" t="s">
        <v>124</v>
      </c>
      <c r="C32" s="208">
        <f>+C5*D32</f>
        <v>121862.988</v>
      </c>
      <c r="D32" s="196">
        <v>6.9599999999999995E-2</v>
      </c>
      <c r="E32" s="209">
        <f>+E5*F32</f>
        <v>146235.58559999999</v>
      </c>
      <c r="F32" s="198">
        <v>6.9599999999999995E-2</v>
      </c>
      <c r="G32" s="208">
        <f>+G5*H32</f>
        <v>182794.48199999999</v>
      </c>
      <c r="H32" s="196">
        <v>6.9599999999999995E-2</v>
      </c>
      <c r="I32" s="209">
        <f>+I5*J32</f>
        <v>219353.37839999999</v>
      </c>
      <c r="J32" s="198">
        <v>6.9599999999999995E-2</v>
      </c>
      <c r="K32" s="208">
        <f>+K5*L32</f>
        <v>243725.976</v>
      </c>
      <c r="L32" s="196">
        <v>6.9599999999999995E-2</v>
      </c>
      <c r="M32" s="209">
        <f>+M5*N32</f>
        <v>304657.46999999997</v>
      </c>
      <c r="N32" s="198">
        <v>6.9599999999999995E-2</v>
      </c>
      <c r="O32" s="208">
        <f>+O5*P32</f>
        <v>365588.96399999998</v>
      </c>
      <c r="P32" s="196">
        <v>6.9599999999999995E-2</v>
      </c>
      <c r="Q32" s="209">
        <f>+Q5*R32</f>
        <v>426520.45799999998</v>
      </c>
      <c r="R32" s="198">
        <v>6.9599999999999995E-2</v>
      </c>
      <c r="S32" s="208">
        <f>+S5*T32</f>
        <v>609314.93999999994</v>
      </c>
      <c r="T32" s="196">
        <v>6.9599999999999995E-2</v>
      </c>
      <c r="U32" s="201"/>
      <c r="V32" s="209">
        <f>+V5*W32</f>
        <v>548383.446</v>
      </c>
      <c r="W32" s="198">
        <v>6.9599999999999995E-2</v>
      </c>
      <c r="X32" s="208">
        <f>+X5*Y32</f>
        <v>487451.95199999999</v>
      </c>
      <c r="Y32" s="196">
        <v>6.9599999999999995E-2</v>
      </c>
      <c r="Z32" s="209">
        <f>+Z5*AA32</f>
        <v>304657.46999999997</v>
      </c>
      <c r="AA32" s="198">
        <v>6.9599999999999995E-2</v>
      </c>
      <c r="AB32" s="208">
        <f>+AB5*AC32</f>
        <v>243725.976</v>
      </c>
      <c r="AC32" s="196">
        <v>6.9599999999999995E-2</v>
      </c>
    </row>
    <row r="33" spans="2:30" ht="15.75" customHeight="1">
      <c r="C33" s="210"/>
      <c r="D33" s="201"/>
      <c r="E33" s="210"/>
      <c r="F33" s="201"/>
      <c r="G33" s="210"/>
      <c r="H33" s="201"/>
      <c r="I33" s="210"/>
      <c r="J33" s="201"/>
      <c r="K33" s="210"/>
      <c r="L33" s="201"/>
      <c r="M33" s="210"/>
      <c r="N33" s="201"/>
      <c r="O33" s="210"/>
      <c r="P33" s="201"/>
      <c r="Q33" s="210"/>
      <c r="R33" s="201"/>
      <c r="S33" s="210"/>
      <c r="T33" s="201"/>
      <c r="U33" s="201"/>
      <c r="V33" s="210"/>
      <c r="W33" s="201"/>
      <c r="X33" s="210"/>
      <c r="Y33" s="201"/>
      <c r="Z33" s="210"/>
      <c r="AA33" s="201"/>
      <c r="AB33" s="210"/>
      <c r="AC33" s="201"/>
    </row>
    <row r="34" spans="2:30">
      <c r="B34" s="805" t="s">
        <v>125</v>
      </c>
      <c r="C34" s="805"/>
      <c r="D34" s="805"/>
      <c r="E34" s="805"/>
      <c r="F34" s="805"/>
      <c r="G34" s="805"/>
      <c r="H34" s="805"/>
      <c r="I34" s="805"/>
      <c r="J34" s="805"/>
      <c r="K34" s="805"/>
      <c r="L34" s="805"/>
      <c r="M34" s="805"/>
      <c r="N34" s="805"/>
      <c r="O34" s="805"/>
      <c r="P34" s="805"/>
      <c r="Q34" s="805"/>
      <c r="R34" s="805"/>
      <c r="S34" s="805"/>
      <c r="T34" s="805"/>
      <c r="U34" s="201"/>
      <c r="V34" s="805" t="s">
        <v>125</v>
      </c>
      <c r="W34" s="805"/>
      <c r="X34" s="805"/>
      <c r="Y34" s="805"/>
      <c r="Z34" s="805"/>
      <c r="AA34" s="805"/>
      <c r="AB34" s="805"/>
      <c r="AC34" s="805"/>
    </row>
    <row r="35" spans="2:30" ht="19.899999999999999" customHeight="1">
      <c r="B35" s="151" t="s">
        <v>126</v>
      </c>
      <c r="C35" s="202">
        <f>+C5*D35</f>
        <v>70036.2</v>
      </c>
      <c r="D35" s="190">
        <v>0.04</v>
      </c>
      <c r="E35" s="203">
        <f>+E5*F35</f>
        <v>84043.44</v>
      </c>
      <c r="F35" s="192">
        <v>0.04</v>
      </c>
      <c r="G35" s="202">
        <f>+G5*H35</f>
        <v>105054.3</v>
      </c>
      <c r="H35" s="190">
        <v>0.04</v>
      </c>
      <c r="I35" s="203">
        <f>+I5*J35</f>
        <v>126065.16</v>
      </c>
      <c r="J35" s="192">
        <v>0.04</v>
      </c>
      <c r="K35" s="202">
        <f>+K5*L35</f>
        <v>140072.4</v>
      </c>
      <c r="L35" s="190">
        <v>0.04</v>
      </c>
      <c r="M35" s="203">
        <f>+M5*N35</f>
        <v>175090.5</v>
      </c>
      <c r="N35" s="192">
        <v>0.04</v>
      </c>
      <c r="O35" s="202">
        <f>+O5*P35</f>
        <v>210108.6</v>
      </c>
      <c r="P35" s="190">
        <v>0.04</v>
      </c>
      <c r="Q35" s="203">
        <f>+Q5*R35</f>
        <v>245126.7</v>
      </c>
      <c r="R35" s="192">
        <v>0.04</v>
      </c>
      <c r="S35" s="202">
        <f>+S5*T35</f>
        <v>350181</v>
      </c>
      <c r="T35" s="190">
        <v>0.04</v>
      </c>
      <c r="U35" s="201"/>
      <c r="V35" s="203">
        <f>+V5*W35</f>
        <v>315162.90000000002</v>
      </c>
      <c r="W35" s="192">
        <v>0.04</v>
      </c>
      <c r="X35" s="202">
        <f>+X5*Y35</f>
        <v>280144.8</v>
      </c>
      <c r="Y35" s="190">
        <v>0.04</v>
      </c>
      <c r="Z35" s="203">
        <f>+Z5*AA35</f>
        <v>175090.5</v>
      </c>
      <c r="AA35" s="192">
        <v>0.04</v>
      </c>
      <c r="AB35" s="202">
        <f>+AB5*AC35</f>
        <v>140072.4</v>
      </c>
      <c r="AC35" s="190">
        <v>0.04</v>
      </c>
    </row>
    <row r="36" spans="2:30" ht="19.899999999999999" customHeight="1">
      <c r="B36" s="176" t="s">
        <v>127</v>
      </c>
      <c r="C36" s="208">
        <f>+C5*D36</f>
        <v>35018.1</v>
      </c>
      <c r="D36" s="196">
        <v>0.02</v>
      </c>
      <c r="E36" s="209">
        <f>+E5*F36</f>
        <v>42021.72</v>
      </c>
      <c r="F36" s="198">
        <v>0.02</v>
      </c>
      <c r="G36" s="208">
        <f>+G5*H36</f>
        <v>52527.15</v>
      </c>
      <c r="H36" s="196">
        <v>0.02</v>
      </c>
      <c r="I36" s="209">
        <f>+I5*J36</f>
        <v>63032.58</v>
      </c>
      <c r="J36" s="198">
        <v>0.02</v>
      </c>
      <c r="K36" s="208">
        <f>+K5*L36</f>
        <v>70036.2</v>
      </c>
      <c r="L36" s="196">
        <v>0.02</v>
      </c>
      <c r="M36" s="209">
        <f>+M5*N36</f>
        <v>87545.25</v>
      </c>
      <c r="N36" s="198">
        <v>0.02</v>
      </c>
      <c r="O36" s="208">
        <f>+O5*P36</f>
        <v>105054.3</v>
      </c>
      <c r="P36" s="196">
        <v>0.02</v>
      </c>
      <c r="Q36" s="209">
        <f>+Q5*R36</f>
        <v>122563.35</v>
      </c>
      <c r="R36" s="198">
        <v>0.02</v>
      </c>
      <c r="S36" s="208">
        <f>+S5*T36</f>
        <v>175090.5</v>
      </c>
      <c r="T36" s="196">
        <v>0.02</v>
      </c>
      <c r="U36" s="201"/>
      <c r="V36" s="209">
        <f>+V5*W36</f>
        <v>157581.45000000001</v>
      </c>
      <c r="W36" s="198">
        <v>0.02</v>
      </c>
      <c r="X36" s="208">
        <f>+X5*Y36</f>
        <v>140072.4</v>
      </c>
      <c r="Y36" s="196">
        <v>0.02</v>
      </c>
      <c r="Z36" s="209">
        <f>+Z5*AA36</f>
        <v>87545.25</v>
      </c>
      <c r="AA36" s="198">
        <v>0.02</v>
      </c>
      <c r="AB36" s="208">
        <f>+AB5*AC36</f>
        <v>70036.2</v>
      </c>
      <c r="AC36" s="196">
        <v>0.02</v>
      </c>
      <c r="AD36" s="211"/>
    </row>
    <row r="37" spans="2:30" ht="18.75" customHeight="1">
      <c r="B37" s="2" t="s">
        <v>128</v>
      </c>
      <c r="C37" s="210">
        <f>+C5*D37</f>
        <v>52527.15</v>
      </c>
      <c r="D37" s="196">
        <v>0.03</v>
      </c>
      <c r="E37" s="210">
        <f>+E5*F37</f>
        <v>63032.579999999994</v>
      </c>
      <c r="F37" s="201">
        <v>0.03</v>
      </c>
      <c r="G37" s="210">
        <f>+G5*H37</f>
        <v>78790.724999999991</v>
      </c>
      <c r="H37" s="201">
        <v>0.03</v>
      </c>
      <c r="I37" s="210">
        <f>+I5*J37</f>
        <v>94548.87</v>
      </c>
      <c r="J37" s="201">
        <v>0.03</v>
      </c>
      <c r="K37" s="210">
        <f>+K5*L37</f>
        <v>105054.3</v>
      </c>
      <c r="L37" s="201">
        <v>0.03</v>
      </c>
      <c r="M37" s="210">
        <f>+M5*N37</f>
        <v>131317.875</v>
      </c>
      <c r="N37" s="201">
        <v>0.03</v>
      </c>
      <c r="O37" s="210">
        <f>+O5*P37</f>
        <v>157581.44999999998</v>
      </c>
      <c r="P37" s="201">
        <v>0.03</v>
      </c>
      <c r="Q37" s="210">
        <f>+Q5*R37</f>
        <v>183845.02499999999</v>
      </c>
      <c r="R37" s="201">
        <v>0.03</v>
      </c>
      <c r="S37" s="210">
        <f>+S5*T37</f>
        <v>262635.75</v>
      </c>
      <c r="T37" s="201">
        <v>0.03</v>
      </c>
      <c r="U37" s="201"/>
      <c r="V37" s="210">
        <f>+V5*W37</f>
        <v>236372.17499999999</v>
      </c>
      <c r="W37" s="201">
        <v>0.03</v>
      </c>
      <c r="X37" s="210">
        <f>+X5*Y37</f>
        <v>210108.6</v>
      </c>
      <c r="Y37" s="201">
        <v>0.03</v>
      </c>
      <c r="Z37" s="210">
        <f>+Z5*AA37</f>
        <v>131317.875</v>
      </c>
      <c r="AA37" s="201">
        <v>0.03</v>
      </c>
      <c r="AB37" s="210">
        <f>+AB5*AC37</f>
        <v>105054.3</v>
      </c>
      <c r="AC37" s="201">
        <v>0.03</v>
      </c>
      <c r="AD37" s="212"/>
    </row>
    <row r="38" spans="2:30" ht="19.899999999999999" customHeight="1">
      <c r="B38" s="805" t="s">
        <v>129</v>
      </c>
      <c r="C38" s="805"/>
      <c r="D38" s="805"/>
      <c r="E38" s="805"/>
      <c r="F38" s="805"/>
      <c r="G38" s="805"/>
      <c r="H38" s="805"/>
      <c r="I38" s="805"/>
      <c r="J38" s="805"/>
      <c r="K38" s="805"/>
      <c r="L38" s="805"/>
      <c r="M38" s="805"/>
      <c r="N38" s="805"/>
      <c r="O38" s="805"/>
      <c r="P38" s="805"/>
      <c r="Q38" s="805"/>
      <c r="R38" s="805"/>
      <c r="S38" s="805"/>
      <c r="T38" s="805"/>
      <c r="U38" s="201"/>
      <c r="V38" s="805" t="s">
        <v>129</v>
      </c>
      <c r="W38" s="805"/>
      <c r="X38" s="805"/>
      <c r="Y38" s="805"/>
      <c r="Z38" s="805"/>
      <c r="AA38" s="805"/>
      <c r="AB38" s="805"/>
      <c r="AC38" s="805"/>
      <c r="AD38" s="213"/>
    </row>
    <row r="39" spans="2:30" ht="19.899999999999999" customHeight="1">
      <c r="B39" s="608" t="s">
        <v>130</v>
      </c>
      <c r="C39" s="202"/>
      <c r="D39" s="190">
        <f>C39/C20</f>
        <v>0</v>
      </c>
      <c r="E39" s="203"/>
      <c r="F39" s="192">
        <f>E39/E20</f>
        <v>0</v>
      </c>
      <c r="G39" s="202"/>
      <c r="H39" s="190">
        <f>G39/G20</f>
        <v>0</v>
      </c>
      <c r="I39" s="203"/>
      <c r="J39" s="192">
        <f>I39/I20</f>
        <v>0</v>
      </c>
      <c r="K39" s="202"/>
      <c r="L39" s="190">
        <f>K39/K20</f>
        <v>0</v>
      </c>
      <c r="M39" s="203"/>
      <c r="N39" s="192">
        <f>M39/M20</f>
        <v>0</v>
      </c>
      <c r="O39" s="202"/>
      <c r="P39" s="190">
        <f>O39/O20</f>
        <v>0</v>
      </c>
      <c r="Q39" s="203"/>
      <c r="R39" s="192">
        <f>Q39/Q20</f>
        <v>0</v>
      </c>
      <c r="S39" s="202"/>
      <c r="T39" s="190">
        <v>0</v>
      </c>
      <c r="U39" s="201"/>
      <c r="V39" s="203">
        <f>V20*W39</f>
        <v>0</v>
      </c>
      <c r="W39" s="192">
        <v>0</v>
      </c>
      <c r="X39" s="202">
        <f>X20*Y39</f>
        <v>0</v>
      </c>
      <c r="Y39" s="190">
        <v>0</v>
      </c>
      <c r="Z39" s="203">
        <f>Z20*AA39</f>
        <v>0</v>
      </c>
      <c r="AA39" s="192">
        <v>0</v>
      </c>
      <c r="AB39" s="202">
        <f>C39</f>
        <v>0</v>
      </c>
      <c r="AC39" s="190">
        <f>AB39/AB20</f>
        <v>0</v>
      </c>
    </row>
    <row r="40" spans="2:30" ht="19.899999999999999" customHeight="1">
      <c r="B40" s="602" t="s">
        <v>131</v>
      </c>
      <c r="C40" s="208"/>
      <c r="D40" s="196">
        <f>C40/C20</f>
        <v>0</v>
      </c>
      <c r="E40" s="209"/>
      <c r="F40" s="198">
        <f>E40/E20</f>
        <v>0</v>
      </c>
      <c r="G40" s="208"/>
      <c r="H40" s="196">
        <f>G40/G20</f>
        <v>0</v>
      </c>
      <c r="I40" s="209"/>
      <c r="J40" s="198">
        <f>I40/I20</f>
        <v>0</v>
      </c>
      <c r="K40" s="208"/>
      <c r="L40" s="196">
        <f>K40/K20</f>
        <v>0</v>
      </c>
      <c r="M40" s="209"/>
      <c r="N40" s="198">
        <f>M40/M20</f>
        <v>0</v>
      </c>
      <c r="O40" s="208"/>
      <c r="P40" s="196">
        <f>O40/O20</f>
        <v>0</v>
      </c>
      <c r="Q40" s="209"/>
      <c r="R40" s="198">
        <f>Q40/Q20</f>
        <v>0</v>
      </c>
      <c r="S40" s="208"/>
      <c r="T40" s="196">
        <f>S40/S20</f>
        <v>0</v>
      </c>
      <c r="U40" s="201"/>
      <c r="V40" s="209">
        <f>C40</f>
        <v>0</v>
      </c>
      <c r="W40" s="198">
        <f>V40/V20</f>
        <v>0</v>
      </c>
      <c r="X40" s="208">
        <f>C40</f>
        <v>0</v>
      </c>
      <c r="Y40" s="196">
        <f>X40/X20</f>
        <v>0</v>
      </c>
      <c r="Z40" s="209">
        <f>C40</f>
        <v>0</v>
      </c>
      <c r="AA40" s="198">
        <f>Z40/Z20</f>
        <v>0</v>
      </c>
      <c r="AB40" s="208">
        <f>C40</f>
        <v>0</v>
      </c>
      <c r="AC40" s="196">
        <f>AB40/AB20</f>
        <v>0</v>
      </c>
    </row>
    <row r="41" spans="2:30" ht="21" customHeight="1">
      <c r="C41" s="210"/>
      <c r="D41" s="201"/>
      <c r="E41" s="210"/>
      <c r="F41" s="201"/>
      <c r="G41" s="210"/>
      <c r="H41" s="201"/>
      <c r="I41" s="210"/>
      <c r="J41" s="201"/>
      <c r="K41" s="210"/>
      <c r="L41" s="201"/>
      <c r="M41" s="210"/>
      <c r="N41" s="201"/>
      <c r="O41" s="210"/>
      <c r="P41" s="201"/>
      <c r="Q41" s="210"/>
      <c r="R41" s="201"/>
      <c r="S41" s="210"/>
      <c r="T41" s="201"/>
      <c r="U41" s="201"/>
      <c r="V41" s="210"/>
      <c r="W41" s="201"/>
      <c r="X41" s="210"/>
      <c r="Y41" s="201"/>
      <c r="Z41" s="210"/>
      <c r="AA41" s="201"/>
      <c r="AB41" s="210"/>
      <c r="AC41" s="201"/>
    </row>
    <row r="42" spans="2:30" s="214" customFormat="1" ht="27.95" customHeight="1">
      <c r="B42" s="215" t="s">
        <v>132</v>
      </c>
      <c r="C42" s="216">
        <f t="shared" ref="C42:T42" si="0">SUM(C24:C40)</f>
        <v>1064592.7015</v>
      </c>
      <c r="D42" s="217">
        <f t="shared" si="0"/>
        <v>0.58290000000000008</v>
      </c>
      <c r="E42" s="216">
        <f t="shared" si="0"/>
        <v>1268713.2064</v>
      </c>
      <c r="F42" s="217">
        <f t="shared" si="0"/>
        <v>0.58290000000000008</v>
      </c>
      <c r="G42" s="216">
        <f t="shared" si="0"/>
        <v>1574893.9637500001</v>
      </c>
      <c r="H42" s="217">
        <f t="shared" si="0"/>
        <v>0.58290000000000008</v>
      </c>
      <c r="I42" s="216">
        <f t="shared" si="0"/>
        <v>1881074.7211000002</v>
      </c>
      <c r="J42" s="217">
        <f t="shared" si="0"/>
        <v>0.58290000000000008</v>
      </c>
      <c r="K42" s="216">
        <f t="shared" si="0"/>
        <v>2085195.226</v>
      </c>
      <c r="L42" s="217">
        <f t="shared" si="0"/>
        <v>0.58290000000000008</v>
      </c>
      <c r="M42" s="216">
        <f t="shared" si="0"/>
        <v>2551506.3112500003</v>
      </c>
      <c r="N42" s="217">
        <f t="shared" si="0"/>
        <v>0.58290000000000008</v>
      </c>
      <c r="O42" s="216">
        <f t="shared" si="0"/>
        <v>3061807.5734999999</v>
      </c>
      <c r="P42" s="217">
        <f t="shared" si="0"/>
        <v>0.58290000000000008</v>
      </c>
      <c r="Q42" s="216">
        <f t="shared" si="0"/>
        <v>3572108.8357500001</v>
      </c>
      <c r="R42" s="217">
        <f t="shared" si="0"/>
        <v>0.58290000000000008</v>
      </c>
      <c r="S42" s="216">
        <f t="shared" si="0"/>
        <v>5103012.6225000005</v>
      </c>
      <c r="T42" s="217">
        <f t="shared" si="0"/>
        <v>0.58290000000000008</v>
      </c>
      <c r="U42" s="218"/>
      <c r="V42" s="219">
        <f>SUM(V24:V40)</f>
        <v>4592711.3602499999</v>
      </c>
      <c r="W42" s="217">
        <f>SUM(W21:W40)</f>
        <v>0.58290000000000008</v>
      </c>
      <c r="X42" s="219">
        <f>SUM(X24:X40)</f>
        <v>4082410.0979999998</v>
      </c>
      <c r="Y42" s="217">
        <f>SUM(Y21:Y40)</f>
        <v>0.58290000000000008</v>
      </c>
      <c r="Z42" s="219">
        <f>SUM(Z24:Z40)</f>
        <v>2551506.3112500003</v>
      </c>
      <c r="AA42" s="217">
        <f>SUM(AA21:AA40)</f>
        <v>0.58290000000000008</v>
      </c>
      <c r="AB42" s="219">
        <f>SUM(AB24:AB40)</f>
        <v>2041205.0489999999</v>
      </c>
      <c r="AC42" s="217">
        <f>SUM(AC21:AC40)</f>
        <v>0.58290000000000008</v>
      </c>
      <c r="AD42" s="220"/>
    </row>
    <row r="43" spans="2:30">
      <c r="B43" s="221"/>
      <c r="C43" s="222">
        <f>+C42+C5+C7</f>
        <v>3064592.7015</v>
      </c>
      <c r="D43" s="223"/>
    </row>
    <row r="44" spans="2:30">
      <c r="B44" s="805" t="s">
        <v>133</v>
      </c>
      <c r="C44" s="805"/>
      <c r="D44" s="805"/>
      <c r="E44" s="805"/>
      <c r="F44" s="805"/>
      <c r="G44" s="805"/>
      <c r="H44" s="805"/>
      <c r="I44" s="805"/>
      <c r="J44" s="805"/>
      <c r="K44" s="805"/>
      <c r="L44" s="805"/>
      <c r="M44" s="805"/>
      <c r="N44" s="805"/>
      <c r="O44" s="805"/>
      <c r="P44" s="805"/>
      <c r="Q44" s="805"/>
      <c r="R44" s="805"/>
      <c r="S44" s="805"/>
      <c r="T44" s="805"/>
      <c r="V44" s="805" t="s">
        <v>133</v>
      </c>
      <c r="W44" s="805"/>
      <c r="X44" s="805"/>
      <c r="Y44" s="805"/>
      <c r="Z44" s="805"/>
      <c r="AA44" s="805"/>
      <c r="AB44" s="805"/>
      <c r="AC44" s="805"/>
    </row>
    <row r="45" spans="2:30">
      <c r="B45" s="605" t="s">
        <v>134</v>
      </c>
      <c r="C45" s="806">
        <f>360*7.33</f>
        <v>2638.8</v>
      </c>
      <c r="D45" s="807"/>
      <c r="E45" s="808">
        <f>360*8</f>
        <v>2880</v>
      </c>
      <c r="F45" s="809"/>
      <c r="G45" s="806">
        <f>360*8</f>
        <v>2880</v>
      </c>
      <c r="H45" s="807"/>
      <c r="I45" s="808">
        <f>360*8</f>
        <v>2880</v>
      </c>
      <c r="J45" s="809"/>
      <c r="K45" s="806">
        <f>360*8</f>
        <v>2880</v>
      </c>
      <c r="L45" s="807"/>
      <c r="M45" s="808">
        <f>360*8</f>
        <v>2880</v>
      </c>
      <c r="N45" s="809"/>
      <c r="O45" s="806">
        <f>360*8</f>
        <v>2880</v>
      </c>
      <c r="P45" s="807"/>
      <c r="Q45" s="808">
        <f>360*8</f>
        <v>2880</v>
      </c>
      <c r="R45" s="809"/>
      <c r="S45" s="806">
        <f>360*8</f>
        <v>2880</v>
      </c>
      <c r="T45" s="807"/>
      <c r="V45" s="808">
        <f>360*8</f>
        <v>2880</v>
      </c>
      <c r="W45" s="809"/>
      <c r="X45" s="808">
        <f t="shared" ref="X45" si="1">360*8</f>
        <v>2880</v>
      </c>
      <c r="Y45" s="809"/>
      <c r="Z45" s="808">
        <f t="shared" ref="Z45" si="2">360*8</f>
        <v>2880</v>
      </c>
      <c r="AA45" s="809"/>
      <c r="AB45" s="808">
        <f t="shared" ref="AB45" si="3">360*8</f>
        <v>2880</v>
      </c>
      <c r="AC45" s="809"/>
    </row>
    <row r="46" spans="2:30">
      <c r="B46" s="606" t="s">
        <v>135</v>
      </c>
      <c r="C46" s="803">
        <f>+(44/6*30)</f>
        <v>220</v>
      </c>
      <c r="D46" s="804"/>
      <c r="E46" s="803">
        <f t="shared" ref="E46" si="4">+(44/6*30)</f>
        <v>220</v>
      </c>
      <c r="F46" s="804"/>
      <c r="G46" s="803">
        <f t="shared" ref="G46" si="5">+(44/6*30)</f>
        <v>220</v>
      </c>
      <c r="H46" s="804"/>
      <c r="I46" s="803">
        <f t="shared" ref="I46" si="6">+(44/6*30)</f>
        <v>220</v>
      </c>
      <c r="J46" s="804"/>
      <c r="K46" s="803">
        <f t="shared" ref="K46" si="7">+(44/6*30)</f>
        <v>220</v>
      </c>
      <c r="L46" s="804"/>
      <c r="M46" s="803">
        <f t="shared" ref="M46" si="8">+(44/6*30)</f>
        <v>220</v>
      </c>
      <c r="N46" s="804"/>
      <c r="O46" s="803">
        <f t="shared" ref="O46" si="9">+(44/6*30)</f>
        <v>220</v>
      </c>
      <c r="P46" s="804"/>
      <c r="Q46" s="803">
        <f t="shared" ref="Q46" si="10">+(44/6*30)</f>
        <v>220</v>
      </c>
      <c r="R46" s="804"/>
      <c r="S46" s="803">
        <f t="shared" ref="S46:AB46" si="11">+(44/6*30)</f>
        <v>220</v>
      </c>
      <c r="T46" s="804"/>
      <c r="V46" s="801">
        <f t="shared" si="11"/>
        <v>220</v>
      </c>
      <c r="W46" s="802"/>
      <c r="X46" s="801">
        <f t="shared" si="11"/>
        <v>220</v>
      </c>
      <c r="Y46" s="802"/>
      <c r="Z46" s="801">
        <f t="shared" si="11"/>
        <v>220</v>
      </c>
      <c r="AA46" s="802"/>
      <c r="AB46" s="801">
        <f t="shared" si="11"/>
        <v>220</v>
      </c>
      <c r="AC46" s="802"/>
    </row>
    <row r="47" spans="2:30" ht="49.5">
      <c r="B47" s="606" t="s">
        <v>136</v>
      </c>
      <c r="C47" s="803"/>
      <c r="D47" s="804"/>
      <c r="E47" s="801"/>
      <c r="F47" s="802"/>
      <c r="G47" s="803"/>
      <c r="H47" s="804"/>
      <c r="I47" s="801"/>
      <c r="J47" s="802"/>
      <c r="K47" s="803"/>
      <c r="L47" s="804"/>
      <c r="M47" s="801"/>
      <c r="N47" s="802"/>
      <c r="O47" s="803"/>
      <c r="P47" s="804"/>
      <c r="Q47" s="801"/>
      <c r="R47" s="802"/>
      <c r="S47" s="803"/>
      <c r="T47" s="804"/>
      <c r="V47" s="801"/>
      <c r="W47" s="802"/>
      <c r="X47" s="801"/>
      <c r="Y47" s="802"/>
      <c r="Z47" s="801"/>
      <c r="AA47" s="802"/>
      <c r="AB47" s="801"/>
      <c r="AC47" s="802"/>
    </row>
    <row r="48" spans="2:30">
      <c r="B48" s="606" t="s">
        <v>137</v>
      </c>
      <c r="C48" s="797">
        <f>(C42+C5+C7)/C46</f>
        <v>13929.966825</v>
      </c>
      <c r="D48" s="798"/>
      <c r="E48" s="797">
        <f t="shared" ref="E48" si="12">(E42+E5+E7)/E46</f>
        <v>16449.519120000001</v>
      </c>
      <c r="F48" s="798"/>
      <c r="G48" s="797">
        <f t="shared" ref="G48" si="13">(G42+G5+G7)/G46</f>
        <v>20228.847562499999</v>
      </c>
      <c r="H48" s="798"/>
      <c r="I48" s="797">
        <f t="shared" ref="I48" si="14">(I42+I5+I7)/I46</f>
        <v>24008.176005000005</v>
      </c>
      <c r="J48" s="798"/>
      <c r="K48" s="797">
        <f t="shared" ref="K48" si="15">(K42+K5+K7)/K46</f>
        <v>26527.728299999999</v>
      </c>
      <c r="L48" s="798"/>
      <c r="M48" s="797">
        <f t="shared" ref="M48" si="16">(M42+M5+M7)/M46</f>
        <v>31494.403687500002</v>
      </c>
      <c r="N48" s="798"/>
      <c r="O48" s="797">
        <f t="shared" ref="O48" si="17">(O42+O5+O7)/O46</f>
        <v>37793.284424999998</v>
      </c>
      <c r="P48" s="798"/>
      <c r="Q48" s="797">
        <f t="shared" ref="Q48" si="18">(Q42+Q5+Q7)/Q46</f>
        <v>44092.165162500001</v>
      </c>
      <c r="R48" s="798"/>
      <c r="S48" s="797">
        <f t="shared" ref="S48:AB48" si="19">(S42+S5+S7)/S46</f>
        <v>62988.807375000004</v>
      </c>
      <c r="T48" s="798"/>
      <c r="V48" s="799">
        <f t="shared" si="19"/>
        <v>56689.926637500001</v>
      </c>
      <c r="W48" s="800"/>
      <c r="X48" s="799">
        <f t="shared" si="19"/>
        <v>50391.045899999997</v>
      </c>
      <c r="Y48" s="800"/>
      <c r="Z48" s="799">
        <f t="shared" si="19"/>
        <v>31494.403687500002</v>
      </c>
      <c r="AA48" s="800"/>
      <c r="AB48" s="799">
        <f t="shared" si="19"/>
        <v>25195.522949999999</v>
      </c>
      <c r="AC48" s="800"/>
    </row>
    <row r="49" spans="2:29">
      <c r="B49" s="606"/>
      <c r="C49" s="797"/>
      <c r="D49" s="798"/>
      <c r="E49" s="799"/>
      <c r="F49" s="800"/>
      <c r="G49" s="797"/>
      <c r="H49" s="798"/>
      <c r="I49" s="799"/>
      <c r="J49" s="800"/>
      <c r="K49" s="797"/>
      <c r="L49" s="798"/>
      <c r="M49" s="799"/>
      <c r="N49" s="800"/>
      <c r="O49" s="797"/>
      <c r="P49" s="798"/>
      <c r="Q49" s="799"/>
      <c r="R49" s="800"/>
      <c r="S49" s="797"/>
      <c r="T49" s="798"/>
      <c r="V49" s="799"/>
      <c r="W49" s="800"/>
      <c r="X49" s="799"/>
      <c r="Y49" s="800"/>
      <c r="Z49" s="799"/>
      <c r="AA49" s="800"/>
      <c r="AB49" s="799"/>
      <c r="AC49" s="800"/>
    </row>
    <row r="50" spans="2:29">
      <c r="B50" s="607"/>
      <c r="C50" s="795"/>
      <c r="D50" s="796"/>
      <c r="E50" s="793"/>
      <c r="F50" s="794"/>
      <c r="G50" s="795"/>
      <c r="H50" s="796"/>
      <c r="I50" s="793"/>
      <c r="J50" s="794"/>
      <c r="K50" s="795"/>
      <c r="L50" s="796"/>
      <c r="M50" s="793"/>
      <c r="N50" s="794"/>
      <c r="O50" s="795"/>
      <c r="P50" s="796"/>
      <c r="Q50" s="793"/>
      <c r="R50" s="794"/>
      <c r="S50" s="795"/>
      <c r="T50" s="796"/>
      <c r="V50" s="793"/>
      <c r="W50" s="794"/>
      <c r="X50" s="793"/>
      <c r="Y50" s="794"/>
      <c r="Z50" s="793"/>
      <c r="AA50" s="794"/>
      <c r="AB50" s="793"/>
      <c r="AC50" s="794"/>
    </row>
    <row r="51" spans="2:29">
      <c r="B51" s="221"/>
      <c r="C51" s="225"/>
      <c r="E51" s="226"/>
      <c r="G51" s="225"/>
      <c r="I51" s="226"/>
      <c r="K51" s="225"/>
      <c r="M51" s="226"/>
      <c r="O51" s="225"/>
      <c r="Q51" s="226"/>
      <c r="S51" s="225"/>
      <c r="V51" s="225"/>
      <c r="X51" s="225"/>
      <c r="Z51" s="225"/>
      <c r="AB51" s="225"/>
    </row>
    <row r="52" spans="2:29">
      <c r="B52" s="788" t="s">
        <v>138</v>
      </c>
      <c r="C52" s="788"/>
      <c r="D52" s="788"/>
      <c r="E52" s="788"/>
      <c r="F52" s="788"/>
      <c r="G52" s="788"/>
      <c r="H52" s="788"/>
      <c r="I52" s="788"/>
      <c r="J52" s="788"/>
      <c r="K52" s="788"/>
      <c r="L52" s="788"/>
      <c r="M52" s="788"/>
      <c r="N52" s="788"/>
      <c r="O52" s="788"/>
      <c r="P52" s="788"/>
      <c r="Q52" s="788"/>
      <c r="R52" s="788"/>
      <c r="S52" s="788"/>
      <c r="T52" s="788"/>
      <c r="V52" s="788" t="s">
        <v>138</v>
      </c>
      <c r="W52" s="788"/>
      <c r="X52" s="788"/>
      <c r="Y52" s="788"/>
      <c r="Z52" s="788"/>
      <c r="AA52" s="788"/>
      <c r="AB52" s="788"/>
      <c r="AC52" s="788"/>
    </row>
    <row r="53" spans="2:29">
      <c r="B53" s="224" t="s">
        <v>139</v>
      </c>
      <c r="C53" s="789">
        <f>+(C42+C5+C7)/30</f>
        <v>102153.09005</v>
      </c>
      <c r="D53" s="790"/>
      <c r="E53" s="791">
        <f>+(E42+E5+E7)/30</f>
        <v>120629.80688</v>
      </c>
      <c r="F53" s="792"/>
      <c r="G53" s="791">
        <f t="shared" ref="G53" si="20">+(G42+G5+G7)/30</f>
        <v>148344.882125</v>
      </c>
      <c r="H53" s="792"/>
      <c r="I53" s="791">
        <f t="shared" ref="I53" si="21">+(I42+I5+I7)/30</f>
        <v>176059.95737000002</v>
      </c>
      <c r="J53" s="792"/>
      <c r="K53" s="791">
        <f t="shared" ref="K53" si="22">+(K42+K5+K7)/30</f>
        <v>194536.67419999998</v>
      </c>
      <c r="L53" s="792"/>
      <c r="M53" s="791">
        <f t="shared" ref="M53" si="23">+(M42+M5+M7)/30</f>
        <v>230958.960375</v>
      </c>
      <c r="N53" s="792"/>
      <c r="O53" s="791">
        <f t="shared" ref="O53" si="24">+(O42+O5+O7)/30</f>
        <v>277150.75244999997</v>
      </c>
      <c r="P53" s="792"/>
      <c r="Q53" s="791">
        <f t="shared" ref="Q53" si="25">+(Q42+Q5+Q7)/30</f>
        <v>323342.54452500003</v>
      </c>
      <c r="R53" s="792"/>
      <c r="S53" s="791">
        <f>+(S42+S5+S7)/30</f>
        <v>461917.92074999999</v>
      </c>
      <c r="T53" s="792"/>
      <c r="V53" s="791">
        <f>+(V42+V5+V7)/30</f>
        <v>415726.12867499999</v>
      </c>
      <c r="W53" s="792"/>
      <c r="X53" s="789">
        <f>+(X42+X5+X7)/30</f>
        <v>369534.33659999998</v>
      </c>
      <c r="Y53" s="790"/>
      <c r="Z53" s="791">
        <f>+(Z42+Z5+Z7)/30</f>
        <v>230958.960375</v>
      </c>
      <c r="AA53" s="792"/>
      <c r="AB53" s="789">
        <f>+(AB42+AB5+AB7)/30</f>
        <v>184767.16829999999</v>
      </c>
      <c r="AC53" s="790"/>
    </row>
    <row r="54" spans="2:29">
      <c r="B54" s="227" t="s">
        <v>140</v>
      </c>
      <c r="C54" s="780">
        <f>+C53-C55</f>
        <v>66666.666666666657</v>
      </c>
      <c r="D54" s="781"/>
      <c r="E54" s="786">
        <f>+E53-E55</f>
        <v>78339.366666666669</v>
      </c>
      <c r="F54" s="787"/>
      <c r="G54" s="778">
        <f t="shared" ref="G54" si="26">+G53-G55</f>
        <v>95848.416666666657</v>
      </c>
      <c r="H54" s="779"/>
      <c r="I54" s="786">
        <f t="shared" ref="I54" si="27">+I53-I55</f>
        <v>113357.46666666667</v>
      </c>
      <c r="J54" s="787"/>
      <c r="K54" s="778">
        <f t="shared" ref="K54" si="28">+K53-K55</f>
        <v>125030.16666666664</v>
      </c>
      <c r="L54" s="779"/>
      <c r="M54" s="778">
        <f t="shared" ref="M54" si="29">+M53-M55</f>
        <v>145908.75</v>
      </c>
      <c r="N54" s="779"/>
      <c r="O54" s="778">
        <f t="shared" ref="O54" si="30">+O53-O55</f>
        <v>175090.49999999997</v>
      </c>
      <c r="P54" s="779"/>
      <c r="Q54" s="778">
        <f t="shared" ref="Q54" si="31">+Q53-Q55</f>
        <v>204272.25000000003</v>
      </c>
      <c r="R54" s="779"/>
      <c r="S54" s="778">
        <f t="shared" ref="S54" si="32">+S53-S55</f>
        <v>291817.5</v>
      </c>
      <c r="T54" s="779"/>
      <c r="V54" s="778">
        <f t="shared" ref="V54" si="33">+V53-V55</f>
        <v>262635.75</v>
      </c>
      <c r="W54" s="779"/>
      <c r="X54" s="780">
        <f t="shared" ref="X54" si="34">+X53-X55</f>
        <v>233454</v>
      </c>
      <c r="Y54" s="781"/>
      <c r="Z54" s="778">
        <f t="shared" ref="Z54" si="35">+Z53-Z55</f>
        <v>145908.75</v>
      </c>
      <c r="AA54" s="779"/>
      <c r="AB54" s="780">
        <f t="shared" ref="AB54" si="36">+AB53-AB55</f>
        <v>116727</v>
      </c>
      <c r="AC54" s="781"/>
    </row>
    <row r="55" spans="2:29">
      <c r="B55" s="228" t="s">
        <v>141</v>
      </c>
      <c r="C55" s="782">
        <f>+C42/30</f>
        <v>35486.423383333335</v>
      </c>
      <c r="D55" s="783"/>
      <c r="E55" s="784">
        <f>+E42/30</f>
        <v>42290.440213333335</v>
      </c>
      <c r="F55" s="785"/>
      <c r="G55" s="776">
        <f t="shared" ref="G55" si="37">+G42/30</f>
        <v>52496.465458333339</v>
      </c>
      <c r="H55" s="777"/>
      <c r="I55" s="784">
        <f t="shared" ref="I55" si="38">+I42/30</f>
        <v>62702.490703333337</v>
      </c>
      <c r="J55" s="785"/>
      <c r="K55" s="776">
        <f t="shared" ref="K55" si="39">+K42/30</f>
        <v>69506.507533333337</v>
      </c>
      <c r="L55" s="777"/>
      <c r="M55" s="776">
        <f t="shared" ref="M55" si="40">+M42/30</f>
        <v>85050.21037500001</v>
      </c>
      <c r="N55" s="777"/>
      <c r="O55" s="776">
        <f t="shared" ref="O55" si="41">+O42/30</f>
        <v>102060.25245</v>
      </c>
      <c r="P55" s="777"/>
      <c r="Q55" s="776">
        <f t="shared" ref="Q55" si="42">+Q42/30</f>
        <v>119070.294525</v>
      </c>
      <c r="R55" s="777"/>
      <c r="S55" s="776">
        <f t="shared" ref="S55" si="43">+S42/30</f>
        <v>170100.42075000002</v>
      </c>
      <c r="T55" s="777"/>
      <c r="V55" s="776">
        <f t="shared" ref="V55" si="44">+V42/30</f>
        <v>153090.37867499999</v>
      </c>
      <c r="W55" s="777"/>
      <c r="X55" s="782">
        <f t="shared" ref="X55" si="45">+X42/30</f>
        <v>136080.33659999998</v>
      </c>
      <c r="Y55" s="783"/>
      <c r="Z55" s="776">
        <f t="shared" ref="Z55" si="46">+Z42/30</f>
        <v>85050.21037500001</v>
      </c>
      <c r="AA55" s="777"/>
      <c r="AB55" s="782">
        <f t="shared" ref="AB55" si="47">+AB42/30</f>
        <v>68040.16829999999</v>
      </c>
      <c r="AC55" s="783"/>
    </row>
    <row r="56" spans="2:29">
      <c r="C56" s="229"/>
    </row>
    <row r="57" spans="2:29">
      <c r="E57" s="230"/>
      <c r="F57" s="231"/>
      <c r="G57" s="230"/>
      <c r="H57" s="231"/>
      <c r="I57" s="230"/>
      <c r="J57" s="231"/>
      <c r="K57" s="230"/>
      <c r="L57" s="231"/>
      <c r="M57" s="230"/>
      <c r="N57" s="231"/>
      <c r="O57" s="230"/>
      <c r="P57" s="231"/>
      <c r="Q57" s="230"/>
      <c r="R57" s="231"/>
      <c r="S57" s="230"/>
      <c r="V57" s="230"/>
      <c r="X57" s="230"/>
      <c r="Z57" s="230"/>
      <c r="AB57" s="230"/>
    </row>
    <row r="58" spans="2:29">
      <c r="B58" s="232" t="s">
        <v>142</v>
      </c>
      <c r="C58" s="774" t="s">
        <v>143</v>
      </c>
      <c r="D58" s="774"/>
      <c r="E58" s="775" t="s">
        <v>144</v>
      </c>
      <c r="F58" s="775"/>
      <c r="G58" s="775" t="s">
        <v>145</v>
      </c>
      <c r="H58" s="775"/>
      <c r="I58" s="769"/>
      <c r="J58" s="769"/>
      <c r="K58" s="769"/>
      <c r="L58" s="769"/>
      <c r="M58" s="769"/>
      <c r="N58" s="769"/>
      <c r="O58" s="769"/>
      <c r="P58" s="769"/>
      <c r="Q58" s="769"/>
      <c r="R58" s="769"/>
      <c r="S58" s="230"/>
      <c r="V58" s="230"/>
      <c r="X58" s="230"/>
      <c r="Z58" s="230"/>
      <c r="AB58" s="230"/>
    </row>
    <row r="59" spans="2:29" ht="8.1" customHeight="1">
      <c r="B59" s="233"/>
      <c r="C59" s="149"/>
      <c r="D59" s="149"/>
      <c r="E59" s="234"/>
      <c r="F59" s="234"/>
      <c r="G59" s="234"/>
      <c r="H59" s="234"/>
      <c r="I59" s="230"/>
      <c r="J59" s="230"/>
      <c r="K59" s="230"/>
      <c r="L59" s="230"/>
      <c r="M59" s="230"/>
      <c r="N59" s="230"/>
      <c r="O59" s="230"/>
      <c r="P59" s="230"/>
      <c r="Q59" s="230"/>
      <c r="R59" s="230"/>
      <c r="S59" s="230"/>
      <c r="V59" s="230"/>
      <c r="X59" s="230"/>
      <c r="Z59" s="230"/>
      <c r="AB59" s="230"/>
    </row>
    <row r="60" spans="2:29">
      <c r="B60" s="151" t="s">
        <v>146</v>
      </c>
      <c r="C60" s="235">
        <f>C9</f>
        <v>66666.666666666672</v>
      </c>
      <c r="D60" s="231"/>
      <c r="E60" s="236">
        <f>C55</f>
        <v>35486.423383333335</v>
      </c>
      <c r="F60" s="237"/>
      <c r="G60" s="238">
        <f>E60+C60</f>
        <v>102153.09005</v>
      </c>
      <c r="H60" s="237"/>
      <c r="I60" s="769"/>
      <c r="J60" s="769"/>
      <c r="K60" s="769"/>
      <c r="L60" s="769"/>
      <c r="M60" s="769"/>
      <c r="N60" s="769"/>
      <c r="O60" s="769"/>
      <c r="P60" s="769"/>
      <c r="Q60" s="769"/>
      <c r="R60" s="769"/>
      <c r="S60" s="230"/>
      <c r="V60" s="230"/>
      <c r="X60" s="230"/>
      <c r="Z60" s="230"/>
      <c r="AB60" s="230"/>
    </row>
    <row r="61" spans="2:29">
      <c r="B61" s="627" t="s">
        <v>147</v>
      </c>
      <c r="C61" s="628">
        <f>E9</f>
        <v>78339.366666666669</v>
      </c>
      <c r="D61" s="625"/>
      <c r="E61" s="630">
        <f>E55</f>
        <v>42290.440213333335</v>
      </c>
      <c r="F61" s="631"/>
      <c r="G61" s="630">
        <f t="shared" ref="G61:G73" si="48">E61+C61</f>
        <v>120629.80688</v>
      </c>
      <c r="H61" s="237"/>
      <c r="I61" s="769"/>
      <c r="J61" s="769"/>
      <c r="K61" s="770" t="s">
        <v>148</v>
      </c>
      <c r="L61" s="770"/>
      <c r="M61" s="769"/>
      <c r="N61" s="769"/>
      <c r="O61" s="769"/>
      <c r="P61" s="769"/>
      <c r="Q61" s="769"/>
      <c r="R61" s="769"/>
      <c r="S61" s="230"/>
      <c r="V61" s="230"/>
      <c r="X61" s="230"/>
      <c r="Z61" s="230"/>
      <c r="AB61" s="230"/>
    </row>
    <row r="62" spans="2:29">
      <c r="B62" s="159" t="s">
        <v>149</v>
      </c>
      <c r="C62" s="239">
        <f>G9</f>
        <v>95848.416666666672</v>
      </c>
      <c r="E62" s="240">
        <f>G55</f>
        <v>52496.465458333339</v>
      </c>
      <c r="F62" s="237"/>
      <c r="G62" s="241">
        <f t="shared" si="48"/>
        <v>148344.882125</v>
      </c>
      <c r="H62" s="237"/>
      <c r="I62" s="769"/>
      <c r="J62" s="769"/>
      <c r="K62" s="242" t="s">
        <v>150</v>
      </c>
      <c r="L62" s="243">
        <v>91900</v>
      </c>
      <c r="M62" s="769"/>
      <c r="N62" s="769"/>
      <c r="O62" s="769"/>
      <c r="P62" s="769"/>
      <c r="Q62" s="769"/>
      <c r="R62" s="769"/>
      <c r="S62" s="230"/>
      <c r="V62" s="230"/>
      <c r="X62" s="230"/>
      <c r="Z62" s="230"/>
      <c r="AB62" s="230"/>
    </row>
    <row r="63" spans="2:29">
      <c r="B63" s="627" t="s">
        <v>151</v>
      </c>
      <c r="C63" s="628">
        <f>I9</f>
        <v>113357.46666666666</v>
      </c>
      <c r="D63" s="629"/>
      <c r="E63" s="630">
        <f>I55</f>
        <v>62702.490703333337</v>
      </c>
      <c r="F63" s="631"/>
      <c r="G63" s="630">
        <f t="shared" si="48"/>
        <v>176059.95736999999</v>
      </c>
      <c r="H63" s="237"/>
      <c r="I63" s="769"/>
      <c r="J63" s="769"/>
      <c r="K63" s="244" t="s">
        <v>152</v>
      </c>
      <c r="L63" s="245">
        <v>59900</v>
      </c>
      <c r="M63" s="769"/>
      <c r="N63" s="769"/>
      <c r="O63" s="769"/>
      <c r="P63" s="769"/>
      <c r="Q63" s="769"/>
      <c r="R63" s="769"/>
      <c r="S63" s="230"/>
      <c r="V63" s="230"/>
      <c r="X63" s="230"/>
      <c r="Z63" s="230"/>
      <c r="AB63" s="230"/>
    </row>
    <row r="64" spans="2:29">
      <c r="B64" s="159" t="s">
        <v>153</v>
      </c>
      <c r="C64" s="172">
        <f>M6</f>
        <v>145908.75</v>
      </c>
      <c r="E64" s="240">
        <f>M55</f>
        <v>85050.21037500001</v>
      </c>
      <c r="F64" s="237"/>
      <c r="G64" s="241">
        <f t="shared" si="48"/>
        <v>230958.96037500002</v>
      </c>
      <c r="H64" s="237"/>
      <c r="I64" s="769"/>
      <c r="J64" s="769"/>
      <c r="K64" s="244" t="s">
        <v>154</v>
      </c>
      <c r="L64" s="245">
        <v>49900</v>
      </c>
      <c r="M64" s="769"/>
      <c r="N64" s="769"/>
      <c r="O64" s="769"/>
      <c r="P64" s="769"/>
      <c r="Q64" s="769"/>
      <c r="R64" s="769"/>
      <c r="S64" s="230"/>
      <c r="V64" s="230"/>
      <c r="X64" s="230"/>
      <c r="Z64" s="230"/>
      <c r="AB64" s="230"/>
    </row>
    <row r="65" spans="2:28">
      <c r="B65" s="246" t="s">
        <v>155</v>
      </c>
      <c r="C65" s="247">
        <f>C62</f>
        <v>95848.416666666672</v>
      </c>
      <c r="D65" s="248"/>
      <c r="E65" s="249">
        <f>E62</f>
        <v>52496.465458333339</v>
      </c>
      <c r="F65" s="248"/>
      <c r="G65" s="241">
        <f t="shared" si="48"/>
        <v>148344.882125</v>
      </c>
      <c r="H65" s="237"/>
      <c r="I65" s="772"/>
      <c r="J65" s="773"/>
      <c r="K65" s="250" t="s">
        <v>145</v>
      </c>
      <c r="L65" s="251">
        <f>SUM(L62:L64)</f>
        <v>201700</v>
      </c>
      <c r="M65" s="772"/>
      <c r="N65" s="773"/>
      <c r="O65" s="772"/>
      <c r="P65" s="773"/>
      <c r="Q65" s="772"/>
      <c r="R65" s="773"/>
      <c r="S65" s="230"/>
      <c r="V65" s="230"/>
      <c r="X65" s="230"/>
      <c r="Z65" s="230"/>
      <c r="AB65" s="230"/>
    </row>
    <row r="66" spans="2:28">
      <c r="B66" s="246" t="s">
        <v>156</v>
      </c>
      <c r="C66" s="252">
        <f>C64</f>
        <v>145908.75</v>
      </c>
      <c r="D66" s="253"/>
      <c r="E66" s="254">
        <f>E64</f>
        <v>85050.21037500001</v>
      </c>
      <c r="F66" s="253"/>
      <c r="G66" s="241">
        <f t="shared" si="48"/>
        <v>230958.96037500002</v>
      </c>
      <c r="H66" s="237"/>
      <c r="I66" s="771"/>
      <c r="J66" s="771"/>
      <c r="K66" s="244" t="s">
        <v>157</v>
      </c>
      <c r="L66" s="251">
        <f>L65*3</f>
        <v>605100</v>
      </c>
      <c r="M66" s="771"/>
      <c r="N66" s="771"/>
      <c r="O66" s="771"/>
      <c r="P66" s="771"/>
      <c r="Q66" s="771"/>
      <c r="R66" s="771"/>
      <c r="S66" s="230"/>
      <c r="V66" s="230"/>
      <c r="X66" s="230"/>
      <c r="Z66" s="230"/>
      <c r="AB66" s="230"/>
    </row>
    <row r="67" spans="2:28">
      <c r="B67" s="159" t="s">
        <v>158</v>
      </c>
      <c r="C67" s="255">
        <f>+C64</f>
        <v>145908.75</v>
      </c>
      <c r="D67" s="256"/>
      <c r="E67" s="240">
        <f>M55</f>
        <v>85050.21037500001</v>
      </c>
      <c r="F67" s="237"/>
      <c r="G67" s="241">
        <f t="shared" si="48"/>
        <v>230958.96037500002</v>
      </c>
      <c r="H67" s="237"/>
      <c r="I67" s="769"/>
      <c r="J67" s="769"/>
      <c r="K67" s="257" t="s">
        <v>159</v>
      </c>
      <c r="L67" s="258">
        <f>L66/12</f>
        <v>50425</v>
      </c>
      <c r="M67" s="769"/>
      <c r="N67" s="769"/>
      <c r="O67" s="769"/>
      <c r="P67" s="769"/>
      <c r="Q67" s="769"/>
      <c r="R67" s="769"/>
      <c r="S67" s="230"/>
      <c r="V67" s="230"/>
      <c r="X67" s="230"/>
      <c r="Z67" s="230"/>
      <c r="AB67" s="230"/>
    </row>
    <row r="68" spans="2:28">
      <c r="B68" s="159" t="s">
        <v>160</v>
      </c>
      <c r="C68" s="255">
        <f>+S6</f>
        <v>291817.5</v>
      </c>
      <c r="D68" s="256"/>
      <c r="E68" s="240">
        <f>S55</f>
        <v>170100.42075000002</v>
      </c>
      <c r="F68" s="237"/>
      <c r="G68" s="241">
        <f t="shared" si="48"/>
        <v>461917.92075000005</v>
      </c>
      <c r="H68" s="237"/>
      <c r="I68" s="769"/>
      <c r="J68" s="769"/>
      <c r="M68" s="769"/>
      <c r="N68" s="769"/>
      <c r="O68" s="769"/>
      <c r="P68" s="769"/>
      <c r="Q68" s="769"/>
      <c r="R68" s="769"/>
    </row>
    <row r="69" spans="2:28">
      <c r="B69" s="159" t="s">
        <v>161</v>
      </c>
      <c r="C69" s="255">
        <f>+M6</f>
        <v>145908.75</v>
      </c>
      <c r="D69" s="256"/>
      <c r="E69" s="240">
        <f>M55</f>
        <v>85050.21037500001</v>
      </c>
      <c r="F69" s="237"/>
      <c r="G69" s="241">
        <f t="shared" si="48"/>
        <v>230958.96037500002</v>
      </c>
      <c r="H69" s="237"/>
      <c r="I69" s="769"/>
      <c r="J69" s="769"/>
      <c r="M69" s="769"/>
      <c r="N69" s="769"/>
      <c r="O69" s="769"/>
      <c r="P69" s="769"/>
      <c r="Q69" s="769"/>
      <c r="R69" s="769"/>
    </row>
    <row r="70" spans="2:28">
      <c r="B70" s="159" t="s">
        <v>162</v>
      </c>
      <c r="C70" s="255">
        <f>+G54</f>
        <v>95848.416666666657</v>
      </c>
      <c r="D70" s="256"/>
      <c r="E70" s="240">
        <f>G55</f>
        <v>52496.465458333339</v>
      </c>
      <c r="F70" s="237"/>
      <c r="G70" s="241">
        <f t="shared" si="48"/>
        <v>148344.882125</v>
      </c>
      <c r="H70" s="237"/>
      <c r="I70" s="769"/>
      <c r="J70" s="769"/>
      <c r="M70" s="769"/>
      <c r="N70" s="769"/>
      <c r="O70" s="769"/>
      <c r="P70" s="769"/>
      <c r="Q70" s="769"/>
      <c r="R70" s="769"/>
    </row>
    <row r="71" spans="2:28">
      <c r="B71" s="159" t="s">
        <v>163</v>
      </c>
      <c r="C71" s="255">
        <f>Q54</f>
        <v>204272.25000000003</v>
      </c>
      <c r="D71" s="256"/>
      <c r="E71" s="240">
        <f>Q55</f>
        <v>119070.294525</v>
      </c>
      <c r="F71" s="237"/>
      <c r="G71" s="241">
        <f t="shared" si="48"/>
        <v>323342.54452500003</v>
      </c>
      <c r="H71" s="237"/>
      <c r="I71" s="769"/>
      <c r="J71" s="769"/>
      <c r="M71" s="769"/>
      <c r="N71" s="769"/>
      <c r="O71" s="769"/>
      <c r="P71" s="769"/>
      <c r="Q71" s="769"/>
      <c r="R71" s="769"/>
    </row>
    <row r="72" spans="2:28">
      <c r="B72" s="159" t="s">
        <v>164</v>
      </c>
      <c r="C72" s="255">
        <f>+Q54</f>
        <v>204272.25000000003</v>
      </c>
      <c r="D72" s="256"/>
      <c r="E72" s="240">
        <f>Q55</f>
        <v>119070.294525</v>
      </c>
      <c r="F72" s="237"/>
      <c r="G72" s="241">
        <f t="shared" si="48"/>
        <v>323342.54452500003</v>
      </c>
      <c r="H72" s="237"/>
      <c r="I72" s="769"/>
      <c r="J72" s="769"/>
      <c r="M72" s="769"/>
      <c r="N72" s="769"/>
      <c r="O72" s="769"/>
      <c r="P72" s="769"/>
      <c r="Q72" s="769"/>
      <c r="R72" s="769"/>
    </row>
    <row r="73" spans="2:28">
      <c r="B73" s="176" t="s">
        <v>165</v>
      </c>
      <c r="C73" s="259">
        <f>+Q54</f>
        <v>204272.25000000003</v>
      </c>
      <c r="D73" s="256"/>
      <c r="E73" s="260">
        <f>Q55</f>
        <v>119070.294525</v>
      </c>
      <c r="F73" s="237"/>
      <c r="G73" s="261">
        <f t="shared" si="48"/>
        <v>323342.54452500003</v>
      </c>
      <c r="H73" s="237"/>
      <c r="I73" s="769"/>
      <c r="J73" s="769"/>
      <c r="M73" s="769"/>
      <c r="N73" s="769"/>
      <c r="O73" s="769"/>
      <c r="P73" s="769"/>
      <c r="Q73" s="769"/>
      <c r="R73" s="769"/>
    </row>
    <row r="74" spans="2:28" ht="15" customHeight="1">
      <c r="B74" s="618" t="s">
        <v>166</v>
      </c>
      <c r="C74" s="635">
        <f>+X6</f>
        <v>233454</v>
      </c>
      <c r="D74" s="635"/>
      <c r="E74" s="635">
        <f>X55</f>
        <v>136080.33659999998</v>
      </c>
      <c r="F74" s="636"/>
      <c r="G74" s="636">
        <f t="shared" ref="G74:G79" si="49">SUM(C74+E74)</f>
        <v>369534.33659999998</v>
      </c>
      <c r="H74" s="237"/>
      <c r="I74" s="230"/>
      <c r="J74" s="230"/>
      <c r="M74" s="230"/>
      <c r="N74" s="230"/>
      <c r="O74" s="230"/>
      <c r="P74" s="230"/>
      <c r="Q74" s="230"/>
      <c r="R74" s="230"/>
    </row>
    <row r="75" spans="2:28" ht="15" customHeight="1">
      <c r="B75" s="248" t="s">
        <v>167</v>
      </c>
      <c r="C75" s="617">
        <f>M6</f>
        <v>145908.75</v>
      </c>
      <c r="D75" s="617"/>
      <c r="E75" s="617">
        <f>M55</f>
        <v>85050.21037500001</v>
      </c>
      <c r="F75" s="615"/>
      <c r="G75" s="616">
        <f t="shared" si="49"/>
        <v>230958.96037500002</v>
      </c>
      <c r="H75" s="237"/>
      <c r="I75" s="230"/>
      <c r="J75" s="230"/>
      <c r="M75" s="230"/>
      <c r="N75" s="230"/>
      <c r="O75" s="230"/>
      <c r="P75" s="230"/>
      <c r="Q75" s="230"/>
      <c r="R75" s="230"/>
    </row>
    <row r="76" spans="2:28">
      <c r="B76" s="618" t="s">
        <v>168</v>
      </c>
      <c r="C76" s="619">
        <f>C63</f>
        <v>113357.46666666666</v>
      </c>
      <c r="D76" s="619">
        <f t="shared" ref="D76:G76" si="50">D63</f>
        <v>0</v>
      </c>
      <c r="E76" s="619">
        <f t="shared" si="50"/>
        <v>62702.490703333337</v>
      </c>
      <c r="F76" s="619">
        <f t="shared" si="50"/>
        <v>0</v>
      </c>
      <c r="G76" s="619">
        <f t="shared" si="50"/>
        <v>176059.95736999999</v>
      </c>
      <c r="H76" s="237"/>
      <c r="I76" s="230"/>
      <c r="J76" s="230"/>
      <c r="M76" s="230"/>
      <c r="N76" s="230"/>
      <c r="O76" s="230"/>
      <c r="P76" s="230"/>
      <c r="Q76" s="230"/>
      <c r="R76" s="230"/>
    </row>
    <row r="77" spans="2:28">
      <c r="B77" s="618" t="s">
        <v>169</v>
      </c>
      <c r="C77" s="619">
        <f>C61</f>
        <v>78339.366666666669</v>
      </c>
      <c r="D77" s="619">
        <f t="shared" ref="D77:G77" si="51">D61</f>
        <v>0</v>
      </c>
      <c r="E77" s="619">
        <f t="shared" si="51"/>
        <v>42290.440213333335</v>
      </c>
      <c r="F77" s="619">
        <f t="shared" si="51"/>
        <v>0</v>
      </c>
      <c r="G77" s="619">
        <f t="shared" si="51"/>
        <v>120629.80688</v>
      </c>
      <c r="H77" s="237"/>
      <c r="I77" s="230"/>
      <c r="J77" s="230"/>
      <c r="M77" s="230"/>
      <c r="N77" s="230"/>
      <c r="O77" s="230"/>
      <c r="P77" s="230"/>
      <c r="Q77" s="230"/>
      <c r="R77" s="230"/>
    </row>
    <row r="78" spans="2:28">
      <c r="B78" s="248" t="s">
        <v>15</v>
      </c>
      <c r="C78" s="617">
        <f>I9</f>
        <v>113357.46666666666</v>
      </c>
      <c r="D78" s="617"/>
      <c r="E78" s="617">
        <f>I55</f>
        <v>62702.490703333337</v>
      </c>
      <c r="F78" s="615"/>
      <c r="G78" s="616">
        <f t="shared" si="49"/>
        <v>176059.95736999999</v>
      </c>
      <c r="H78" s="237"/>
      <c r="I78" s="230"/>
      <c r="J78" s="230"/>
      <c r="M78" s="230"/>
      <c r="N78" s="230"/>
      <c r="O78" s="230"/>
      <c r="P78" s="230"/>
      <c r="Q78" s="230"/>
      <c r="R78" s="230"/>
    </row>
    <row r="79" spans="2:28">
      <c r="B79" s="248" t="s">
        <v>170</v>
      </c>
      <c r="C79" s="617">
        <f>C62</f>
        <v>95848.416666666672</v>
      </c>
      <c r="D79" s="617"/>
      <c r="E79" s="617">
        <f>E62</f>
        <v>52496.465458333339</v>
      </c>
      <c r="F79" s="615"/>
      <c r="G79" s="616">
        <f t="shared" si="49"/>
        <v>148344.882125</v>
      </c>
      <c r="H79" s="237"/>
      <c r="I79" s="230"/>
      <c r="J79" s="230"/>
      <c r="M79" s="230"/>
      <c r="N79" s="230"/>
      <c r="O79" s="230"/>
      <c r="P79" s="230"/>
      <c r="Q79" s="230"/>
      <c r="R79" s="230"/>
    </row>
    <row r="80" spans="2:28">
      <c r="C80" s="231"/>
      <c r="E80" s="83"/>
      <c r="F80" s="83"/>
      <c r="G80" s="83"/>
      <c r="H80" s="83"/>
      <c r="I80" s="83"/>
      <c r="J80" s="83"/>
      <c r="M80" s="83"/>
      <c r="N80" s="83"/>
      <c r="O80" s="83"/>
      <c r="P80" s="83"/>
      <c r="Q80" s="83"/>
      <c r="R80" s="83"/>
    </row>
    <row r="81" spans="2:18">
      <c r="B81" s="2" t="s">
        <v>171</v>
      </c>
      <c r="C81" s="231">
        <f>+C76+C77</f>
        <v>191696.83333333331</v>
      </c>
      <c r="E81" s="440">
        <f>E76+E77</f>
        <v>104992.93091666666</v>
      </c>
      <c r="F81" s="83"/>
      <c r="G81" s="83"/>
      <c r="H81" s="83"/>
      <c r="I81" s="83"/>
      <c r="J81" s="83"/>
      <c r="M81" s="83"/>
      <c r="N81" s="83"/>
      <c r="O81" s="83"/>
      <c r="P81" s="83"/>
      <c r="Q81" s="83"/>
      <c r="R81" s="83"/>
    </row>
    <row r="82" spans="2:18">
      <c r="B82" s="151" t="s">
        <v>172</v>
      </c>
      <c r="C82" s="235">
        <f>C60+C62</f>
        <v>162515.08333333334</v>
      </c>
      <c r="D82" s="231"/>
      <c r="E82" s="262">
        <f>E60+E62</f>
        <v>87982.888841666674</v>
      </c>
      <c r="F82" s="231"/>
      <c r="G82" s="238">
        <f t="shared" ref="G82:G93" si="52">E82+C82</f>
        <v>250497.972175</v>
      </c>
      <c r="H82" s="237"/>
      <c r="I82" s="610">
        <f>+E82/C82</f>
        <v>0.54138291066316413</v>
      </c>
      <c r="J82" s="231"/>
      <c r="K82" s="770" t="s">
        <v>173</v>
      </c>
      <c r="L82" s="770"/>
      <c r="M82" s="768"/>
      <c r="N82" s="768"/>
      <c r="O82" s="768"/>
      <c r="P82" s="768"/>
      <c r="Q82" s="768"/>
      <c r="R82" s="768"/>
    </row>
    <row r="83" spans="2:18">
      <c r="B83" s="159" t="s">
        <v>174</v>
      </c>
      <c r="C83" s="239">
        <f>+C62+C61</f>
        <v>174187.78333333333</v>
      </c>
      <c r="D83" s="231"/>
      <c r="E83" s="263">
        <f>+E62+E61</f>
        <v>94786.905671666667</v>
      </c>
      <c r="F83" s="231"/>
      <c r="G83" s="241">
        <f t="shared" si="52"/>
        <v>268974.68900499999</v>
      </c>
      <c r="H83" s="237"/>
      <c r="I83" s="610">
        <f t="shared" ref="I83:I94" si="53">+E83/C83</f>
        <v>0.54416506059026148</v>
      </c>
      <c r="J83" s="231"/>
      <c r="K83" s="242" t="s">
        <v>175</v>
      </c>
      <c r="L83" s="243">
        <v>33900</v>
      </c>
      <c r="M83" s="768"/>
      <c r="N83" s="768"/>
      <c r="O83" s="768"/>
      <c r="P83" s="768"/>
      <c r="Q83" s="768"/>
      <c r="R83" s="768"/>
    </row>
    <row r="84" spans="2:18">
      <c r="B84" s="159" t="s">
        <v>176</v>
      </c>
      <c r="C84" s="239">
        <f>C62+(C60*2)</f>
        <v>229181.75</v>
      </c>
      <c r="D84" s="231"/>
      <c r="E84" s="263">
        <f>E62+(E60*2)</f>
        <v>123469.312225</v>
      </c>
      <c r="F84" s="231"/>
      <c r="G84" s="241">
        <f t="shared" si="52"/>
        <v>352651.062225</v>
      </c>
      <c r="H84" s="237"/>
      <c r="I84" s="610">
        <f t="shared" si="53"/>
        <v>0.53873972174922302</v>
      </c>
      <c r="J84" s="231"/>
      <c r="K84" s="244" t="s">
        <v>177</v>
      </c>
      <c r="L84" s="245">
        <v>10900</v>
      </c>
      <c r="M84" s="768"/>
      <c r="N84" s="768"/>
      <c r="O84" s="768"/>
      <c r="P84" s="768"/>
      <c r="Q84" s="768"/>
      <c r="R84" s="768"/>
    </row>
    <row r="85" spans="2:18">
      <c r="B85" s="159" t="s">
        <v>178</v>
      </c>
      <c r="C85" s="239">
        <f>C62+(C60*3)</f>
        <v>295848.41666666669</v>
      </c>
      <c r="D85" s="231"/>
      <c r="E85" s="263">
        <f>E62+(E60*3)</f>
        <v>158955.73560833334</v>
      </c>
      <c r="F85" s="231"/>
      <c r="G85" s="241">
        <f t="shared" si="52"/>
        <v>454804.152275</v>
      </c>
      <c r="H85" s="237"/>
      <c r="I85" s="610">
        <f t="shared" si="53"/>
        <v>0.53728776851095761</v>
      </c>
      <c r="J85" s="231"/>
      <c r="K85" s="244" t="s">
        <v>179</v>
      </c>
      <c r="L85" s="245">
        <v>13900</v>
      </c>
      <c r="M85" s="768"/>
      <c r="N85" s="768"/>
      <c r="O85" s="768"/>
      <c r="P85" s="768"/>
      <c r="Q85" s="768"/>
      <c r="R85" s="768"/>
    </row>
    <row r="86" spans="2:18">
      <c r="B86" s="159" t="s">
        <v>180</v>
      </c>
      <c r="C86" s="239">
        <f>C60*2</f>
        <v>133333.33333333334</v>
      </c>
      <c r="D86" s="231"/>
      <c r="E86" s="263">
        <f>E60*2</f>
        <v>70972.846766666669</v>
      </c>
      <c r="F86" s="231"/>
      <c r="G86" s="241">
        <f t="shared" si="52"/>
        <v>204306.1801</v>
      </c>
      <c r="H86" s="237"/>
      <c r="I86" s="610">
        <f t="shared" si="53"/>
        <v>0.53229635075000004</v>
      </c>
      <c r="J86" s="231"/>
      <c r="K86" s="244" t="s">
        <v>181</v>
      </c>
      <c r="L86" s="245">
        <v>39900</v>
      </c>
      <c r="M86" s="768"/>
      <c r="N86" s="768"/>
      <c r="O86" s="768"/>
      <c r="P86" s="768"/>
      <c r="Q86" s="768"/>
      <c r="R86" s="768"/>
    </row>
    <row r="87" spans="2:18">
      <c r="B87" s="159" t="s">
        <v>182</v>
      </c>
      <c r="C87" s="239">
        <f>C60*4</f>
        <v>266666.66666666669</v>
      </c>
      <c r="D87" s="231"/>
      <c r="E87" s="263">
        <f>E60*4</f>
        <v>141945.69353333334</v>
      </c>
      <c r="F87" s="231"/>
      <c r="G87" s="241">
        <f t="shared" si="52"/>
        <v>408612.3602</v>
      </c>
      <c r="H87" s="237"/>
      <c r="I87" s="610">
        <f t="shared" si="53"/>
        <v>0.53229635075000004</v>
      </c>
      <c r="J87" s="231"/>
      <c r="K87" s="244" t="s">
        <v>183</v>
      </c>
      <c r="L87" s="245">
        <v>27900</v>
      </c>
      <c r="M87" s="768"/>
      <c r="N87" s="768"/>
      <c r="O87" s="768"/>
      <c r="P87" s="768"/>
      <c r="Q87" s="768"/>
      <c r="R87" s="768"/>
    </row>
    <row r="88" spans="2:18">
      <c r="B88" s="159" t="s">
        <v>184</v>
      </c>
      <c r="C88" s="239">
        <f>C60*2</f>
        <v>133333.33333333334</v>
      </c>
      <c r="D88" s="231"/>
      <c r="E88" s="263">
        <f>E60*2</f>
        <v>70972.846766666669</v>
      </c>
      <c r="F88" s="231"/>
      <c r="G88" s="241">
        <f t="shared" si="52"/>
        <v>204306.1801</v>
      </c>
      <c r="H88" s="237"/>
      <c r="I88" s="610">
        <f t="shared" si="53"/>
        <v>0.53229635075000004</v>
      </c>
      <c r="J88" s="231"/>
      <c r="K88" s="244" t="s">
        <v>185</v>
      </c>
      <c r="L88" s="245">
        <f>4200*5</f>
        <v>21000</v>
      </c>
      <c r="M88" s="768"/>
      <c r="N88" s="768"/>
      <c r="O88" s="768"/>
      <c r="P88" s="768"/>
      <c r="Q88" s="768"/>
      <c r="R88" s="768"/>
    </row>
    <row r="89" spans="2:18">
      <c r="B89" s="159" t="s">
        <v>186</v>
      </c>
      <c r="C89" s="239">
        <f>+C62*2</f>
        <v>191696.83333333334</v>
      </c>
      <c r="D89" s="231"/>
      <c r="E89" s="263">
        <f>+E62*2</f>
        <v>104992.93091666668</v>
      </c>
      <c r="F89" s="231"/>
      <c r="G89" s="241">
        <f t="shared" si="52"/>
        <v>296689.76425000001</v>
      </c>
      <c r="H89" s="237"/>
      <c r="I89" s="610">
        <f t="shared" si="53"/>
        <v>0.54770300109287151</v>
      </c>
      <c r="J89" s="231"/>
      <c r="K89" s="250" t="s">
        <v>145</v>
      </c>
      <c r="L89" s="264">
        <f>SUM(L83:L88)</f>
        <v>147500</v>
      </c>
      <c r="M89" s="768"/>
      <c r="N89" s="768"/>
      <c r="O89" s="768"/>
      <c r="P89" s="768"/>
      <c r="Q89" s="768"/>
      <c r="R89" s="768"/>
    </row>
    <row r="90" spans="2:18">
      <c r="B90" s="159" t="s">
        <v>187</v>
      </c>
      <c r="C90" s="239">
        <f>+C61+C64</f>
        <v>224248.11666666667</v>
      </c>
      <c r="D90" s="231"/>
      <c r="E90" s="263">
        <f>+E61+E64</f>
        <v>127340.65058833334</v>
      </c>
      <c r="F90" s="231"/>
      <c r="G90" s="241">
        <f t="shared" si="52"/>
        <v>351588.76725500001</v>
      </c>
      <c r="H90" s="237"/>
      <c r="I90" s="610">
        <f t="shared" si="53"/>
        <v>0.56785605373720349</v>
      </c>
      <c r="J90" s="231"/>
      <c r="K90" s="244" t="s">
        <v>157</v>
      </c>
      <c r="L90" s="251">
        <f>L89*3</f>
        <v>442500</v>
      </c>
      <c r="M90" s="768"/>
      <c r="N90" s="768"/>
      <c r="O90" s="768"/>
      <c r="P90" s="768"/>
      <c r="Q90" s="768"/>
      <c r="R90" s="768"/>
    </row>
    <row r="91" spans="2:18">
      <c r="B91" s="159" t="s">
        <v>188</v>
      </c>
      <c r="C91" s="239">
        <f>+G9+Q6</f>
        <v>300120.66666666669</v>
      </c>
      <c r="D91" s="231"/>
      <c r="E91" s="263">
        <f>+G55+Q55</f>
        <v>171566.75998333335</v>
      </c>
      <c r="F91" s="231"/>
      <c r="G91" s="241">
        <f t="shared" si="52"/>
        <v>471687.42665000004</v>
      </c>
      <c r="H91" s="237"/>
      <c r="I91" s="610">
        <f t="shared" si="53"/>
        <v>0.5716592658841666</v>
      </c>
      <c r="J91" s="231"/>
      <c r="K91" s="257" t="s">
        <v>159</v>
      </c>
      <c r="L91" s="258">
        <f>L90/12</f>
        <v>36875</v>
      </c>
      <c r="M91" s="768"/>
      <c r="N91" s="768"/>
      <c r="O91" s="768"/>
      <c r="P91" s="768"/>
      <c r="Q91" s="768"/>
      <c r="R91" s="768"/>
    </row>
    <row r="92" spans="2:18">
      <c r="B92" s="159" t="s">
        <v>189</v>
      </c>
      <c r="C92" s="239">
        <f>+Q6</f>
        <v>204272.25</v>
      </c>
      <c r="D92" s="231"/>
      <c r="E92" s="263">
        <f>+Q55</f>
        <v>119070.294525</v>
      </c>
      <c r="F92" s="231"/>
      <c r="G92" s="241">
        <f t="shared" si="52"/>
        <v>323342.54452500003</v>
      </c>
      <c r="H92" s="237"/>
      <c r="I92" s="610">
        <f t="shared" si="53"/>
        <v>0.58289999999999997</v>
      </c>
      <c r="J92" s="231"/>
      <c r="K92" s="768"/>
      <c r="L92" s="768"/>
      <c r="M92" s="768"/>
      <c r="N92" s="768"/>
      <c r="O92" s="768"/>
      <c r="P92" s="768"/>
      <c r="Q92" s="768"/>
      <c r="R92" s="768"/>
    </row>
    <row r="93" spans="2:18">
      <c r="B93" s="176" t="s">
        <v>190</v>
      </c>
      <c r="C93" s="265">
        <f>+C64+C61</f>
        <v>224248.11666666667</v>
      </c>
      <c r="D93" s="231"/>
      <c r="E93" s="266">
        <f>+E64+E61</f>
        <v>127340.65058833334</v>
      </c>
      <c r="F93" s="231"/>
      <c r="G93" s="261">
        <f t="shared" si="52"/>
        <v>351588.76725500001</v>
      </c>
      <c r="H93" s="237"/>
      <c r="I93" s="610">
        <f t="shared" si="53"/>
        <v>0.56785605373720349</v>
      </c>
      <c r="J93" s="231"/>
      <c r="K93" s="768"/>
      <c r="L93" s="768"/>
      <c r="M93" s="768"/>
      <c r="N93" s="768"/>
      <c r="O93" s="768"/>
      <c r="P93" s="768"/>
      <c r="Q93" s="768"/>
      <c r="R93" s="768"/>
    </row>
    <row r="94" spans="2:18">
      <c r="B94" s="625" t="s">
        <v>191</v>
      </c>
      <c r="C94" s="626">
        <f>+C76+C77</f>
        <v>191696.83333333331</v>
      </c>
      <c r="D94" s="626">
        <f t="shared" ref="D94:G94" si="54">+D76+D77</f>
        <v>0</v>
      </c>
      <c r="E94" s="626">
        <f t="shared" si="54"/>
        <v>104992.93091666666</v>
      </c>
      <c r="F94" s="626">
        <f t="shared" si="54"/>
        <v>0</v>
      </c>
      <c r="G94" s="626">
        <f t="shared" si="54"/>
        <v>296689.76425000001</v>
      </c>
      <c r="I94" s="610">
        <f t="shared" si="53"/>
        <v>0.54770300109287151</v>
      </c>
    </row>
  </sheetData>
  <protectedRanges>
    <protectedRange sqref="L83:L88" name="Rango4"/>
    <protectedRange sqref="L62:L64" name="Rango3"/>
    <protectedRange sqref="C7" name="Rango2"/>
    <protectedRange sqref="C5" name="Rango1"/>
    <protectedRange sqref="V1:AC2" name="Rango5"/>
  </protectedRanges>
  <mergeCells count="254">
    <mergeCell ref="V1:W1"/>
    <mergeCell ref="X1:Y1"/>
    <mergeCell ref="Z1:AA1"/>
    <mergeCell ref="AB1:AC1"/>
    <mergeCell ref="B2:B3"/>
    <mergeCell ref="C2:D2"/>
    <mergeCell ref="E2:F2"/>
    <mergeCell ref="G2:H2"/>
    <mergeCell ref="I2:J2"/>
    <mergeCell ref="K2:L2"/>
    <mergeCell ref="B29:T29"/>
    <mergeCell ref="V29:AC29"/>
    <mergeCell ref="B34:T34"/>
    <mergeCell ref="V34:AC34"/>
    <mergeCell ref="B38:T38"/>
    <mergeCell ref="V38:AC38"/>
    <mergeCell ref="Z2:AA2"/>
    <mergeCell ref="AB2:AC2"/>
    <mergeCell ref="B19:T19"/>
    <mergeCell ref="V19:AC19"/>
    <mergeCell ref="B23:T23"/>
    <mergeCell ref="V23:AC23"/>
    <mergeCell ref="M2:N2"/>
    <mergeCell ref="O2:P2"/>
    <mergeCell ref="Q2:R2"/>
    <mergeCell ref="S2:T2"/>
    <mergeCell ref="V2:W2"/>
    <mergeCell ref="X2:Y2"/>
    <mergeCell ref="B44:T44"/>
    <mergeCell ref="V44:AC44"/>
    <mergeCell ref="C45:D45"/>
    <mergeCell ref="E45:F45"/>
    <mergeCell ref="G45:H45"/>
    <mergeCell ref="I45:J45"/>
    <mergeCell ref="K45:L45"/>
    <mergeCell ref="M45:N45"/>
    <mergeCell ref="O45:P45"/>
    <mergeCell ref="Q45:R45"/>
    <mergeCell ref="S45:T45"/>
    <mergeCell ref="V45:W45"/>
    <mergeCell ref="X45:Y45"/>
    <mergeCell ref="Z45:AA45"/>
    <mergeCell ref="AB45:AC45"/>
    <mergeCell ref="C46:D46"/>
    <mergeCell ref="E46:F46"/>
    <mergeCell ref="G46:H46"/>
    <mergeCell ref="I46:J46"/>
    <mergeCell ref="K46:L46"/>
    <mergeCell ref="Z46:AA46"/>
    <mergeCell ref="AB46:AC46"/>
    <mergeCell ref="C47:D47"/>
    <mergeCell ref="E47:F47"/>
    <mergeCell ref="G47:H47"/>
    <mergeCell ref="I47:J47"/>
    <mergeCell ref="K47:L47"/>
    <mergeCell ref="M47:N47"/>
    <mergeCell ref="O47:P47"/>
    <mergeCell ref="Q47:R47"/>
    <mergeCell ref="M46:N46"/>
    <mergeCell ref="O46:P46"/>
    <mergeCell ref="Q46:R46"/>
    <mergeCell ref="S46:T46"/>
    <mergeCell ref="V46:W46"/>
    <mergeCell ref="X46:Y46"/>
    <mergeCell ref="S47:T47"/>
    <mergeCell ref="V47:W47"/>
    <mergeCell ref="X47:Y47"/>
    <mergeCell ref="M48:N48"/>
    <mergeCell ref="O48:P48"/>
    <mergeCell ref="Q48:R48"/>
    <mergeCell ref="Z47:AA47"/>
    <mergeCell ref="AB47:AC47"/>
    <mergeCell ref="C48:D48"/>
    <mergeCell ref="E48:F48"/>
    <mergeCell ref="G48:H48"/>
    <mergeCell ref="I48:J48"/>
    <mergeCell ref="K48:L48"/>
    <mergeCell ref="Z48:AA48"/>
    <mergeCell ref="AB48:AC48"/>
    <mergeCell ref="S48:T48"/>
    <mergeCell ref="V48:W48"/>
    <mergeCell ref="X48:Y48"/>
    <mergeCell ref="S49:T49"/>
    <mergeCell ref="V49:W49"/>
    <mergeCell ref="X49:Y49"/>
    <mergeCell ref="Z49:AA49"/>
    <mergeCell ref="AB49:AC49"/>
    <mergeCell ref="C50:D50"/>
    <mergeCell ref="E50:F50"/>
    <mergeCell ref="G50:H50"/>
    <mergeCell ref="I50:J50"/>
    <mergeCell ref="K50:L50"/>
    <mergeCell ref="Z50:AA50"/>
    <mergeCell ref="AB50:AC50"/>
    <mergeCell ref="C49:D49"/>
    <mergeCell ref="E49:F49"/>
    <mergeCell ref="G49:H49"/>
    <mergeCell ref="I49:J49"/>
    <mergeCell ref="K49:L49"/>
    <mergeCell ref="M49:N49"/>
    <mergeCell ref="O49:P49"/>
    <mergeCell ref="Q49:R49"/>
    <mergeCell ref="B52:T52"/>
    <mergeCell ref="V52:AC52"/>
    <mergeCell ref="C53:D53"/>
    <mergeCell ref="E53:F53"/>
    <mergeCell ref="G53:H53"/>
    <mergeCell ref="I53:J53"/>
    <mergeCell ref="K53:L53"/>
    <mergeCell ref="M53:N53"/>
    <mergeCell ref="M50:N50"/>
    <mergeCell ref="O50:P50"/>
    <mergeCell ref="Q50:R50"/>
    <mergeCell ref="S50:T50"/>
    <mergeCell ref="V50:W50"/>
    <mergeCell ref="X50:Y50"/>
    <mergeCell ref="AB53:AC53"/>
    <mergeCell ref="O53:P53"/>
    <mergeCell ref="Q53:R53"/>
    <mergeCell ref="S53:T53"/>
    <mergeCell ref="V53:W53"/>
    <mergeCell ref="X53:Y53"/>
    <mergeCell ref="Z53:AA53"/>
    <mergeCell ref="V54:W54"/>
    <mergeCell ref="X54:Y54"/>
    <mergeCell ref="Z54:AA54"/>
    <mergeCell ref="AB54:AC54"/>
    <mergeCell ref="C55:D55"/>
    <mergeCell ref="E55:F55"/>
    <mergeCell ref="G55:H55"/>
    <mergeCell ref="I55:J55"/>
    <mergeCell ref="K55:L55"/>
    <mergeCell ref="M55:N55"/>
    <mergeCell ref="AB55:AC55"/>
    <mergeCell ref="S55:T55"/>
    <mergeCell ref="V55:W55"/>
    <mergeCell ref="X55:Y55"/>
    <mergeCell ref="Z55:AA55"/>
    <mergeCell ref="C54:D54"/>
    <mergeCell ref="E54:F54"/>
    <mergeCell ref="G54:H54"/>
    <mergeCell ref="I54:J54"/>
    <mergeCell ref="K54:L54"/>
    <mergeCell ref="M54:N54"/>
    <mergeCell ref="O54:P54"/>
    <mergeCell ref="Q54:R54"/>
    <mergeCell ref="S54:T54"/>
    <mergeCell ref="C58:D58"/>
    <mergeCell ref="E58:F58"/>
    <mergeCell ref="G58:H58"/>
    <mergeCell ref="I58:J58"/>
    <mergeCell ref="K58:L58"/>
    <mergeCell ref="M58:N58"/>
    <mergeCell ref="O58:P58"/>
    <mergeCell ref="Q58:R58"/>
    <mergeCell ref="O55:P55"/>
    <mergeCell ref="Q55:R55"/>
    <mergeCell ref="I62:J62"/>
    <mergeCell ref="M62:N62"/>
    <mergeCell ref="O62:P62"/>
    <mergeCell ref="Q62:R62"/>
    <mergeCell ref="I63:J63"/>
    <mergeCell ref="M63:N63"/>
    <mergeCell ref="O63:P63"/>
    <mergeCell ref="Q63:R63"/>
    <mergeCell ref="I60:J60"/>
    <mergeCell ref="K60:L60"/>
    <mergeCell ref="M60:N60"/>
    <mergeCell ref="O60:P60"/>
    <mergeCell ref="Q60:R60"/>
    <mergeCell ref="I61:J61"/>
    <mergeCell ref="K61:L61"/>
    <mergeCell ref="M61:N61"/>
    <mergeCell ref="O61:P61"/>
    <mergeCell ref="Q61:R61"/>
    <mergeCell ref="I66:J66"/>
    <mergeCell ref="M66:N66"/>
    <mergeCell ref="O66:P66"/>
    <mergeCell ref="Q66:R66"/>
    <mergeCell ref="I67:J67"/>
    <mergeCell ref="M67:N67"/>
    <mergeCell ref="O67:P67"/>
    <mergeCell ref="Q67:R67"/>
    <mergeCell ref="I64:J64"/>
    <mergeCell ref="M64:N64"/>
    <mergeCell ref="O64:P64"/>
    <mergeCell ref="Q64:R64"/>
    <mergeCell ref="I65:J65"/>
    <mergeCell ref="M65:N65"/>
    <mergeCell ref="O65:P65"/>
    <mergeCell ref="Q65:R65"/>
    <mergeCell ref="I70:J70"/>
    <mergeCell ref="M70:N70"/>
    <mergeCell ref="O70:P70"/>
    <mergeCell ref="Q70:R70"/>
    <mergeCell ref="I71:J71"/>
    <mergeCell ref="M71:N71"/>
    <mergeCell ref="O71:P71"/>
    <mergeCell ref="Q71:R71"/>
    <mergeCell ref="I68:J68"/>
    <mergeCell ref="M68:N68"/>
    <mergeCell ref="O68:P68"/>
    <mergeCell ref="Q68:R68"/>
    <mergeCell ref="I69:J69"/>
    <mergeCell ref="M69:N69"/>
    <mergeCell ref="O69:P69"/>
    <mergeCell ref="Q69:R69"/>
    <mergeCell ref="M86:N86"/>
    <mergeCell ref="O86:P86"/>
    <mergeCell ref="Q86:R86"/>
    <mergeCell ref="I72:J72"/>
    <mergeCell ref="M72:N72"/>
    <mergeCell ref="O72:P72"/>
    <mergeCell ref="Q72:R72"/>
    <mergeCell ref="I73:J73"/>
    <mergeCell ref="M73:N73"/>
    <mergeCell ref="O73:P73"/>
    <mergeCell ref="Q73:R73"/>
    <mergeCell ref="M84:N84"/>
    <mergeCell ref="O84:P84"/>
    <mergeCell ref="Q84:R84"/>
    <mergeCell ref="M85:N85"/>
    <mergeCell ref="O85:P85"/>
    <mergeCell ref="Q85:R85"/>
    <mergeCell ref="K82:L82"/>
    <mergeCell ref="M82:N82"/>
    <mergeCell ref="O82:P82"/>
    <mergeCell ref="Q82:R82"/>
    <mergeCell ref="M83:N83"/>
    <mergeCell ref="O83:P83"/>
    <mergeCell ref="Q83:R83"/>
    <mergeCell ref="M88:N88"/>
    <mergeCell ref="O88:P88"/>
    <mergeCell ref="Q88:R88"/>
    <mergeCell ref="M89:N89"/>
    <mergeCell ref="O89:P89"/>
    <mergeCell ref="Q89:R89"/>
    <mergeCell ref="M87:N87"/>
    <mergeCell ref="O87:P87"/>
    <mergeCell ref="Q87:R87"/>
    <mergeCell ref="K92:L92"/>
    <mergeCell ref="M92:N92"/>
    <mergeCell ref="O92:P92"/>
    <mergeCell ref="Q92:R92"/>
    <mergeCell ref="K93:L93"/>
    <mergeCell ref="M93:N93"/>
    <mergeCell ref="O93:P93"/>
    <mergeCell ref="Q93:R93"/>
    <mergeCell ref="M90:N90"/>
    <mergeCell ref="O90:P90"/>
    <mergeCell ref="Q90:R90"/>
    <mergeCell ref="M91:N91"/>
    <mergeCell ref="O91:P91"/>
    <mergeCell ref="Q91:R91"/>
  </mergeCells>
  <conditionalFormatting sqref="E60:E62">
    <cfRule type="iconSet" priority="1">
      <iconSet iconSet="3Arrows">
        <cfvo type="percent" val="0"/>
        <cfvo type="percent" val="33"/>
        <cfvo type="percent" val="67"/>
      </iconSet>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B3:R127"/>
  <sheetViews>
    <sheetView zoomScale="85" zoomScaleNormal="85" workbookViewId="0">
      <selection activeCell="J27" sqref="J27"/>
    </sheetView>
  </sheetViews>
  <sheetFormatPr baseColWidth="10" defaultColWidth="11.42578125" defaultRowHeight="15"/>
  <cols>
    <col min="1" max="1" width="7.28515625" customWidth="1"/>
    <col min="2" max="2" width="60.85546875" customWidth="1"/>
    <col min="3" max="3" width="16.85546875" customWidth="1"/>
    <col min="4" max="4" width="23.140625" customWidth="1"/>
    <col min="5" max="5" width="19" customWidth="1"/>
    <col min="6" max="6" width="12.5703125" customWidth="1"/>
    <col min="7" max="7" width="23.85546875" customWidth="1"/>
    <col min="8" max="8" width="36" customWidth="1"/>
    <col min="11" max="11" width="72.42578125" customWidth="1"/>
  </cols>
  <sheetData>
    <row r="3" spans="2:11" ht="31.5">
      <c r="C3" s="267" t="s">
        <v>192</v>
      </c>
      <c r="D3" s="267" t="s">
        <v>193</v>
      </c>
      <c r="E3" s="267" t="s">
        <v>194</v>
      </c>
      <c r="H3" s="268"/>
    </row>
    <row r="4" spans="2:11" ht="16.5" customHeight="1">
      <c r="B4" t="s">
        <v>146</v>
      </c>
      <c r="C4" s="269">
        <f>+'COSTO PERSONAL'!C60</f>
        <v>66666.666666666672</v>
      </c>
      <c r="D4" s="269">
        <f>+'COSTO PERSONAL'!E60</f>
        <v>35486.423383333335</v>
      </c>
      <c r="E4" s="269">
        <f>+C4+D4</f>
        <v>102153.09005</v>
      </c>
      <c r="F4" s="270">
        <f>+D4/C4</f>
        <v>0.53229635075000004</v>
      </c>
      <c r="G4" s="812" t="s">
        <v>195</v>
      </c>
      <c r="H4" s="271"/>
      <c r="K4" s="284"/>
    </row>
    <row r="5" spans="2:11">
      <c r="B5" t="s">
        <v>147</v>
      </c>
      <c r="C5" s="269">
        <f>+'COSTO PERSONAL'!C61</f>
        <v>78339.366666666669</v>
      </c>
      <c r="D5" s="269">
        <f>+'COSTO PERSONAL'!E61</f>
        <v>42290.440213333335</v>
      </c>
      <c r="E5" s="269">
        <f t="shared" ref="E5:E48" si="0">+C5+D5</f>
        <v>120629.80688</v>
      </c>
      <c r="F5" s="270">
        <f t="shared" ref="F5:F16" si="1">+D5/C5</f>
        <v>0.53983638128297351</v>
      </c>
      <c r="G5" s="812"/>
      <c r="H5" s="271"/>
      <c r="K5" s="284"/>
    </row>
    <row r="6" spans="2:11">
      <c r="B6" t="s">
        <v>149</v>
      </c>
      <c r="C6" s="269">
        <f>+'COSTO PERSONAL'!C62</f>
        <v>95848.416666666672</v>
      </c>
      <c r="D6" s="269">
        <f>+'COSTO PERSONAL'!E62</f>
        <v>52496.465458333339</v>
      </c>
      <c r="E6" s="269">
        <f t="shared" si="0"/>
        <v>148344.882125</v>
      </c>
      <c r="F6" s="270">
        <f t="shared" si="1"/>
        <v>0.54770300109287151</v>
      </c>
      <c r="G6" s="812"/>
      <c r="H6" s="271"/>
      <c r="K6" s="284"/>
    </row>
    <row r="7" spans="2:11">
      <c r="B7" t="s">
        <v>151</v>
      </c>
      <c r="C7" s="269">
        <f>+'COSTO PERSONAL'!C63</f>
        <v>113357.46666666666</v>
      </c>
      <c r="D7" s="269">
        <f>+'COSTO PERSONAL'!E63</f>
        <v>62702.490703333337</v>
      </c>
      <c r="E7" s="269">
        <f t="shared" si="0"/>
        <v>176059.95736999999</v>
      </c>
      <c r="F7" s="270">
        <f t="shared" si="1"/>
        <v>0.5531394847391321</v>
      </c>
      <c r="G7" s="812"/>
      <c r="H7" s="271"/>
      <c r="K7" s="284"/>
    </row>
    <row r="8" spans="2:11">
      <c r="B8" t="s">
        <v>153</v>
      </c>
      <c r="C8" s="269">
        <f>+'COSTO PERSONAL'!C64</f>
        <v>145908.75</v>
      </c>
      <c r="D8" s="269">
        <f>+'COSTO PERSONAL'!E64</f>
        <v>85050.21037500001</v>
      </c>
      <c r="E8" s="269">
        <f t="shared" si="0"/>
        <v>230958.96037500002</v>
      </c>
      <c r="F8" s="270">
        <f t="shared" si="1"/>
        <v>0.58290000000000008</v>
      </c>
      <c r="G8" s="812"/>
      <c r="H8" s="271"/>
      <c r="K8" s="284"/>
    </row>
    <row r="9" spans="2:11">
      <c r="B9" t="s">
        <v>155</v>
      </c>
      <c r="C9" s="269">
        <f>+'COSTO PERSONAL'!C65</f>
        <v>95848.416666666672</v>
      </c>
      <c r="D9" s="269">
        <f>+'COSTO PERSONAL'!E65</f>
        <v>52496.465458333339</v>
      </c>
      <c r="E9" s="269">
        <f t="shared" si="0"/>
        <v>148344.882125</v>
      </c>
      <c r="F9" s="270">
        <f t="shared" si="1"/>
        <v>0.54770300109287151</v>
      </c>
      <c r="G9" s="812"/>
      <c r="H9" s="271"/>
      <c r="K9" s="285"/>
    </row>
    <row r="10" spans="2:11">
      <c r="B10" t="s">
        <v>156</v>
      </c>
      <c r="C10" s="269">
        <f>+'COSTO PERSONAL'!C66</f>
        <v>145908.75</v>
      </c>
      <c r="D10" s="269">
        <f>+'COSTO PERSONAL'!E66</f>
        <v>85050.21037500001</v>
      </c>
      <c r="E10" s="269">
        <f t="shared" si="0"/>
        <v>230958.96037500002</v>
      </c>
      <c r="F10" s="270">
        <f t="shared" si="1"/>
        <v>0.58290000000000008</v>
      </c>
      <c r="G10" s="812"/>
      <c r="H10" s="271"/>
      <c r="K10" s="285"/>
    </row>
    <row r="11" spans="2:11">
      <c r="B11" t="s">
        <v>158</v>
      </c>
      <c r="C11" s="269">
        <f>+'COSTO PERSONAL'!C67</f>
        <v>145908.75</v>
      </c>
      <c r="D11" s="269">
        <f>+'COSTO PERSONAL'!E67</f>
        <v>85050.21037500001</v>
      </c>
      <c r="E11" s="269">
        <f t="shared" si="0"/>
        <v>230958.96037500002</v>
      </c>
      <c r="F11" s="270">
        <f t="shared" si="1"/>
        <v>0.58290000000000008</v>
      </c>
      <c r="G11" s="812"/>
      <c r="H11" s="271"/>
      <c r="K11" s="284"/>
    </row>
    <row r="12" spans="2:11">
      <c r="B12" t="s">
        <v>160</v>
      </c>
      <c r="C12" s="269">
        <f>+'COSTO PERSONAL'!C68</f>
        <v>291817.5</v>
      </c>
      <c r="D12" s="269">
        <f>+'COSTO PERSONAL'!E68</f>
        <v>170100.42075000002</v>
      </c>
      <c r="E12" s="269">
        <f t="shared" si="0"/>
        <v>461917.92075000005</v>
      </c>
      <c r="F12" s="270">
        <f t="shared" si="1"/>
        <v>0.58290000000000008</v>
      </c>
      <c r="G12" s="812"/>
      <c r="H12" s="271"/>
      <c r="K12" s="284"/>
    </row>
    <row r="13" spans="2:11">
      <c r="B13" t="s">
        <v>161</v>
      </c>
      <c r="C13" s="269">
        <f>+'COSTO PERSONAL'!C69</f>
        <v>145908.75</v>
      </c>
      <c r="D13" s="269">
        <f>+'COSTO PERSONAL'!E69</f>
        <v>85050.21037500001</v>
      </c>
      <c r="E13" s="269">
        <f t="shared" si="0"/>
        <v>230958.96037500002</v>
      </c>
      <c r="F13" s="270">
        <f t="shared" si="1"/>
        <v>0.58290000000000008</v>
      </c>
      <c r="G13" s="812"/>
      <c r="H13" s="271"/>
      <c r="K13" s="284"/>
    </row>
    <row r="14" spans="2:11">
      <c r="B14" t="s">
        <v>162</v>
      </c>
      <c r="C14" s="269">
        <f>+'COSTO PERSONAL'!C70</f>
        <v>95848.416666666657</v>
      </c>
      <c r="D14" s="269">
        <f>+'COSTO PERSONAL'!E70</f>
        <v>52496.465458333339</v>
      </c>
      <c r="E14" s="269">
        <f t="shared" si="0"/>
        <v>148344.882125</v>
      </c>
      <c r="F14" s="270">
        <f t="shared" si="1"/>
        <v>0.54770300109287162</v>
      </c>
      <c r="G14" s="812"/>
      <c r="H14" s="271"/>
      <c r="K14" s="284"/>
    </row>
    <row r="15" spans="2:11">
      <c r="B15" t="s">
        <v>163</v>
      </c>
      <c r="C15" s="269">
        <f>+'COSTO PERSONAL'!C71</f>
        <v>204272.25000000003</v>
      </c>
      <c r="D15" s="269">
        <f>+'COSTO PERSONAL'!E71</f>
        <v>119070.294525</v>
      </c>
      <c r="E15" s="269">
        <f t="shared" si="0"/>
        <v>323342.54452500003</v>
      </c>
      <c r="F15" s="270">
        <f t="shared" si="1"/>
        <v>0.58289999999999997</v>
      </c>
      <c r="G15" s="812"/>
      <c r="H15" s="271"/>
      <c r="K15" s="284"/>
    </row>
    <row r="16" spans="2:11">
      <c r="B16" t="s">
        <v>164</v>
      </c>
      <c r="C16" s="269">
        <f>+'COSTO PERSONAL'!C72</f>
        <v>204272.25000000003</v>
      </c>
      <c r="D16" s="269">
        <f>+'COSTO PERSONAL'!E72</f>
        <v>119070.294525</v>
      </c>
      <c r="E16" s="269">
        <f t="shared" si="0"/>
        <v>323342.54452500003</v>
      </c>
      <c r="F16" s="270">
        <f t="shared" si="1"/>
        <v>0.58289999999999997</v>
      </c>
      <c r="G16" s="812"/>
      <c r="H16" s="271"/>
      <c r="K16" s="284"/>
    </row>
    <row r="17" spans="2:11">
      <c r="B17" t="s">
        <v>165</v>
      </c>
      <c r="C17" s="269">
        <f>+'COSTO PERSONAL'!C73</f>
        <v>204272.25000000003</v>
      </c>
      <c r="D17" s="269">
        <f>+'COSTO PERSONAL'!E73</f>
        <v>119070.294525</v>
      </c>
      <c r="E17" s="269">
        <f>+C17+D17</f>
        <v>323342.54452500003</v>
      </c>
      <c r="F17" s="270">
        <f>+D17/C17</f>
        <v>0.58289999999999997</v>
      </c>
      <c r="G17" s="812"/>
      <c r="H17" s="271"/>
      <c r="K17" s="284"/>
    </row>
    <row r="18" spans="2:11">
      <c r="B18" s="633" t="s">
        <v>196</v>
      </c>
      <c r="C18" s="614">
        <f>'COSTO PERSONAL'!C74</f>
        <v>233454</v>
      </c>
      <c r="D18" s="614">
        <f>'COSTO PERSONAL'!E74</f>
        <v>136080.33659999998</v>
      </c>
      <c r="E18" s="614">
        <f>+C18+D18</f>
        <v>369534.33659999998</v>
      </c>
      <c r="F18" s="270">
        <f>D18/C18</f>
        <v>0.58289999999999986</v>
      </c>
      <c r="G18" s="812"/>
      <c r="H18" s="519" t="s">
        <v>197</v>
      </c>
      <c r="K18" s="284"/>
    </row>
    <row r="19" spans="2:11" ht="16.5">
      <c r="B19" s="427" t="s">
        <v>198</v>
      </c>
      <c r="C19" s="269">
        <f>'COSTO PERSONAL'!C75</f>
        <v>145908.75</v>
      </c>
      <c r="D19" s="269">
        <f>'COSTO PERSONAL'!E75</f>
        <v>85050.21037500001</v>
      </c>
      <c r="E19" s="269">
        <f t="shared" ref="E19:E29" si="2">+C19+D19</f>
        <v>230958.96037500002</v>
      </c>
      <c r="F19" s="270">
        <f t="shared" ref="F19:F27" si="3">D19/C19</f>
        <v>0.58290000000000008</v>
      </c>
      <c r="G19" s="812"/>
      <c r="K19" s="284"/>
    </row>
    <row r="20" spans="2:11" ht="16.5">
      <c r="B20" s="613" t="s">
        <v>199</v>
      </c>
      <c r="C20" s="614">
        <f>'COSTO PERSONAL'!C76</f>
        <v>113357.46666666666</v>
      </c>
      <c r="D20" s="614">
        <f>'COSTO PERSONAL'!E76</f>
        <v>62702.490703333337</v>
      </c>
      <c r="E20" s="269">
        <f t="shared" si="2"/>
        <v>176059.95736999999</v>
      </c>
      <c r="F20" s="270">
        <f t="shared" si="3"/>
        <v>0.5531394847391321</v>
      </c>
      <c r="G20" s="812"/>
      <c r="K20" s="284"/>
    </row>
    <row r="21" spans="2:11" ht="16.5">
      <c r="B21" s="613" t="s">
        <v>200</v>
      </c>
      <c r="C21" s="614">
        <f>'COSTO PERSONAL'!C77</f>
        <v>78339.366666666669</v>
      </c>
      <c r="D21" s="614">
        <f>'COSTO PERSONAL'!E77</f>
        <v>42290.440213333335</v>
      </c>
      <c r="E21" s="269">
        <f t="shared" si="2"/>
        <v>120629.80688</v>
      </c>
      <c r="F21" s="270">
        <f t="shared" si="3"/>
        <v>0.53983638128297351</v>
      </c>
      <c r="G21" s="812"/>
      <c r="K21" s="284"/>
    </row>
    <row r="22" spans="2:11" ht="16.5">
      <c r="B22" s="427" t="s">
        <v>15</v>
      </c>
      <c r="C22" s="269">
        <f>'COSTO PERSONAL'!C78</f>
        <v>113357.46666666666</v>
      </c>
      <c r="D22" s="269">
        <f>'COSTO PERSONAL'!E78</f>
        <v>62702.490703333337</v>
      </c>
      <c r="E22" s="269">
        <f t="shared" si="2"/>
        <v>176059.95736999999</v>
      </c>
      <c r="F22" s="270">
        <f t="shared" si="3"/>
        <v>0.5531394847391321</v>
      </c>
      <c r="G22" s="812"/>
    </row>
    <row r="23" spans="2:11" ht="16.5">
      <c r="B23" s="427" t="s">
        <v>201</v>
      </c>
      <c r="C23" s="277">
        <f t="shared" ref="C23:D26" si="4">C19/8</f>
        <v>18238.59375</v>
      </c>
      <c r="D23" s="277">
        <f t="shared" si="4"/>
        <v>10631.276296875001</v>
      </c>
      <c r="E23" s="277">
        <f t="shared" si="2"/>
        <v>28869.870046875003</v>
      </c>
      <c r="F23" s="520">
        <f t="shared" si="3"/>
        <v>0.58290000000000008</v>
      </c>
      <c r="G23" s="812"/>
    </row>
    <row r="24" spans="2:11" ht="16.5">
      <c r="B24" s="427" t="s">
        <v>202</v>
      </c>
      <c r="C24" s="277">
        <f>C20/8</f>
        <v>14169.683333333332</v>
      </c>
      <c r="D24" s="277">
        <f t="shared" si="4"/>
        <v>7837.8113379166671</v>
      </c>
      <c r="E24" s="277">
        <f t="shared" si="2"/>
        <v>22007.494671249999</v>
      </c>
      <c r="F24" s="520">
        <f t="shared" si="3"/>
        <v>0.5531394847391321</v>
      </c>
      <c r="G24" s="812"/>
    </row>
    <row r="25" spans="2:11" ht="16.5">
      <c r="B25" s="427" t="s">
        <v>203</v>
      </c>
      <c r="C25" s="277">
        <f t="shared" si="4"/>
        <v>9792.4208333333336</v>
      </c>
      <c r="D25" s="277">
        <f t="shared" si="4"/>
        <v>5286.3050266666669</v>
      </c>
      <c r="E25" s="277">
        <f t="shared" si="2"/>
        <v>15078.72586</v>
      </c>
      <c r="F25" s="520">
        <f t="shared" si="3"/>
        <v>0.53983638128297351</v>
      </c>
      <c r="G25" s="812"/>
    </row>
    <row r="26" spans="2:11" ht="16.5">
      <c r="B26" s="427" t="s">
        <v>204</v>
      </c>
      <c r="C26" s="277">
        <f t="shared" si="4"/>
        <v>14169.683333333332</v>
      </c>
      <c r="D26" s="277">
        <f t="shared" si="4"/>
        <v>7837.8113379166671</v>
      </c>
      <c r="E26" s="277">
        <f t="shared" si="2"/>
        <v>22007.494671249999</v>
      </c>
      <c r="F26" s="520">
        <f t="shared" si="3"/>
        <v>0.5531394847391321</v>
      </c>
      <c r="G26" s="812"/>
    </row>
    <row r="27" spans="2:11" ht="16.5">
      <c r="B27" s="427" t="s">
        <v>205</v>
      </c>
      <c r="C27" s="277">
        <f>'COSTO PERSONAL'!C79</f>
        <v>95848.416666666672</v>
      </c>
      <c r="D27" s="277">
        <f>'COSTO PERSONAL'!E79</f>
        <v>52496.465458333339</v>
      </c>
      <c r="E27" s="277">
        <f t="shared" si="2"/>
        <v>148344.882125</v>
      </c>
      <c r="F27" s="520">
        <f t="shared" si="3"/>
        <v>0.54770300109287151</v>
      </c>
      <c r="G27" s="812"/>
    </row>
    <row r="28" spans="2:11" ht="16.5">
      <c r="B28" s="427"/>
      <c r="C28" s="277"/>
      <c r="D28" s="277"/>
      <c r="E28" s="277"/>
      <c r="F28" s="520"/>
      <c r="G28" s="812"/>
    </row>
    <row r="29" spans="2:11" ht="16.5">
      <c r="B29" s="427"/>
      <c r="C29" s="269"/>
      <c r="D29" s="269">
        <f>'COSTO PERSONAL'!E80</f>
        <v>0</v>
      </c>
      <c r="E29" s="269">
        <f t="shared" si="2"/>
        <v>0</v>
      </c>
      <c r="F29" s="270"/>
      <c r="G29" s="812"/>
    </row>
    <row r="30" spans="2:11">
      <c r="B30" t="s">
        <v>206</v>
      </c>
      <c r="C30" s="269">
        <f>+'COSTO PERSONAL'!C94</f>
        <v>191696.83333333331</v>
      </c>
      <c r="D30" s="269">
        <f>+'COSTO PERSONAL'!E94</f>
        <v>104992.93091666666</v>
      </c>
      <c r="E30" s="269">
        <f t="shared" si="0"/>
        <v>296689.76425000001</v>
      </c>
      <c r="F30" s="270">
        <f>D30/C30</f>
        <v>0.54770300109287151</v>
      </c>
      <c r="G30" s="812"/>
      <c r="H30" s="271"/>
      <c r="K30" s="284"/>
    </row>
    <row r="31" spans="2:11">
      <c r="B31" t="s">
        <v>207</v>
      </c>
      <c r="C31" s="269">
        <f>+'COSTO PERSONAL'!C83</f>
        <v>174187.78333333333</v>
      </c>
      <c r="D31" s="269">
        <f>+'COSTO PERSONAL'!E83</f>
        <v>94786.905671666667</v>
      </c>
      <c r="E31" s="269">
        <f t="shared" si="0"/>
        <v>268974.68900499999</v>
      </c>
      <c r="F31" s="270">
        <f t="shared" ref="F31:F48" si="5">D31/C31</f>
        <v>0.54416506059026148</v>
      </c>
      <c r="G31" s="812"/>
      <c r="H31" s="271"/>
      <c r="K31" s="284"/>
    </row>
    <row r="32" spans="2:11">
      <c r="B32" t="s">
        <v>208</v>
      </c>
      <c r="C32" s="269">
        <f>+'COSTO PERSONAL'!C84</f>
        <v>229181.75</v>
      </c>
      <c r="D32" s="269">
        <f>+'COSTO PERSONAL'!E84</f>
        <v>123469.312225</v>
      </c>
      <c r="E32" s="269">
        <f t="shared" si="0"/>
        <v>352651.062225</v>
      </c>
      <c r="F32" s="270">
        <f t="shared" si="5"/>
        <v>0.53873972174922302</v>
      </c>
      <c r="G32" s="812"/>
      <c r="H32" s="271"/>
      <c r="K32" s="284"/>
    </row>
    <row r="33" spans="2:18">
      <c r="B33" t="s">
        <v>178</v>
      </c>
      <c r="C33" s="269">
        <f>+'COSTO PERSONAL'!C85</f>
        <v>295848.41666666669</v>
      </c>
      <c r="D33" s="269">
        <f>+'COSTO PERSONAL'!E85</f>
        <v>158955.73560833334</v>
      </c>
      <c r="E33" s="269">
        <f t="shared" si="0"/>
        <v>454804.152275</v>
      </c>
      <c r="F33" s="270">
        <f t="shared" si="5"/>
        <v>0.53728776851095761</v>
      </c>
      <c r="G33" s="812"/>
      <c r="H33" s="271"/>
      <c r="I33" s="272"/>
      <c r="K33" s="284"/>
    </row>
    <row r="34" spans="2:18">
      <c r="B34" t="s">
        <v>180</v>
      </c>
      <c r="C34" s="269">
        <f>+'COSTO PERSONAL'!C86</f>
        <v>133333.33333333334</v>
      </c>
      <c r="D34" s="269">
        <f>+'COSTO PERSONAL'!E86</f>
        <v>70972.846766666669</v>
      </c>
      <c r="E34" s="269">
        <f t="shared" si="0"/>
        <v>204306.1801</v>
      </c>
      <c r="F34" s="270">
        <f t="shared" si="5"/>
        <v>0.53229635075000004</v>
      </c>
      <c r="G34" s="812"/>
      <c r="H34" s="271"/>
      <c r="K34" s="284"/>
    </row>
    <row r="35" spans="2:18">
      <c r="B35" t="s">
        <v>182</v>
      </c>
      <c r="C35" s="269">
        <f>+'COSTO PERSONAL'!C87</f>
        <v>266666.66666666669</v>
      </c>
      <c r="D35" s="269">
        <f>+'COSTO PERSONAL'!E87</f>
        <v>141945.69353333334</v>
      </c>
      <c r="E35" s="269">
        <f t="shared" si="0"/>
        <v>408612.3602</v>
      </c>
      <c r="F35" s="270">
        <f t="shared" si="5"/>
        <v>0.53229635075000004</v>
      </c>
      <c r="G35" s="812"/>
      <c r="H35" s="271"/>
      <c r="K35" s="284"/>
    </row>
    <row r="36" spans="2:18">
      <c r="B36" t="s">
        <v>184</v>
      </c>
      <c r="C36" s="269">
        <f>+'COSTO PERSONAL'!C88</f>
        <v>133333.33333333334</v>
      </c>
      <c r="D36" s="269">
        <f>+'COSTO PERSONAL'!E88</f>
        <v>70972.846766666669</v>
      </c>
      <c r="E36" s="269">
        <f t="shared" si="0"/>
        <v>204306.1801</v>
      </c>
      <c r="F36" s="270">
        <f t="shared" si="5"/>
        <v>0.53229635075000004</v>
      </c>
      <c r="G36" s="812"/>
      <c r="H36" s="271"/>
      <c r="R36" s="269"/>
    </row>
    <row r="37" spans="2:18">
      <c r="B37" t="s">
        <v>186</v>
      </c>
      <c r="C37" s="269">
        <f>+'COSTO PERSONAL'!C89</f>
        <v>191696.83333333334</v>
      </c>
      <c r="D37" s="269">
        <f>+'COSTO PERSONAL'!E89</f>
        <v>104992.93091666668</v>
      </c>
      <c r="E37" s="269">
        <f t="shared" si="0"/>
        <v>296689.76425000001</v>
      </c>
      <c r="F37" s="270">
        <f t="shared" si="5"/>
        <v>0.54770300109287151</v>
      </c>
      <c r="G37" s="812"/>
      <c r="H37" s="271"/>
    </row>
    <row r="38" spans="2:18">
      <c r="B38" t="s">
        <v>187</v>
      </c>
      <c r="C38" s="269">
        <f>+'COSTO PERSONAL'!C90</f>
        <v>224248.11666666667</v>
      </c>
      <c r="D38" s="269">
        <f>+'COSTO PERSONAL'!E90</f>
        <v>127340.65058833334</v>
      </c>
      <c r="E38" s="269">
        <f t="shared" si="0"/>
        <v>351588.76725500001</v>
      </c>
      <c r="F38" s="270">
        <f t="shared" si="5"/>
        <v>0.56785605373720349</v>
      </c>
      <c r="G38" s="812"/>
      <c r="H38" s="271"/>
    </row>
    <row r="39" spans="2:18">
      <c r="B39" s="621" t="str">
        <f>'COSTO PERSONAL'!B94</f>
        <v xml:space="preserve">Oficial HVAC+Ayudante </v>
      </c>
      <c r="C39" s="622">
        <f>+'COSTO PERSONAL'!C94</f>
        <v>191696.83333333331</v>
      </c>
      <c r="D39" s="622">
        <f>+'COSTO PERSONAL'!E94</f>
        <v>104992.93091666666</v>
      </c>
      <c r="E39" s="622">
        <f t="shared" si="0"/>
        <v>296689.76425000001</v>
      </c>
      <c r="F39" s="623">
        <f>D39/C39</f>
        <v>0.54770300109287151</v>
      </c>
      <c r="G39" s="812"/>
      <c r="H39" s="624"/>
    </row>
    <row r="40" spans="2:18">
      <c r="B40" s="621" t="s">
        <v>209</v>
      </c>
      <c r="C40" s="622">
        <f>+C39/7.33</f>
        <v>26152.364711232374</v>
      </c>
      <c r="D40" s="622">
        <f t="shared" ref="D40" si="6">+D39/7.33</f>
        <v>14323.728638017281</v>
      </c>
      <c r="E40" s="622">
        <f>+E39/7.33</f>
        <v>40476.093349249662</v>
      </c>
      <c r="F40" s="623">
        <f>D40/C40</f>
        <v>0.54770300109287162</v>
      </c>
      <c r="G40" s="812"/>
      <c r="H40" s="624"/>
    </row>
    <row r="41" spans="2:18">
      <c r="B41" s="424" t="s">
        <v>210</v>
      </c>
      <c r="C41" s="425">
        <f>+'COSTO PERSONAL'!C94</f>
        <v>191696.83333333331</v>
      </c>
      <c r="D41" s="425">
        <f>+'COSTO PERSONAL'!E94</f>
        <v>104992.93091666666</v>
      </c>
      <c r="E41" s="425">
        <f t="shared" si="0"/>
        <v>296689.76425000001</v>
      </c>
      <c r="F41" s="426">
        <f t="shared" si="5"/>
        <v>0.54770300109287151</v>
      </c>
      <c r="G41" s="812"/>
      <c r="H41" s="271"/>
    </row>
    <row r="42" spans="2:18">
      <c r="B42" s="273" t="s">
        <v>211</v>
      </c>
      <c r="C42" s="425">
        <f>'COSTO PERSONAL'!X6</f>
        <v>233454</v>
      </c>
      <c r="D42" s="425">
        <f>'COSTO PERSONAL'!X55</f>
        <v>136080.33659999998</v>
      </c>
      <c r="E42" s="425">
        <f t="shared" si="0"/>
        <v>369534.33659999998</v>
      </c>
      <c r="F42" s="426">
        <f t="shared" si="5"/>
        <v>0.58289999999999986</v>
      </c>
      <c r="G42" s="812"/>
      <c r="H42" s="271" t="s">
        <v>212</v>
      </c>
    </row>
    <row r="43" spans="2:18">
      <c r="B43" s="424"/>
      <c r="C43" s="425"/>
      <c r="D43" s="425"/>
      <c r="E43" s="425"/>
      <c r="F43" s="426"/>
      <c r="G43" s="812"/>
      <c r="H43" s="271"/>
    </row>
    <row r="44" spans="2:18">
      <c r="B44" s="424"/>
      <c r="C44" s="425"/>
      <c r="D44" s="425"/>
      <c r="E44" s="425"/>
      <c r="F44" s="426"/>
      <c r="G44" s="812"/>
      <c r="H44" s="271"/>
    </row>
    <row r="45" spans="2:18">
      <c r="C45" s="269"/>
      <c r="D45" s="269"/>
      <c r="E45" s="269"/>
      <c r="F45" s="270"/>
      <c r="G45" s="812"/>
      <c r="H45" s="271"/>
    </row>
    <row r="46" spans="2:18" ht="16.5">
      <c r="B46" s="2" t="s">
        <v>188</v>
      </c>
      <c r="C46" s="269">
        <f>+'COSTO PERSONAL'!C91</f>
        <v>300120.66666666669</v>
      </c>
      <c r="D46" s="269">
        <f>+'COSTO PERSONAL'!E91</f>
        <v>171566.75998333335</v>
      </c>
      <c r="E46" s="269">
        <f t="shared" si="0"/>
        <v>471687.42665000004</v>
      </c>
      <c r="F46" s="270">
        <f t="shared" si="5"/>
        <v>0.5716592658841666</v>
      </c>
      <c r="G46" s="812"/>
    </row>
    <row r="47" spans="2:18" ht="16.5">
      <c r="B47" s="2" t="s">
        <v>189</v>
      </c>
      <c r="C47" s="269">
        <f>+'COSTO PERSONAL'!C92</f>
        <v>204272.25</v>
      </c>
      <c r="D47" s="269">
        <f>+'COSTO PERSONAL'!E92</f>
        <v>119070.294525</v>
      </c>
      <c r="E47" s="269">
        <f t="shared" si="0"/>
        <v>323342.54452500003</v>
      </c>
      <c r="F47" s="270">
        <f t="shared" si="5"/>
        <v>0.58289999999999997</v>
      </c>
      <c r="G47" s="812"/>
    </row>
    <row r="48" spans="2:18" ht="16.5">
      <c r="B48" s="2" t="s">
        <v>190</v>
      </c>
      <c r="C48" s="269">
        <f>+'COSTO PERSONAL'!C93</f>
        <v>224248.11666666667</v>
      </c>
      <c r="D48" s="269">
        <f>+'COSTO PERSONAL'!E93</f>
        <v>127340.65058833334</v>
      </c>
      <c r="E48" s="269">
        <f t="shared" si="0"/>
        <v>351588.76725500001</v>
      </c>
      <c r="F48" s="270">
        <f t="shared" si="5"/>
        <v>0.56785605373720349</v>
      </c>
      <c r="G48" s="812"/>
    </row>
    <row r="49" spans="2:9" ht="16.5">
      <c r="B49" s="2" t="s">
        <v>213</v>
      </c>
      <c r="C49" s="269">
        <f>450000+225000</f>
        <v>675000</v>
      </c>
    </row>
    <row r="50" spans="2:9">
      <c r="B50" t="s">
        <v>214</v>
      </c>
      <c r="C50" s="269">
        <v>160161</v>
      </c>
      <c r="D50" s="269">
        <f>+C50*0.94584</f>
        <v>151486.68024000002</v>
      </c>
      <c r="E50" s="269">
        <f>D50+C50</f>
        <v>311647.68024000002</v>
      </c>
    </row>
    <row r="51" spans="2:9">
      <c r="C51" s="269"/>
    </row>
    <row r="52" spans="2:9" ht="21">
      <c r="B52" s="273" t="s">
        <v>215</v>
      </c>
      <c r="C52" s="269"/>
      <c r="G52" s="274"/>
    </row>
    <row r="53" spans="2:9">
      <c r="B53" s="275" t="s">
        <v>216</v>
      </c>
      <c r="C53" s="275">
        <f>286300*1.1312</f>
        <v>323862.56</v>
      </c>
      <c r="D53" t="s">
        <v>217</v>
      </c>
      <c r="E53" s="275">
        <f>C53/30/6</f>
        <v>1799.2364444444445</v>
      </c>
      <c r="F53" s="275"/>
      <c r="G53" s="813" t="s">
        <v>218</v>
      </c>
      <c r="H53" t="s">
        <v>219</v>
      </c>
    </row>
    <row r="54" spans="2:9">
      <c r="B54" s="275" t="s">
        <v>220</v>
      </c>
      <c r="C54" s="275">
        <v>60000</v>
      </c>
      <c r="D54" t="s">
        <v>221</v>
      </c>
      <c r="E54" s="275"/>
      <c r="F54" s="275"/>
      <c r="G54" s="813"/>
    </row>
    <row r="55" spans="2:9">
      <c r="B55" s="275" t="s">
        <v>222</v>
      </c>
      <c r="C55" s="275"/>
      <c r="G55" s="813"/>
    </row>
    <row r="56" spans="2:9">
      <c r="B56" s="275" t="s">
        <v>223</v>
      </c>
      <c r="C56" s="275">
        <f>142900*1.1312</f>
        <v>161648.48000000001</v>
      </c>
      <c r="D56" t="s">
        <v>224</v>
      </c>
      <c r="G56" s="813"/>
      <c r="H56" t="s">
        <v>225</v>
      </c>
    </row>
    <row r="57" spans="2:9">
      <c r="B57" s="275" t="s">
        <v>226</v>
      </c>
      <c r="C57" s="275">
        <f>2990*1.1312</f>
        <v>3382.288</v>
      </c>
      <c r="D57" t="s">
        <v>224</v>
      </c>
      <c r="G57" s="813"/>
      <c r="H57" t="s">
        <v>227</v>
      </c>
    </row>
    <row r="58" spans="2:9">
      <c r="B58" s="275" t="s">
        <v>228</v>
      </c>
      <c r="C58" s="275">
        <f>139400*1.1312</f>
        <v>157689.28</v>
      </c>
      <c r="D58" t="s">
        <v>229</v>
      </c>
      <c r="G58" s="813"/>
      <c r="H58" t="s">
        <v>230</v>
      </c>
    </row>
    <row r="59" spans="2:9">
      <c r="B59" s="275" t="s">
        <v>231</v>
      </c>
      <c r="C59" s="275">
        <f>13450*1.1312</f>
        <v>15214.64</v>
      </c>
      <c r="D59" t="s">
        <v>224</v>
      </c>
      <c r="G59" s="813"/>
      <c r="H59" t="s">
        <v>225</v>
      </c>
      <c r="I59" t="s">
        <v>232</v>
      </c>
    </row>
    <row r="60" spans="2:9">
      <c r="B60" s="275" t="s">
        <v>233</v>
      </c>
      <c r="C60" s="275">
        <f>122000*1.1312</f>
        <v>138006.39999999999</v>
      </c>
      <c r="D60" t="s">
        <v>234</v>
      </c>
      <c r="G60" s="813"/>
      <c r="H60" t="s">
        <v>230</v>
      </c>
    </row>
    <row r="61" spans="2:9">
      <c r="B61" s="275" t="s">
        <v>235</v>
      </c>
      <c r="C61" s="275">
        <f>669057*1.1312</f>
        <v>756837.27839999995</v>
      </c>
      <c r="D61" t="s">
        <v>236</v>
      </c>
      <c r="G61" s="813"/>
    </row>
    <row r="62" spans="2:9">
      <c r="B62" s="275" t="s">
        <v>237</v>
      </c>
      <c r="C62" s="275">
        <f>431714*1.1312</f>
        <v>488354.87679999997</v>
      </c>
      <c r="D62" t="s">
        <v>236</v>
      </c>
      <c r="G62" s="813"/>
      <c r="H62" t="s">
        <v>238</v>
      </c>
    </row>
    <row r="63" spans="2:9">
      <c r="B63" s="275" t="s">
        <v>239</v>
      </c>
      <c r="C63" s="275">
        <f>6204*1.1312</f>
        <v>7017.9647999999997</v>
      </c>
      <c r="D63" t="s">
        <v>229</v>
      </c>
      <c r="E63" s="269">
        <v>254100</v>
      </c>
      <c r="F63" s="269">
        <f>E63/(6*2.35)</f>
        <v>18021.276595744679</v>
      </c>
      <c r="G63" s="813"/>
      <c r="H63" t="s">
        <v>225</v>
      </c>
    </row>
    <row r="64" spans="2:9">
      <c r="B64" s="275" t="s">
        <v>240</v>
      </c>
      <c r="C64" s="275">
        <f>((25175+36111)/2)*1.1312</f>
        <v>34663.361599999997</v>
      </c>
      <c r="D64" t="s">
        <v>241</v>
      </c>
      <c r="E64" s="269"/>
      <c r="F64" t="s">
        <v>242</v>
      </c>
      <c r="G64" s="813"/>
      <c r="H64" t="s">
        <v>243</v>
      </c>
      <c r="I64" t="s">
        <v>244</v>
      </c>
    </row>
    <row r="65" spans="2:12">
      <c r="B65" s="275" t="s">
        <v>245</v>
      </c>
      <c r="C65" s="275">
        <f>436*1.1312</f>
        <v>493.20319999999998</v>
      </c>
      <c r="D65" t="s">
        <v>246</v>
      </c>
      <c r="E65" s="269"/>
      <c r="F65" s="275"/>
      <c r="G65" s="813"/>
      <c r="H65" t="s">
        <v>225</v>
      </c>
    </row>
    <row r="66" spans="2:12">
      <c r="B66" s="275" t="s">
        <v>247</v>
      </c>
      <c r="C66" s="275">
        <f>351000*1.1312</f>
        <v>397051.2</v>
      </c>
      <c r="D66" t="s">
        <v>248</v>
      </c>
      <c r="E66" s="269"/>
      <c r="F66" s="275"/>
      <c r="G66" s="813"/>
      <c r="H66" t="s">
        <v>249</v>
      </c>
      <c r="I66" t="s">
        <v>250</v>
      </c>
      <c r="L66">
        <f>35/0.1</f>
        <v>350</v>
      </c>
    </row>
    <row r="67" spans="2:12">
      <c r="B67" s="275" t="s">
        <v>251</v>
      </c>
      <c r="C67" s="275">
        <f>E67*1.059*1.06*1.06*1.1312</f>
        <v>219721.25801356146</v>
      </c>
      <c r="D67" t="s">
        <v>248</v>
      </c>
      <c r="E67" s="269">
        <f>816197/5</f>
        <v>163239.4</v>
      </c>
      <c r="F67" s="275"/>
      <c r="G67" s="813"/>
      <c r="H67" t="s">
        <v>252</v>
      </c>
      <c r="I67" t="s">
        <v>253</v>
      </c>
    </row>
    <row r="68" spans="2:12">
      <c r="B68" s="275" t="s">
        <v>254</v>
      </c>
      <c r="C68" s="275">
        <f>E68*1.059*1.06*1.06*1.1312</f>
        <v>2657.2856036616963</v>
      </c>
      <c r="D68" t="s">
        <v>224</v>
      </c>
      <c r="E68" s="269">
        <f>59226/30</f>
        <v>1974.2</v>
      </c>
      <c r="F68" s="275"/>
      <c r="G68" s="813"/>
      <c r="H68" t="s">
        <v>255</v>
      </c>
      <c r="I68" t="s">
        <v>256</v>
      </c>
    </row>
    <row r="69" spans="2:12">
      <c r="B69" s="275" t="s">
        <v>257</v>
      </c>
      <c r="C69" s="275">
        <f>(9900/40)*1.1312</f>
        <v>279.97199999999998</v>
      </c>
      <c r="D69" t="s">
        <v>246</v>
      </c>
      <c r="F69" s="275"/>
      <c r="G69" s="813"/>
      <c r="H69" t="s">
        <v>225</v>
      </c>
    </row>
    <row r="70" spans="2:12">
      <c r="B70" s="275" t="s">
        <v>258</v>
      </c>
      <c r="C70" s="275">
        <f>E70/(1.6*20)*1.1312</f>
        <v>74974.486649999992</v>
      </c>
      <c r="D70" t="s">
        <v>229</v>
      </c>
      <c r="E70" s="275">
        <v>2120919</v>
      </c>
      <c r="G70" s="813"/>
      <c r="H70" s="276" t="s">
        <v>259</v>
      </c>
    </row>
    <row r="71" spans="2:12">
      <c r="B71" s="275" t="s">
        <v>260</v>
      </c>
      <c r="C71" s="275">
        <f>E71/25*1.1312</f>
        <v>22649.519872000001</v>
      </c>
      <c r="D71" t="s">
        <v>224</v>
      </c>
      <c r="E71" s="269">
        <v>500564</v>
      </c>
      <c r="F71" s="275"/>
      <c r="G71" s="813"/>
      <c r="H71" t="s">
        <v>259</v>
      </c>
      <c r="I71" t="s">
        <v>261</v>
      </c>
    </row>
    <row r="72" spans="2:12">
      <c r="B72" s="275" t="s">
        <v>262</v>
      </c>
      <c r="C72" s="275">
        <f>2359*1.1312</f>
        <v>2668.5007999999998</v>
      </c>
      <c r="D72" t="s">
        <v>229</v>
      </c>
      <c r="E72" s="277"/>
      <c r="F72" s="275"/>
      <c r="G72" s="813"/>
      <c r="H72" t="s">
        <v>259</v>
      </c>
    </row>
    <row r="73" spans="2:12">
      <c r="B73" s="275" t="s">
        <v>263</v>
      </c>
      <c r="C73" s="275">
        <f>1095900/220*1.1312</f>
        <v>5634.918545454545</v>
      </c>
      <c r="D73" t="s">
        <v>224</v>
      </c>
      <c r="E73" s="277"/>
      <c r="F73" s="275"/>
      <c r="G73" s="813"/>
      <c r="H73" t="s">
        <v>225</v>
      </c>
    </row>
    <row r="74" spans="2:12">
      <c r="B74" s="275" t="s">
        <v>264</v>
      </c>
      <c r="C74" s="275">
        <f>108900*1.1312</f>
        <v>123187.68</v>
      </c>
      <c r="D74" t="s">
        <v>248</v>
      </c>
      <c r="E74" s="277"/>
      <c r="F74" s="275"/>
      <c r="G74" s="813"/>
      <c r="H74" t="s">
        <v>225</v>
      </c>
      <c r="I74" t="s">
        <v>265</v>
      </c>
    </row>
    <row r="75" spans="2:12">
      <c r="B75" s="275" t="s">
        <v>266</v>
      </c>
      <c r="C75" s="275">
        <f>E75/60*1.1312</f>
        <v>10937.289999999999</v>
      </c>
      <c r="D75" t="s">
        <v>36</v>
      </c>
      <c r="E75" s="277">
        <f>580125</f>
        <v>580125</v>
      </c>
      <c r="F75" s="275"/>
      <c r="G75" s="813"/>
      <c r="H75" t="s">
        <v>259</v>
      </c>
    </row>
    <row r="76" spans="2:12">
      <c r="B76" s="275" t="s">
        <v>267</v>
      </c>
      <c r="C76" s="275">
        <f>(86940+94500)/2*1.1312</f>
        <v>102622.46399999999</v>
      </c>
      <c r="D76" t="s">
        <v>229</v>
      </c>
      <c r="E76" s="277"/>
      <c r="F76" s="275"/>
      <c r="G76" s="813"/>
      <c r="H76" t="s">
        <v>268</v>
      </c>
    </row>
    <row r="77" spans="2:12">
      <c r="B77" s="275" t="s">
        <v>269</v>
      </c>
      <c r="C77" s="275">
        <f>105900*1.1312</f>
        <v>119794.08</v>
      </c>
      <c r="D77" t="s">
        <v>248</v>
      </c>
      <c r="E77" s="277"/>
      <c r="F77" s="275"/>
      <c r="G77" s="813"/>
      <c r="H77" t="s">
        <v>225</v>
      </c>
    </row>
    <row r="78" spans="2:12">
      <c r="B78" s="275" t="s">
        <v>270</v>
      </c>
      <c r="C78" s="275">
        <f>69000*1.1312</f>
        <v>78052.800000000003</v>
      </c>
      <c r="D78" t="s">
        <v>246</v>
      </c>
      <c r="E78" s="277"/>
      <c r="F78" s="275"/>
      <c r="G78" s="813"/>
      <c r="H78" t="s">
        <v>225</v>
      </c>
    </row>
    <row r="79" spans="2:12">
      <c r="B79" s="275" t="s">
        <v>271</v>
      </c>
      <c r="C79" s="275">
        <f>9000*1.1312</f>
        <v>10180.799999999999</v>
      </c>
      <c r="D79" t="s">
        <v>36</v>
      </c>
      <c r="E79" s="277"/>
      <c r="F79" s="275"/>
      <c r="G79" s="813"/>
    </row>
    <row r="80" spans="2:12">
      <c r="B80" s="275" t="s">
        <v>272</v>
      </c>
      <c r="C80" s="275">
        <f>E80/600*1.1312</f>
        <v>182.50026666666668</v>
      </c>
      <c r="D80" t="s">
        <v>273</v>
      </c>
      <c r="E80" s="277">
        <v>96800</v>
      </c>
      <c r="F80" s="275"/>
      <c r="G80" s="813"/>
      <c r="H80" t="s">
        <v>274</v>
      </c>
    </row>
    <row r="81" spans="2:8">
      <c r="B81" s="275" t="s">
        <v>275</v>
      </c>
      <c r="C81" s="275">
        <f>1290*1.1312</f>
        <v>1459.248</v>
      </c>
      <c r="D81" t="s">
        <v>36</v>
      </c>
      <c r="E81" s="277"/>
      <c r="F81" s="275"/>
      <c r="G81" s="813"/>
      <c r="H81" t="s">
        <v>225</v>
      </c>
    </row>
    <row r="82" spans="2:8">
      <c r="B82" s="275" t="s">
        <v>276</v>
      </c>
      <c r="C82" s="275">
        <f>10000*1.1312</f>
        <v>11312</v>
      </c>
      <c r="D82" t="s">
        <v>36</v>
      </c>
      <c r="E82" s="277"/>
      <c r="F82" s="275"/>
      <c r="G82" s="813"/>
    </row>
    <row r="83" spans="2:8">
      <c r="B83" s="275" t="s">
        <v>277</v>
      </c>
      <c r="C83" s="275">
        <f>28950*1.1312</f>
        <v>32748.239999999998</v>
      </c>
      <c r="D83" t="s">
        <v>246</v>
      </c>
      <c r="E83" s="277"/>
      <c r="F83" s="275"/>
      <c r="G83" s="813"/>
      <c r="H83" t="s">
        <v>225</v>
      </c>
    </row>
    <row r="84" spans="2:8">
      <c r="B84" s="275" t="s">
        <v>278</v>
      </c>
      <c r="C84" s="275">
        <f>5000*1.1312</f>
        <v>5656</v>
      </c>
      <c r="D84" t="s">
        <v>246</v>
      </c>
      <c r="E84" s="277"/>
      <c r="F84" s="275"/>
      <c r="G84" s="813"/>
    </row>
    <row r="85" spans="2:8">
      <c r="B85" s="275"/>
      <c r="C85" s="275">
        <f>E85/600</f>
        <v>161.33333333333334</v>
      </c>
      <c r="D85" t="s">
        <v>273</v>
      </c>
      <c r="E85" s="277">
        <v>96800</v>
      </c>
      <c r="F85" s="275"/>
      <c r="G85" s="813"/>
      <c r="H85" t="s">
        <v>274</v>
      </c>
    </row>
    <row r="86" spans="2:8">
      <c r="B86" s="275"/>
      <c r="C86" s="275">
        <v>1290</v>
      </c>
      <c r="D86" t="s">
        <v>36</v>
      </c>
      <c r="E86" s="277"/>
      <c r="F86" s="275"/>
      <c r="G86" s="813"/>
      <c r="H86" t="s">
        <v>225</v>
      </c>
    </row>
    <row r="87" spans="2:8">
      <c r="B87" s="275" t="s">
        <v>279</v>
      </c>
      <c r="C87" s="275">
        <v>38505</v>
      </c>
      <c r="D87" t="s">
        <v>36</v>
      </c>
      <c r="E87" s="277">
        <f>+C87/2.98</f>
        <v>12921.140939597315</v>
      </c>
      <c r="F87" s="275" t="s">
        <v>229</v>
      </c>
      <c r="G87" s="813"/>
      <c r="H87" t="s">
        <v>280</v>
      </c>
    </row>
    <row r="88" spans="2:8">
      <c r="B88" s="275"/>
      <c r="C88" s="275"/>
      <c r="E88" s="277"/>
      <c r="F88" s="275"/>
      <c r="G88" s="813"/>
    </row>
    <row r="89" spans="2:8">
      <c r="B89" s="275" t="s">
        <v>281</v>
      </c>
      <c r="C89" s="275"/>
      <c r="E89" s="277">
        <v>212000</v>
      </c>
      <c r="F89" s="275"/>
      <c r="G89" s="813"/>
      <c r="H89" t="s">
        <v>282</v>
      </c>
    </row>
    <row r="90" spans="2:8" ht="49.5" customHeight="1">
      <c r="B90" s="278" t="s">
        <v>283</v>
      </c>
      <c r="C90" s="275">
        <v>1785856.8</v>
      </c>
      <c r="E90" s="277"/>
      <c r="F90" s="275"/>
      <c r="G90" s="813"/>
      <c r="H90" s="2" t="s">
        <v>284</v>
      </c>
    </row>
    <row r="91" spans="2:8">
      <c r="B91" s="275"/>
      <c r="C91" s="275"/>
      <c r="E91" s="277"/>
      <c r="F91" s="275"/>
      <c r="G91" s="813"/>
    </row>
    <row r="92" spans="2:8">
      <c r="B92" s="279" t="s">
        <v>285</v>
      </c>
      <c r="C92" s="275"/>
      <c r="E92" s="277"/>
      <c r="F92" s="275"/>
      <c r="G92" s="813"/>
    </row>
    <row r="93" spans="2:8">
      <c r="B93" s="279" t="s">
        <v>286</v>
      </c>
      <c r="C93" s="275">
        <v>369900</v>
      </c>
      <c r="E93" s="277"/>
      <c r="F93" s="275"/>
      <c r="G93" s="813"/>
    </row>
    <row r="94" spans="2:8">
      <c r="B94" s="278" t="s">
        <v>287</v>
      </c>
      <c r="C94" s="278">
        <v>129000</v>
      </c>
      <c r="D94">
        <v>9</v>
      </c>
      <c r="E94" s="277">
        <f>+C94/D94</f>
        <v>14333.333333333334</v>
      </c>
      <c r="F94" s="275" t="s">
        <v>229</v>
      </c>
      <c r="G94" s="813"/>
    </row>
    <row r="95" spans="2:8">
      <c r="C95" s="275"/>
      <c r="E95" s="277"/>
      <c r="F95" s="275"/>
      <c r="G95" s="813"/>
    </row>
    <row r="96" spans="2:8" ht="74.25" customHeight="1">
      <c r="B96" s="271" t="s">
        <v>288</v>
      </c>
      <c r="C96" s="275">
        <v>483320</v>
      </c>
      <c r="D96" t="s">
        <v>36</v>
      </c>
      <c r="E96" s="277"/>
      <c r="F96" s="275"/>
      <c r="G96" s="813"/>
    </row>
    <row r="97" spans="2:8">
      <c r="B97" s="271"/>
      <c r="C97" s="275"/>
      <c r="E97" s="277"/>
      <c r="F97" s="275"/>
      <c r="G97" s="813"/>
    </row>
    <row r="98" spans="2:8">
      <c r="B98" s="271"/>
      <c r="C98" s="280" t="s">
        <v>289</v>
      </c>
      <c r="E98" s="277"/>
      <c r="F98" s="275"/>
      <c r="G98" s="813"/>
    </row>
    <row r="99" spans="2:8">
      <c r="B99" s="281" t="s">
        <v>290</v>
      </c>
      <c r="C99" s="275">
        <v>3900</v>
      </c>
      <c r="D99" s="275"/>
      <c r="E99" s="277"/>
      <c r="F99" s="275"/>
      <c r="G99" s="813"/>
      <c r="H99" s="276"/>
    </row>
    <row r="100" spans="2:8">
      <c r="B100" s="281" t="s">
        <v>291</v>
      </c>
      <c r="C100" s="277">
        <v>320205</v>
      </c>
      <c r="E100" s="277"/>
      <c r="F100" s="275"/>
      <c r="G100" s="813"/>
      <c r="H100" s="276"/>
    </row>
    <row r="101" spans="2:8">
      <c r="B101" s="281" t="s">
        <v>292</v>
      </c>
      <c r="C101" s="277">
        <v>358249</v>
      </c>
      <c r="E101" s="277"/>
      <c r="F101" s="275"/>
      <c r="G101" s="813"/>
      <c r="H101" s="276"/>
    </row>
    <row r="102" spans="2:8">
      <c r="B102" s="281" t="s">
        <v>293</v>
      </c>
      <c r="C102" s="277">
        <v>270395</v>
      </c>
      <c r="E102" s="277"/>
      <c r="F102" s="275"/>
      <c r="G102" s="813"/>
      <c r="H102" s="276"/>
    </row>
    <row r="103" spans="2:8">
      <c r="B103" t="s">
        <v>294</v>
      </c>
      <c r="C103" s="282">
        <v>4982</v>
      </c>
      <c r="D103" t="s">
        <v>295</v>
      </c>
      <c r="E103" s="277"/>
      <c r="F103" s="275"/>
      <c r="G103" s="813"/>
      <c r="H103" s="276"/>
    </row>
    <row r="104" spans="2:8">
      <c r="B104" t="s">
        <v>296</v>
      </c>
      <c r="C104" s="277">
        <v>16900</v>
      </c>
      <c r="D104" t="s">
        <v>297</v>
      </c>
      <c r="E104" s="277"/>
      <c r="F104" s="275"/>
      <c r="G104" s="813"/>
      <c r="H104" s="276"/>
    </row>
    <row r="105" spans="2:8">
      <c r="B105" s="281" t="s">
        <v>298</v>
      </c>
      <c r="C105" s="277">
        <v>42100</v>
      </c>
      <c r="D105" t="s">
        <v>229</v>
      </c>
      <c r="E105" s="277"/>
      <c r="F105" s="275"/>
      <c r="G105" s="813"/>
      <c r="H105" s="276"/>
    </row>
    <row r="106" spans="2:8">
      <c r="B106" s="281" t="s">
        <v>299</v>
      </c>
      <c r="C106" s="277">
        <v>287376</v>
      </c>
      <c r="D106" t="s">
        <v>236</v>
      </c>
      <c r="E106" s="277"/>
      <c r="F106" s="275"/>
      <c r="G106" s="813"/>
      <c r="H106" s="276"/>
    </row>
    <row r="107" spans="2:8">
      <c r="B107" s="281" t="s">
        <v>300</v>
      </c>
      <c r="C107" s="277">
        <v>1596</v>
      </c>
      <c r="D107" t="s">
        <v>224</v>
      </c>
      <c r="E107" s="277"/>
      <c r="F107" s="275"/>
      <c r="G107" s="813"/>
      <c r="H107" s="276"/>
    </row>
    <row r="108" spans="2:8">
      <c r="B108" s="281" t="s">
        <v>301</v>
      </c>
      <c r="C108" s="277">
        <v>5840</v>
      </c>
      <c r="D108" t="s">
        <v>224</v>
      </c>
      <c r="E108" s="277"/>
      <c r="F108" s="275"/>
      <c r="G108" s="813"/>
      <c r="H108" s="276"/>
    </row>
    <row r="109" spans="2:8">
      <c r="B109" s="281" t="s">
        <v>302</v>
      </c>
      <c r="C109" s="277">
        <v>1650</v>
      </c>
      <c r="D109" t="s">
        <v>224</v>
      </c>
      <c r="E109" s="277"/>
      <c r="F109" s="275"/>
      <c r="G109" s="813"/>
      <c r="H109" s="276"/>
    </row>
    <row r="110" spans="2:8">
      <c r="B110" s="281" t="s">
        <v>303</v>
      </c>
      <c r="C110" s="277">
        <v>28500</v>
      </c>
      <c r="D110" t="s">
        <v>229</v>
      </c>
      <c r="E110" s="277"/>
      <c r="F110" s="275"/>
      <c r="G110" s="813"/>
      <c r="H110" s="276"/>
    </row>
    <row r="111" spans="2:8">
      <c r="B111" s="281" t="s">
        <v>304</v>
      </c>
      <c r="C111" s="277">
        <v>15900</v>
      </c>
      <c r="D111" t="s">
        <v>224</v>
      </c>
      <c r="E111" s="277"/>
      <c r="F111" s="275"/>
      <c r="G111" s="813"/>
      <c r="H111" s="276"/>
    </row>
    <row r="112" spans="2:8" ht="30">
      <c r="B112" s="281" t="s">
        <v>305</v>
      </c>
      <c r="C112" s="277">
        <v>5345000</v>
      </c>
      <c r="D112" t="s">
        <v>36</v>
      </c>
      <c r="E112" s="283" t="s">
        <v>306</v>
      </c>
      <c r="F112" s="275"/>
      <c r="G112" s="813"/>
      <c r="H112" s="276"/>
    </row>
    <row r="113" spans="2:8" ht="30">
      <c r="B113" s="281" t="s">
        <v>307</v>
      </c>
      <c r="C113" s="277">
        <v>2525512</v>
      </c>
      <c r="D113" t="s">
        <v>36</v>
      </c>
      <c r="E113" s="283" t="s">
        <v>306</v>
      </c>
      <c r="F113" s="275"/>
      <c r="G113" s="813"/>
      <c r="H113" s="276"/>
    </row>
    <row r="114" spans="2:8" ht="30">
      <c r="B114" s="281" t="s">
        <v>308</v>
      </c>
      <c r="C114" s="277">
        <f>998000*1.19</f>
        <v>1187620</v>
      </c>
      <c r="D114" t="s">
        <v>36</v>
      </c>
      <c r="E114" s="283" t="s">
        <v>309</v>
      </c>
      <c r="F114" s="275"/>
      <c r="G114" s="813"/>
      <c r="H114" s="276"/>
    </row>
    <row r="115" spans="2:8">
      <c r="B115" s="281"/>
      <c r="C115" s="277"/>
      <c r="E115" s="277"/>
      <c r="F115" s="275"/>
      <c r="G115" s="813"/>
      <c r="H115" s="276"/>
    </row>
    <row r="116" spans="2:8">
      <c r="B116" s="281"/>
      <c r="C116" s="277"/>
      <c r="E116" s="277"/>
      <c r="F116" s="275"/>
      <c r="G116" s="813"/>
      <c r="H116" s="276"/>
    </row>
    <row r="117" spans="2:8">
      <c r="B117" s="281"/>
      <c r="C117" s="277"/>
      <c r="E117" s="277"/>
      <c r="F117" s="275"/>
      <c r="G117" s="813"/>
      <c r="H117" s="276"/>
    </row>
    <row r="118" spans="2:8">
      <c r="B118" s="273" t="s">
        <v>310</v>
      </c>
      <c r="C118" s="269"/>
      <c r="G118" s="813"/>
    </row>
    <row r="119" spans="2:8">
      <c r="B119" t="s">
        <v>311</v>
      </c>
      <c r="C119" s="269">
        <f>8750*1.1</f>
        <v>9625</v>
      </c>
      <c r="D119" t="s">
        <v>312</v>
      </c>
      <c r="G119" s="813"/>
      <c r="H119" t="s">
        <v>225</v>
      </c>
    </row>
    <row r="120" spans="2:8">
      <c r="B120" t="s">
        <v>313</v>
      </c>
      <c r="C120" s="269">
        <f>(39900/8)*1.1</f>
        <v>5486.25</v>
      </c>
      <c r="D120" t="s">
        <v>312</v>
      </c>
      <c r="G120" s="813"/>
      <c r="H120" t="s">
        <v>225</v>
      </c>
    </row>
    <row r="121" spans="2:8">
      <c r="B121" t="s">
        <v>314</v>
      </c>
      <c r="C121" s="269">
        <f>(17000/8)*1.1</f>
        <v>2337.5</v>
      </c>
      <c r="D121" t="s">
        <v>312</v>
      </c>
      <c r="G121" s="813"/>
      <c r="H121" t="s">
        <v>225</v>
      </c>
    </row>
    <row r="122" spans="2:8">
      <c r="B122" t="s">
        <v>315</v>
      </c>
      <c r="C122" s="269">
        <f>(56900/8)*1.1</f>
        <v>7823.7500000000009</v>
      </c>
      <c r="D122" t="s">
        <v>312</v>
      </c>
      <c r="G122" s="813"/>
      <c r="H122" t="s">
        <v>225</v>
      </c>
    </row>
    <row r="123" spans="2:8">
      <c r="B123" t="s">
        <v>316</v>
      </c>
      <c r="C123" s="269">
        <f>(50900/8)*1.1</f>
        <v>6998.7500000000009</v>
      </c>
      <c r="D123" t="s">
        <v>312</v>
      </c>
      <c r="G123" s="813"/>
      <c r="H123" t="s">
        <v>225</v>
      </c>
    </row>
    <row r="124" spans="2:8">
      <c r="B124" t="s">
        <v>317</v>
      </c>
      <c r="C124" s="269">
        <f>AVERAGE(C119:C120,C122,C123)</f>
        <v>7483.4375</v>
      </c>
      <c r="D124" t="s">
        <v>312</v>
      </c>
      <c r="G124" s="813"/>
    </row>
    <row r="125" spans="2:8">
      <c r="B125" t="s">
        <v>318</v>
      </c>
      <c r="C125" s="269">
        <f>(17000/8)*1.1</f>
        <v>2337.5</v>
      </c>
      <c r="D125" t="s">
        <v>312</v>
      </c>
      <c r="G125" s="813"/>
      <c r="H125" t="s">
        <v>225</v>
      </c>
    </row>
    <row r="126" spans="2:8">
      <c r="B126" t="s">
        <v>319</v>
      </c>
      <c r="C126" s="282">
        <f>+andamios!G45</f>
        <v>15695</v>
      </c>
      <c r="D126" t="s">
        <v>320</v>
      </c>
    </row>
    <row r="127" spans="2:8">
      <c r="B127" s="281" t="s">
        <v>321</v>
      </c>
      <c r="C127" s="277">
        <v>101184</v>
      </c>
      <c r="D127" t="s">
        <v>320</v>
      </c>
    </row>
  </sheetData>
  <mergeCells count="2">
    <mergeCell ref="G4:G48"/>
    <mergeCell ref="G53:G125"/>
  </mergeCells>
  <hyperlinks>
    <hyperlink ref="H70" r:id="rId1" xr:uid="{00000000-0004-0000-05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T67"/>
  <sheetViews>
    <sheetView view="pageBreakPreview" topLeftCell="A52" zoomScaleNormal="100" zoomScaleSheetLayoutView="100" workbookViewId="0">
      <selection activeCell="G79" sqref="G79"/>
    </sheetView>
  </sheetViews>
  <sheetFormatPr baseColWidth="10" defaultColWidth="11.42578125" defaultRowHeight="15"/>
  <cols>
    <col min="1" max="1" width="1.42578125" style="586" customWidth="1"/>
    <col min="2" max="2" width="8.140625" style="596" customWidth="1"/>
    <col min="3" max="3" width="17.7109375" style="588" customWidth="1"/>
    <col min="4" max="4" width="20.85546875" style="588" customWidth="1"/>
    <col min="5" max="5" width="23.28515625" style="588" customWidth="1"/>
    <col min="6" max="6" width="7.5703125" style="588" customWidth="1"/>
    <col min="7" max="7" width="22.28515625" style="589" customWidth="1"/>
    <col min="8" max="8" width="10.28515625" style="590" customWidth="1"/>
    <col min="9" max="9" width="17.140625" style="591" customWidth="1"/>
    <col min="10" max="10" width="16.28515625" style="591" bestFit="1" customWidth="1"/>
    <col min="11" max="11" width="17.7109375" style="591" customWidth="1"/>
    <col min="12" max="12" width="23.85546875" style="599" customWidth="1"/>
    <col min="13" max="14" width="11.42578125" style="586"/>
    <col min="15" max="15" width="14.7109375" style="586" bestFit="1" customWidth="1"/>
    <col min="16" max="16" width="16.42578125" style="586" bestFit="1" customWidth="1"/>
    <col min="17" max="209" width="11.42578125" style="586"/>
    <col min="210" max="210" width="17.5703125" style="586" customWidth="1"/>
    <col min="211" max="211" width="13.5703125" style="586" customWidth="1"/>
    <col min="212" max="212" width="23.28515625" style="586" customWidth="1"/>
    <col min="213" max="213" width="21.28515625" style="586" customWidth="1"/>
    <col min="214" max="214" width="5.7109375" style="586" customWidth="1"/>
    <col min="215" max="215" width="20.7109375" style="586" customWidth="1"/>
    <col min="216" max="216" width="9" style="586" customWidth="1"/>
    <col min="217" max="217" width="16.7109375" style="586" bestFit="1" customWidth="1"/>
    <col min="218" max="218" width="20" style="586" customWidth="1"/>
    <col min="219" max="219" width="21.5703125" style="586" customWidth="1"/>
    <col min="220" max="220" width="20.5703125" style="586" customWidth="1"/>
    <col min="221" max="221" width="22.28515625" style="586" customWidth="1"/>
    <col min="222" max="229" width="0" style="586" hidden="1" customWidth="1"/>
    <col min="230" max="231" width="20" style="586" customWidth="1"/>
    <col min="232" max="234" width="21" style="586" customWidth="1"/>
    <col min="235" max="235" width="30.28515625" style="586" customWidth="1"/>
    <col min="236" max="236" width="22" style="586" customWidth="1"/>
    <col min="237" max="465" width="11.42578125" style="586"/>
    <col min="466" max="466" width="17.5703125" style="586" customWidth="1"/>
    <col min="467" max="467" width="13.5703125" style="586" customWidth="1"/>
    <col min="468" max="468" width="23.28515625" style="586" customWidth="1"/>
    <col min="469" max="469" width="21.28515625" style="586" customWidth="1"/>
    <col min="470" max="470" width="5.7109375" style="586" customWidth="1"/>
    <col min="471" max="471" width="20.7109375" style="586" customWidth="1"/>
    <col min="472" max="472" width="9" style="586" customWidth="1"/>
    <col min="473" max="473" width="16.7109375" style="586" bestFit="1" customWidth="1"/>
    <col min="474" max="474" width="20" style="586" customWidth="1"/>
    <col min="475" max="475" width="21.5703125" style="586" customWidth="1"/>
    <col min="476" max="476" width="20.5703125" style="586" customWidth="1"/>
    <col min="477" max="477" width="22.28515625" style="586" customWidth="1"/>
    <col min="478" max="485" width="0" style="586" hidden="1" customWidth="1"/>
    <col min="486" max="487" width="20" style="586" customWidth="1"/>
    <col min="488" max="490" width="21" style="586" customWidth="1"/>
    <col min="491" max="491" width="30.28515625" style="586" customWidth="1"/>
    <col min="492" max="492" width="22" style="586" customWidth="1"/>
    <col min="493" max="721" width="11.42578125" style="586"/>
    <col min="722" max="722" width="17.5703125" style="586" customWidth="1"/>
    <col min="723" max="723" width="13.5703125" style="586" customWidth="1"/>
    <col min="724" max="724" width="23.28515625" style="586" customWidth="1"/>
    <col min="725" max="725" width="21.28515625" style="586" customWidth="1"/>
    <col min="726" max="726" width="5.7109375" style="586" customWidth="1"/>
    <col min="727" max="727" width="20.7109375" style="586" customWidth="1"/>
    <col min="728" max="728" width="9" style="586" customWidth="1"/>
    <col min="729" max="729" width="16.7109375" style="586" bestFit="1" customWidth="1"/>
    <col min="730" max="730" width="20" style="586" customWidth="1"/>
    <col min="731" max="731" width="21.5703125" style="586" customWidth="1"/>
    <col min="732" max="732" width="20.5703125" style="586" customWidth="1"/>
    <col min="733" max="733" width="22.28515625" style="586" customWidth="1"/>
    <col min="734" max="741" width="0" style="586" hidden="1" customWidth="1"/>
    <col min="742" max="743" width="20" style="586" customWidth="1"/>
    <col min="744" max="746" width="21" style="586" customWidth="1"/>
    <col min="747" max="747" width="30.28515625" style="586" customWidth="1"/>
    <col min="748" max="748" width="22" style="586" customWidth="1"/>
    <col min="749" max="977" width="11.42578125" style="586"/>
    <col min="978" max="978" width="17.5703125" style="586" customWidth="1"/>
    <col min="979" max="979" width="13.5703125" style="586" customWidth="1"/>
    <col min="980" max="980" width="23.28515625" style="586" customWidth="1"/>
    <col min="981" max="981" width="21.28515625" style="586" customWidth="1"/>
    <col min="982" max="982" width="5.7109375" style="586" customWidth="1"/>
    <col min="983" max="983" width="20.7109375" style="586" customWidth="1"/>
    <col min="984" max="984" width="9" style="586" customWidth="1"/>
    <col min="985" max="985" width="16.7109375" style="586" bestFit="1" customWidth="1"/>
    <col min="986" max="986" width="20" style="586" customWidth="1"/>
    <col min="987" max="987" width="21.5703125" style="586" customWidth="1"/>
    <col min="988" max="988" width="20.5703125" style="586" customWidth="1"/>
    <col min="989" max="989" width="22.28515625" style="586" customWidth="1"/>
    <col min="990" max="997" width="0" style="586" hidden="1" customWidth="1"/>
    <col min="998" max="999" width="20" style="586" customWidth="1"/>
    <col min="1000" max="1002" width="21" style="586" customWidth="1"/>
    <col min="1003" max="1003" width="30.28515625" style="586" customWidth="1"/>
    <col min="1004" max="1004" width="22" style="586" customWidth="1"/>
    <col min="1005" max="1233" width="11.42578125" style="586"/>
    <col min="1234" max="1234" width="17.5703125" style="586" customWidth="1"/>
    <col min="1235" max="1235" width="13.5703125" style="586" customWidth="1"/>
    <col min="1236" max="1236" width="23.28515625" style="586" customWidth="1"/>
    <col min="1237" max="1237" width="21.28515625" style="586" customWidth="1"/>
    <col min="1238" max="1238" width="5.7109375" style="586" customWidth="1"/>
    <col min="1239" max="1239" width="20.7109375" style="586" customWidth="1"/>
    <col min="1240" max="1240" width="9" style="586" customWidth="1"/>
    <col min="1241" max="1241" width="16.7109375" style="586" bestFit="1" customWidth="1"/>
    <col min="1242" max="1242" width="20" style="586" customWidth="1"/>
    <col min="1243" max="1243" width="21.5703125" style="586" customWidth="1"/>
    <col min="1244" max="1244" width="20.5703125" style="586" customWidth="1"/>
    <col min="1245" max="1245" width="22.28515625" style="586" customWidth="1"/>
    <col min="1246" max="1253" width="0" style="586" hidden="1" customWidth="1"/>
    <col min="1254" max="1255" width="20" style="586" customWidth="1"/>
    <col min="1256" max="1258" width="21" style="586" customWidth="1"/>
    <col min="1259" max="1259" width="30.28515625" style="586" customWidth="1"/>
    <col min="1260" max="1260" width="22" style="586" customWidth="1"/>
    <col min="1261" max="1489" width="11.42578125" style="586"/>
    <col min="1490" max="1490" width="17.5703125" style="586" customWidth="1"/>
    <col min="1491" max="1491" width="13.5703125" style="586" customWidth="1"/>
    <col min="1492" max="1492" width="23.28515625" style="586" customWidth="1"/>
    <col min="1493" max="1493" width="21.28515625" style="586" customWidth="1"/>
    <col min="1494" max="1494" width="5.7109375" style="586" customWidth="1"/>
    <col min="1495" max="1495" width="20.7109375" style="586" customWidth="1"/>
    <col min="1496" max="1496" width="9" style="586" customWidth="1"/>
    <col min="1497" max="1497" width="16.7109375" style="586" bestFit="1" customWidth="1"/>
    <col min="1498" max="1498" width="20" style="586" customWidth="1"/>
    <col min="1499" max="1499" width="21.5703125" style="586" customWidth="1"/>
    <col min="1500" max="1500" width="20.5703125" style="586" customWidth="1"/>
    <col min="1501" max="1501" width="22.28515625" style="586" customWidth="1"/>
    <col min="1502" max="1509" width="0" style="586" hidden="1" customWidth="1"/>
    <col min="1510" max="1511" width="20" style="586" customWidth="1"/>
    <col min="1512" max="1514" width="21" style="586" customWidth="1"/>
    <col min="1515" max="1515" width="30.28515625" style="586" customWidth="1"/>
    <col min="1516" max="1516" width="22" style="586" customWidth="1"/>
    <col min="1517" max="1745" width="11.42578125" style="586"/>
    <col min="1746" max="1746" width="17.5703125" style="586" customWidth="1"/>
    <col min="1747" max="1747" width="13.5703125" style="586" customWidth="1"/>
    <col min="1748" max="1748" width="23.28515625" style="586" customWidth="1"/>
    <col min="1749" max="1749" width="21.28515625" style="586" customWidth="1"/>
    <col min="1750" max="1750" width="5.7109375" style="586" customWidth="1"/>
    <col min="1751" max="1751" width="20.7109375" style="586" customWidth="1"/>
    <col min="1752" max="1752" width="9" style="586" customWidth="1"/>
    <col min="1753" max="1753" width="16.7109375" style="586" bestFit="1" customWidth="1"/>
    <col min="1754" max="1754" width="20" style="586" customWidth="1"/>
    <col min="1755" max="1755" width="21.5703125" style="586" customWidth="1"/>
    <col min="1756" max="1756" width="20.5703125" style="586" customWidth="1"/>
    <col min="1757" max="1757" width="22.28515625" style="586" customWidth="1"/>
    <col min="1758" max="1765" width="0" style="586" hidden="1" customWidth="1"/>
    <col min="1766" max="1767" width="20" style="586" customWidth="1"/>
    <col min="1768" max="1770" width="21" style="586" customWidth="1"/>
    <col min="1771" max="1771" width="30.28515625" style="586" customWidth="1"/>
    <col min="1772" max="1772" width="22" style="586" customWidth="1"/>
    <col min="1773" max="2001" width="11.42578125" style="586"/>
    <col min="2002" max="2002" width="17.5703125" style="586" customWidth="1"/>
    <col min="2003" max="2003" width="13.5703125" style="586" customWidth="1"/>
    <col min="2004" max="2004" width="23.28515625" style="586" customWidth="1"/>
    <col min="2005" max="2005" width="21.28515625" style="586" customWidth="1"/>
    <col min="2006" max="2006" width="5.7109375" style="586" customWidth="1"/>
    <col min="2007" max="2007" width="20.7109375" style="586" customWidth="1"/>
    <col min="2008" max="2008" width="9" style="586" customWidth="1"/>
    <col min="2009" max="2009" width="16.7109375" style="586" bestFit="1" customWidth="1"/>
    <col min="2010" max="2010" width="20" style="586" customWidth="1"/>
    <col min="2011" max="2011" width="21.5703125" style="586" customWidth="1"/>
    <col min="2012" max="2012" width="20.5703125" style="586" customWidth="1"/>
    <col min="2013" max="2013" width="22.28515625" style="586" customWidth="1"/>
    <col min="2014" max="2021" width="0" style="586" hidden="1" customWidth="1"/>
    <col min="2022" max="2023" width="20" style="586" customWidth="1"/>
    <col min="2024" max="2026" width="21" style="586" customWidth="1"/>
    <col min="2027" max="2027" width="30.28515625" style="586" customWidth="1"/>
    <col min="2028" max="2028" width="22" style="586" customWidth="1"/>
    <col min="2029" max="2257" width="11.42578125" style="586"/>
    <col min="2258" max="2258" width="17.5703125" style="586" customWidth="1"/>
    <col min="2259" max="2259" width="13.5703125" style="586" customWidth="1"/>
    <col min="2260" max="2260" width="23.28515625" style="586" customWidth="1"/>
    <col min="2261" max="2261" width="21.28515625" style="586" customWidth="1"/>
    <col min="2262" max="2262" width="5.7109375" style="586" customWidth="1"/>
    <col min="2263" max="2263" width="20.7109375" style="586" customWidth="1"/>
    <col min="2264" max="2264" width="9" style="586" customWidth="1"/>
    <col min="2265" max="2265" width="16.7109375" style="586" bestFit="1" customWidth="1"/>
    <col min="2266" max="2266" width="20" style="586" customWidth="1"/>
    <col min="2267" max="2267" width="21.5703125" style="586" customWidth="1"/>
    <col min="2268" max="2268" width="20.5703125" style="586" customWidth="1"/>
    <col min="2269" max="2269" width="22.28515625" style="586" customWidth="1"/>
    <col min="2270" max="2277" width="0" style="586" hidden="1" customWidth="1"/>
    <col min="2278" max="2279" width="20" style="586" customWidth="1"/>
    <col min="2280" max="2282" width="21" style="586" customWidth="1"/>
    <col min="2283" max="2283" width="30.28515625" style="586" customWidth="1"/>
    <col min="2284" max="2284" width="22" style="586" customWidth="1"/>
    <col min="2285" max="2513" width="11.42578125" style="586"/>
    <col min="2514" max="2514" width="17.5703125" style="586" customWidth="1"/>
    <col min="2515" max="2515" width="13.5703125" style="586" customWidth="1"/>
    <col min="2516" max="2516" width="23.28515625" style="586" customWidth="1"/>
    <col min="2517" max="2517" width="21.28515625" style="586" customWidth="1"/>
    <col min="2518" max="2518" width="5.7109375" style="586" customWidth="1"/>
    <col min="2519" max="2519" width="20.7109375" style="586" customWidth="1"/>
    <col min="2520" max="2520" width="9" style="586" customWidth="1"/>
    <col min="2521" max="2521" width="16.7109375" style="586" bestFit="1" customWidth="1"/>
    <col min="2522" max="2522" width="20" style="586" customWidth="1"/>
    <col min="2523" max="2523" width="21.5703125" style="586" customWidth="1"/>
    <col min="2524" max="2524" width="20.5703125" style="586" customWidth="1"/>
    <col min="2525" max="2525" width="22.28515625" style="586" customWidth="1"/>
    <col min="2526" max="2533" width="0" style="586" hidden="1" customWidth="1"/>
    <col min="2534" max="2535" width="20" style="586" customWidth="1"/>
    <col min="2536" max="2538" width="21" style="586" customWidth="1"/>
    <col min="2539" max="2539" width="30.28515625" style="586" customWidth="1"/>
    <col min="2540" max="2540" width="22" style="586" customWidth="1"/>
    <col min="2541" max="2769" width="11.42578125" style="586"/>
    <col min="2770" max="2770" width="17.5703125" style="586" customWidth="1"/>
    <col min="2771" max="2771" width="13.5703125" style="586" customWidth="1"/>
    <col min="2772" max="2772" width="23.28515625" style="586" customWidth="1"/>
    <col min="2773" max="2773" width="21.28515625" style="586" customWidth="1"/>
    <col min="2774" max="2774" width="5.7109375" style="586" customWidth="1"/>
    <col min="2775" max="2775" width="20.7109375" style="586" customWidth="1"/>
    <col min="2776" max="2776" width="9" style="586" customWidth="1"/>
    <col min="2777" max="2777" width="16.7109375" style="586" bestFit="1" customWidth="1"/>
    <col min="2778" max="2778" width="20" style="586" customWidth="1"/>
    <col min="2779" max="2779" width="21.5703125" style="586" customWidth="1"/>
    <col min="2780" max="2780" width="20.5703125" style="586" customWidth="1"/>
    <col min="2781" max="2781" width="22.28515625" style="586" customWidth="1"/>
    <col min="2782" max="2789" width="0" style="586" hidden="1" customWidth="1"/>
    <col min="2790" max="2791" width="20" style="586" customWidth="1"/>
    <col min="2792" max="2794" width="21" style="586" customWidth="1"/>
    <col min="2795" max="2795" width="30.28515625" style="586" customWidth="1"/>
    <col min="2796" max="2796" width="22" style="586" customWidth="1"/>
    <col min="2797" max="3025" width="11.42578125" style="586"/>
    <col min="3026" max="3026" width="17.5703125" style="586" customWidth="1"/>
    <col min="3027" max="3027" width="13.5703125" style="586" customWidth="1"/>
    <col min="3028" max="3028" width="23.28515625" style="586" customWidth="1"/>
    <col min="3029" max="3029" width="21.28515625" style="586" customWidth="1"/>
    <col min="3030" max="3030" width="5.7109375" style="586" customWidth="1"/>
    <col min="3031" max="3031" width="20.7109375" style="586" customWidth="1"/>
    <col min="3032" max="3032" width="9" style="586" customWidth="1"/>
    <col min="3033" max="3033" width="16.7109375" style="586" bestFit="1" customWidth="1"/>
    <col min="3034" max="3034" width="20" style="586" customWidth="1"/>
    <col min="3035" max="3035" width="21.5703125" style="586" customWidth="1"/>
    <col min="3036" max="3036" width="20.5703125" style="586" customWidth="1"/>
    <col min="3037" max="3037" width="22.28515625" style="586" customWidth="1"/>
    <col min="3038" max="3045" width="0" style="586" hidden="1" customWidth="1"/>
    <col min="3046" max="3047" width="20" style="586" customWidth="1"/>
    <col min="3048" max="3050" width="21" style="586" customWidth="1"/>
    <col min="3051" max="3051" width="30.28515625" style="586" customWidth="1"/>
    <col min="3052" max="3052" width="22" style="586" customWidth="1"/>
    <col min="3053" max="3281" width="11.42578125" style="586"/>
    <col min="3282" max="3282" width="17.5703125" style="586" customWidth="1"/>
    <col min="3283" max="3283" width="13.5703125" style="586" customWidth="1"/>
    <col min="3284" max="3284" width="23.28515625" style="586" customWidth="1"/>
    <col min="3285" max="3285" width="21.28515625" style="586" customWidth="1"/>
    <col min="3286" max="3286" width="5.7109375" style="586" customWidth="1"/>
    <col min="3287" max="3287" width="20.7109375" style="586" customWidth="1"/>
    <col min="3288" max="3288" width="9" style="586" customWidth="1"/>
    <col min="3289" max="3289" width="16.7109375" style="586" bestFit="1" customWidth="1"/>
    <col min="3290" max="3290" width="20" style="586" customWidth="1"/>
    <col min="3291" max="3291" width="21.5703125" style="586" customWidth="1"/>
    <col min="3292" max="3292" width="20.5703125" style="586" customWidth="1"/>
    <col min="3293" max="3293" width="22.28515625" style="586" customWidth="1"/>
    <col min="3294" max="3301" width="0" style="586" hidden="1" customWidth="1"/>
    <col min="3302" max="3303" width="20" style="586" customWidth="1"/>
    <col min="3304" max="3306" width="21" style="586" customWidth="1"/>
    <col min="3307" max="3307" width="30.28515625" style="586" customWidth="1"/>
    <col min="3308" max="3308" width="22" style="586" customWidth="1"/>
    <col min="3309" max="3537" width="11.42578125" style="586"/>
    <col min="3538" max="3538" width="17.5703125" style="586" customWidth="1"/>
    <col min="3539" max="3539" width="13.5703125" style="586" customWidth="1"/>
    <col min="3540" max="3540" width="23.28515625" style="586" customWidth="1"/>
    <col min="3541" max="3541" width="21.28515625" style="586" customWidth="1"/>
    <col min="3542" max="3542" width="5.7109375" style="586" customWidth="1"/>
    <col min="3543" max="3543" width="20.7109375" style="586" customWidth="1"/>
    <col min="3544" max="3544" width="9" style="586" customWidth="1"/>
    <col min="3545" max="3545" width="16.7109375" style="586" bestFit="1" customWidth="1"/>
    <col min="3546" max="3546" width="20" style="586" customWidth="1"/>
    <col min="3547" max="3547" width="21.5703125" style="586" customWidth="1"/>
    <col min="3548" max="3548" width="20.5703125" style="586" customWidth="1"/>
    <col min="3549" max="3549" width="22.28515625" style="586" customWidth="1"/>
    <col min="3550" max="3557" width="0" style="586" hidden="1" customWidth="1"/>
    <col min="3558" max="3559" width="20" style="586" customWidth="1"/>
    <col min="3560" max="3562" width="21" style="586" customWidth="1"/>
    <col min="3563" max="3563" width="30.28515625" style="586" customWidth="1"/>
    <col min="3564" max="3564" width="22" style="586" customWidth="1"/>
    <col min="3565" max="3793" width="11.42578125" style="586"/>
    <col min="3794" max="3794" width="17.5703125" style="586" customWidth="1"/>
    <col min="3795" max="3795" width="13.5703125" style="586" customWidth="1"/>
    <col min="3796" max="3796" width="23.28515625" style="586" customWidth="1"/>
    <col min="3797" max="3797" width="21.28515625" style="586" customWidth="1"/>
    <col min="3798" max="3798" width="5.7109375" style="586" customWidth="1"/>
    <col min="3799" max="3799" width="20.7109375" style="586" customWidth="1"/>
    <col min="3800" max="3800" width="9" style="586" customWidth="1"/>
    <col min="3801" max="3801" width="16.7109375" style="586" bestFit="1" customWidth="1"/>
    <col min="3802" max="3802" width="20" style="586" customWidth="1"/>
    <col min="3803" max="3803" width="21.5703125" style="586" customWidth="1"/>
    <col min="3804" max="3804" width="20.5703125" style="586" customWidth="1"/>
    <col min="3805" max="3805" width="22.28515625" style="586" customWidth="1"/>
    <col min="3806" max="3813" width="0" style="586" hidden="1" customWidth="1"/>
    <col min="3814" max="3815" width="20" style="586" customWidth="1"/>
    <col min="3816" max="3818" width="21" style="586" customWidth="1"/>
    <col min="3819" max="3819" width="30.28515625" style="586" customWidth="1"/>
    <col min="3820" max="3820" width="22" style="586" customWidth="1"/>
    <col min="3821" max="4049" width="11.42578125" style="586"/>
    <col min="4050" max="4050" width="17.5703125" style="586" customWidth="1"/>
    <col min="4051" max="4051" width="13.5703125" style="586" customWidth="1"/>
    <col min="4052" max="4052" width="23.28515625" style="586" customWidth="1"/>
    <col min="4053" max="4053" width="21.28515625" style="586" customWidth="1"/>
    <col min="4054" max="4054" width="5.7109375" style="586" customWidth="1"/>
    <col min="4055" max="4055" width="20.7109375" style="586" customWidth="1"/>
    <col min="4056" max="4056" width="9" style="586" customWidth="1"/>
    <col min="4057" max="4057" width="16.7109375" style="586" bestFit="1" customWidth="1"/>
    <col min="4058" max="4058" width="20" style="586" customWidth="1"/>
    <col min="4059" max="4059" width="21.5703125" style="586" customWidth="1"/>
    <col min="4060" max="4060" width="20.5703125" style="586" customWidth="1"/>
    <col min="4061" max="4061" width="22.28515625" style="586" customWidth="1"/>
    <col min="4062" max="4069" width="0" style="586" hidden="1" customWidth="1"/>
    <col min="4070" max="4071" width="20" style="586" customWidth="1"/>
    <col min="4072" max="4074" width="21" style="586" customWidth="1"/>
    <col min="4075" max="4075" width="30.28515625" style="586" customWidth="1"/>
    <col min="4076" max="4076" width="22" style="586" customWidth="1"/>
    <col min="4077" max="4305" width="11.42578125" style="586"/>
    <col min="4306" max="4306" width="17.5703125" style="586" customWidth="1"/>
    <col min="4307" max="4307" width="13.5703125" style="586" customWidth="1"/>
    <col min="4308" max="4308" width="23.28515625" style="586" customWidth="1"/>
    <col min="4309" max="4309" width="21.28515625" style="586" customWidth="1"/>
    <col min="4310" max="4310" width="5.7109375" style="586" customWidth="1"/>
    <col min="4311" max="4311" width="20.7109375" style="586" customWidth="1"/>
    <col min="4312" max="4312" width="9" style="586" customWidth="1"/>
    <col min="4313" max="4313" width="16.7109375" style="586" bestFit="1" customWidth="1"/>
    <col min="4314" max="4314" width="20" style="586" customWidth="1"/>
    <col min="4315" max="4315" width="21.5703125" style="586" customWidth="1"/>
    <col min="4316" max="4316" width="20.5703125" style="586" customWidth="1"/>
    <col min="4317" max="4317" width="22.28515625" style="586" customWidth="1"/>
    <col min="4318" max="4325" width="0" style="586" hidden="1" customWidth="1"/>
    <col min="4326" max="4327" width="20" style="586" customWidth="1"/>
    <col min="4328" max="4330" width="21" style="586" customWidth="1"/>
    <col min="4331" max="4331" width="30.28515625" style="586" customWidth="1"/>
    <col min="4332" max="4332" width="22" style="586" customWidth="1"/>
    <col min="4333" max="4561" width="11.42578125" style="586"/>
    <col min="4562" max="4562" width="17.5703125" style="586" customWidth="1"/>
    <col min="4563" max="4563" width="13.5703125" style="586" customWidth="1"/>
    <col min="4564" max="4564" width="23.28515625" style="586" customWidth="1"/>
    <col min="4565" max="4565" width="21.28515625" style="586" customWidth="1"/>
    <col min="4566" max="4566" width="5.7109375" style="586" customWidth="1"/>
    <col min="4567" max="4567" width="20.7109375" style="586" customWidth="1"/>
    <col min="4568" max="4568" width="9" style="586" customWidth="1"/>
    <col min="4569" max="4569" width="16.7109375" style="586" bestFit="1" customWidth="1"/>
    <col min="4570" max="4570" width="20" style="586" customWidth="1"/>
    <col min="4571" max="4571" width="21.5703125" style="586" customWidth="1"/>
    <col min="4572" max="4572" width="20.5703125" style="586" customWidth="1"/>
    <col min="4573" max="4573" width="22.28515625" style="586" customWidth="1"/>
    <col min="4574" max="4581" width="0" style="586" hidden="1" customWidth="1"/>
    <col min="4582" max="4583" width="20" style="586" customWidth="1"/>
    <col min="4584" max="4586" width="21" style="586" customWidth="1"/>
    <col min="4587" max="4587" width="30.28515625" style="586" customWidth="1"/>
    <col min="4588" max="4588" width="22" style="586" customWidth="1"/>
    <col min="4589" max="4817" width="11.42578125" style="586"/>
    <col min="4818" max="4818" width="17.5703125" style="586" customWidth="1"/>
    <col min="4819" max="4819" width="13.5703125" style="586" customWidth="1"/>
    <col min="4820" max="4820" width="23.28515625" style="586" customWidth="1"/>
    <col min="4821" max="4821" width="21.28515625" style="586" customWidth="1"/>
    <col min="4822" max="4822" width="5.7109375" style="586" customWidth="1"/>
    <col min="4823" max="4823" width="20.7109375" style="586" customWidth="1"/>
    <col min="4824" max="4824" width="9" style="586" customWidth="1"/>
    <col min="4825" max="4825" width="16.7109375" style="586" bestFit="1" customWidth="1"/>
    <col min="4826" max="4826" width="20" style="586" customWidth="1"/>
    <col min="4827" max="4827" width="21.5703125" style="586" customWidth="1"/>
    <col min="4828" max="4828" width="20.5703125" style="586" customWidth="1"/>
    <col min="4829" max="4829" width="22.28515625" style="586" customWidth="1"/>
    <col min="4830" max="4837" width="0" style="586" hidden="1" customWidth="1"/>
    <col min="4838" max="4839" width="20" style="586" customWidth="1"/>
    <col min="4840" max="4842" width="21" style="586" customWidth="1"/>
    <col min="4843" max="4843" width="30.28515625" style="586" customWidth="1"/>
    <col min="4844" max="4844" width="22" style="586" customWidth="1"/>
    <col min="4845" max="5073" width="11.42578125" style="586"/>
    <col min="5074" max="5074" width="17.5703125" style="586" customWidth="1"/>
    <col min="5075" max="5075" width="13.5703125" style="586" customWidth="1"/>
    <col min="5076" max="5076" width="23.28515625" style="586" customWidth="1"/>
    <col min="5077" max="5077" width="21.28515625" style="586" customWidth="1"/>
    <col min="5078" max="5078" width="5.7109375" style="586" customWidth="1"/>
    <col min="5079" max="5079" width="20.7109375" style="586" customWidth="1"/>
    <col min="5080" max="5080" width="9" style="586" customWidth="1"/>
    <col min="5081" max="5081" width="16.7109375" style="586" bestFit="1" customWidth="1"/>
    <col min="5082" max="5082" width="20" style="586" customWidth="1"/>
    <col min="5083" max="5083" width="21.5703125" style="586" customWidth="1"/>
    <col min="5084" max="5084" width="20.5703125" style="586" customWidth="1"/>
    <col min="5085" max="5085" width="22.28515625" style="586" customWidth="1"/>
    <col min="5086" max="5093" width="0" style="586" hidden="1" customWidth="1"/>
    <col min="5094" max="5095" width="20" style="586" customWidth="1"/>
    <col min="5096" max="5098" width="21" style="586" customWidth="1"/>
    <col min="5099" max="5099" width="30.28515625" style="586" customWidth="1"/>
    <col min="5100" max="5100" width="22" style="586" customWidth="1"/>
    <col min="5101" max="5329" width="11.42578125" style="586"/>
    <col min="5330" max="5330" width="17.5703125" style="586" customWidth="1"/>
    <col min="5331" max="5331" width="13.5703125" style="586" customWidth="1"/>
    <col min="5332" max="5332" width="23.28515625" style="586" customWidth="1"/>
    <col min="5333" max="5333" width="21.28515625" style="586" customWidth="1"/>
    <col min="5334" max="5334" width="5.7109375" style="586" customWidth="1"/>
    <col min="5335" max="5335" width="20.7109375" style="586" customWidth="1"/>
    <col min="5336" max="5336" width="9" style="586" customWidth="1"/>
    <col min="5337" max="5337" width="16.7109375" style="586" bestFit="1" customWidth="1"/>
    <col min="5338" max="5338" width="20" style="586" customWidth="1"/>
    <col min="5339" max="5339" width="21.5703125" style="586" customWidth="1"/>
    <col min="5340" max="5340" width="20.5703125" style="586" customWidth="1"/>
    <col min="5341" max="5341" width="22.28515625" style="586" customWidth="1"/>
    <col min="5342" max="5349" width="0" style="586" hidden="1" customWidth="1"/>
    <col min="5350" max="5351" width="20" style="586" customWidth="1"/>
    <col min="5352" max="5354" width="21" style="586" customWidth="1"/>
    <col min="5355" max="5355" width="30.28515625" style="586" customWidth="1"/>
    <col min="5356" max="5356" width="22" style="586" customWidth="1"/>
    <col min="5357" max="5585" width="11.42578125" style="586"/>
    <col min="5586" max="5586" width="17.5703125" style="586" customWidth="1"/>
    <col min="5587" max="5587" width="13.5703125" style="586" customWidth="1"/>
    <col min="5588" max="5588" width="23.28515625" style="586" customWidth="1"/>
    <col min="5589" max="5589" width="21.28515625" style="586" customWidth="1"/>
    <col min="5590" max="5590" width="5.7109375" style="586" customWidth="1"/>
    <col min="5591" max="5591" width="20.7109375" style="586" customWidth="1"/>
    <col min="5592" max="5592" width="9" style="586" customWidth="1"/>
    <col min="5593" max="5593" width="16.7109375" style="586" bestFit="1" customWidth="1"/>
    <col min="5594" max="5594" width="20" style="586" customWidth="1"/>
    <col min="5595" max="5595" width="21.5703125" style="586" customWidth="1"/>
    <col min="5596" max="5596" width="20.5703125" style="586" customWidth="1"/>
    <col min="5597" max="5597" width="22.28515625" style="586" customWidth="1"/>
    <col min="5598" max="5605" width="0" style="586" hidden="1" customWidth="1"/>
    <col min="5606" max="5607" width="20" style="586" customWidth="1"/>
    <col min="5608" max="5610" width="21" style="586" customWidth="1"/>
    <col min="5611" max="5611" width="30.28515625" style="586" customWidth="1"/>
    <col min="5612" max="5612" width="22" style="586" customWidth="1"/>
    <col min="5613" max="5841" width="11.42578125" style="586"/>
    <col min="5842" max="5842" width="17.5703125" style="586" customWidth="1"/>
    <col min="5843" max="5843" width="13.5703125" style="586" customWidth="1"/>
    <col min="5844" max="5844" width="23.28515625" style="586" customWidth="1"/>
    <col min="5845" max="5845" width="21.28515625" style="586" customWidth="1"/>
    <col min="5846" max="5846" width="5.7109375" style="586" customWidth="1"/>
    <col min="5847" max="5847" width="20.7109375" style="586" customWidth="1"/>
    <col min="5848" max="5848" width="9" style="586" customWidth="1"/>
    <col min="5849" max="5849" width="16.7109375" style="586" bestFit="1" customWidth="1"/>
    <col min="5850" max="5850" width="20" style="586" customWidth="1"/>
    <col min="5851" max="5851" width="21.5703125" style="586" customWidth="1"/>
    <col min="5852" max="5852" width="20.5703125" style="586" customWidth="1"/>
    <col min="5853" max="5853" width="22.28515625" style="586" customWidth="1"/>
    <col min="5854" max="5861" width="0" style="586" hidden="1" customWidth="1"/>
    <col min="5862" max="5863" width="20" style="586" customWidth="1"/>
    <col min="5864" max="5866" width="21" style="586" customWidth="1"/>
    <col min="5867" max="5867" width="30.28515625" style="586" customWidth="1"/>
    <col min="5868" max="5868" width="22" style="586" customWidth="1"/>
    <col min="5869" max="6097" width="11.42578125" style="586"/>
    <col min="6098" max="6098" width="17.5703125" style="586" customWidth="1"/>
    <col min="6099" max="6099" width="13.5703125" style="586" customWidth="1"/>
    <col min="6100" max="6100" width="23.28515625" style="586" customWidth="1"/>
    <col min="6101" max="6101" width="21.28515625" style="586" customWidth="1"/>
    <col min="6102" max="6102" width="5.7109375" style="586" customWidth="1"/>
    <col min="6103" max="6103" width="20.7109375" style="586" customWidth="1"/>
    <col min="6104" max="6104" width="9" style="586" customWidth="1"/>
    <col min="6105" max="6105" width="16.7109375" style="586" bestFit="1" customWidth="1"/>
    <col min="6106" max="6106" width="20" style="586" customWidth="1"/>
    <col min="6107" max="6107" width="21.5703125" style="586" customWidth="1"/>
    <col min="6108" max="6108" width="20.5703125" style="586" customWidth="1"/>
    <col min="6109" max="6109" width="22.28515625" style="586" customWidth="1"/>
    <col min="6110" max="6117" width="0" style="586" hidden="1" customWidth="1"/>
    <col min="6118" max="6119" width="20" style="586" customWidth="1"/>
    <col min="6120" max="6122" width="21" style="586" customWidth="1"/>
    <col min="6123" max="6123" width="30.28515625" style="586" customWidth="1"/>
    <col min="6124" max="6124" width="22" style="586" customWidth="1"/>
    <col min="6125" max="6353" width="11.42578125" style="586"/>
    <col min="6354" max="6354" width="17.5703125" style="586" customWidth="1"/>
    <col min="6355" max="6355" width="13.5703125" style="586" customWidth="1"/>
    <col min="6356" max="6356" width="23.28515625" style="586" customWidth="1"/>
    <col min="6357" max="6357" width="21.28515625" style="586" customWidth="1"/>
    <col min="6358" max="6358" width="5.7109375" style="586" customWidth="1"/>
    <col min="6359" max="6359" width="20.7109375" style="586" customWidth="1"/>
    <col min="6360" max="6360" width="9" style="586" customWidth="1"/>
    <col min="6361" max="6361" width="16.7109375" style="586" bestFit="1" customWidth="1"/>
    <col min="6362" max="6362" width="20" style="586" customWidth="1"/>
    <col min="6363" max="6363" width="21.5703125" style="586" customWidth="1"/>
    <col min="6364" max="6364" width="20.5703125" style="586" customWidth="1"/>
    <col min="6365" max="6365" width="22.28515625" style="586" customWidth="1"/>
    <col min="6366" max="6373" width="0" style="586" hidden="1" customWidth="1"/>
    <col min="6374" max="6375" width="20" style="586" customWidth="1"/>
    <col min="6376" max="6378" width="21" style="586" customWidth="1"/>
    <col min="6379" max="6379" width="30.28515625" style="586" customWidth="1"/>
    <col min="6380" max="6380" width="22" style="586" customWidth="1"/>
    <col min="6381" max="6609" width="11.42578125" style="586"/>
    <col min="6610" max="6610" width="17.5703125" style="586" customWidth="1"/>
    <col min="6611" max="6611" width="13.5703125" style="586" customWidth="1"/>
    <col min="6612" max="6612" width="23.28515625" style="586" customWidth="1"/>
    <col min="6613" max="6613" width="21.28515625" style="586" customWidth="1"/>
    <col min="6614" max="6614" width="5.7109375" style="586" customWidth="1"/>
    <col min="6615" max="6615" width="20.7109375" style="586" customWidth="1"/>
    <col min="6616" max="6616" width="9" style="586" customWidth="1"/>
    <col min="6617" max="6617" width="16.7109375" style="586" bestFit="1" customWidth="1"/>
    <col min="6618" max="6618" width="20" style="586" customWidth="1"/>
    <col min="6619" max="6619" width="21.5703125" style="586" customWidth="1"/>
    <col min="6620" max="6620" width="20.5703125" style="586" customWidth="1"/>
    <col min="6621" max="6621" width="22.28515625" style="586" customWidth="1"/>
    <col min="6622" max="6629" width="0" style="586" hidden="1" customWidth="1"/>
    <col min="6630" max="6631" width="20" style="586" customWidth="1"/>
    <col min="6632" max="6634" width="21" style="586" customWidth="1"/>
    <col min="6635" max="6635" width="30.28515625" style="586" customWidth="1"/>
    <col min="6636" max="6636" width="22" style="586" customWidth="1"/>
    <col min="6637" max="6865" width="11.42578125" style="586"/>
    <col min="6866" max="6866" width="17.5703125" style="586" customWidth="1"/>
    <col min="6867" max="6867" width="13.5703125" style="586" customWidth="1"/>
    <col min="6868" max="6868" width="23.28515625" style="586" customWidth="1"/>
    <col min="6869" max="6869" width="21.28515625" style="586" customWidth="1"/>
    <col min="6870" max="6870" width="5.7109375" style="586" customWidth="1"/>
    <col min="6871" max="6871" width="20.7109375" style="586" customWidth="1"/>
    <col min="6872" max="6872" width="9" style="586" customWidth="1"/>
    <col min="6873" max="6873" width="16.7109375" style="586" bestFit="1" customWidth="1"/>
    <col min="6874" max="6874" width="20" style="586" customWidth="1"/>
    <col min="6875" max="6875" width="21.5703125" style="586" customWidth="1"/>
    <col min="6876" max="6876" width="20.5703125" style="586" customWidth="1"/>
    <col min="6877" max="6877" width="22.28515625" style="586" customWidth="1"/>
    <col min="6878" max="6885" width="0" style="586" hidden="1" customWidth="1"/>
    <col min="6886" max="6887" width="20" style="586" customWidth="1"/>
    <col min="6888" max="6890" width="21" style="586" customWidth="1"/>
    <col min="6891" max="6891" width="30.28515625" style="586" customWidth="1"/>
    <col min="6892" max="6892" width="22" style="586" customWidth="1"/>
    <col min="6893" max="7121" width="11.42578125" style="586"/>
    <col min="7122" max="7122" width="17.5703125" style="586" customWidth="1"/>
    <col min="7123" max="7123" width="13.5703125" style="586" customWidth="1"/>
    <col min="7124" max="7124" width="23.28515625" style="586" customWidth="1"/>
    <col min="7125" max="7125" width="21.28515625" style="586" customWidth="1"/>
    <col min="7126" max="7126" width="5.7109375" style="586" customWidth="1"/>
    <col min="7127" max="7127" width="20.7109375" style="586" customWidth="1"/>
    <col min="7128" max="7128" width="9" style="586" customWidth="1"/>
    <col min="7129" max="7129" width="16.7109375" style="586" bestFit="1" customWidth="1"/>
    <col min="7130" max="7130" width="20" style="586" customWidth="1"/>
    <col min="7131" max="7131" width="21.5703125" style="586" customWidth="1"/>
    <col min="7132" max="7132" width="20.5703125" style="586" customWidth="1"/>
    <col min="7133" max="7133" width="22.28515625" style="586" customWidth="1"/>
    <col min="7134" max="7141" width="0" style="586" hidden="1" customWidth="1"/>
    <col min="7142" max="7143" width="20" style="586" customWidth="1"/>
    <col min="7144" max="7146" width="21" style="586" customWidth="1"/>
    <col min="7147" max="7147" width="30.28515625" style="586" customWidth="1"/>
    <col min="7148" max="7148" width="22" style="586" customWidth="1"/>
    <col min="7149" max="7377" width="11.42578125" style="586"/>
    <col min="7378" max="7378" width="17.5703125" style="586" customWidth="1"/>
    <col min="7379" max="7379" width="13.5703125" style="586" customWidth="1"/>
    <col min="7380" max="7380" width="23.28515625" style="586" customWidth="1"/>
    <col min="7381" max="7381" width="21.28515625" style="586" customWidth="1"/>
    <col min="7382" max="7382" width="5.7109375" style="586" customWidth="1"/>
    <col min="7383" max="7383" width="20.7109375" style="586" customWidth="1"/>
    <col min="7384" max="7384" width="9" style="586" customWidth="1"/>
    <col min="7385" max="7385" width="16.7109375" style="586" bestFit="1" customWidth="1"/>
    <col min="7386" max="7386" width="20" style="586" customWidth="1"/>
    <col min="7387" max="7387" width="21.5703125" style="586" customWidth="1"/>
    <col min="7388" max="7388" width="20.5703125" style="586" customWidth="1"/>
    <col min="7389" max="7389" width="22.28515625" style="586" customWidth="1"/>
    <col min="7390" max="7397" width="0" style="586" hidden="1" customWidth="1"/>
    <col min="7398" max="7399" width="20" style="586" customWidth="1"/>
    <col min="7400" max="7402" width="21" style="586" customWidth="1"/>
    <col min="7403" max="7403" width="30.28515625" style="586" customWidth="1"/>
    <col min="7404" max="7404" width="22" style="586" customWidth="1"/>
    <col min="7405" max="7633" width="11.42578125" style="586"/>
    <col min="7634" max="7634" width="17.5703125" style="586" customWidth="1"/>
    <col min="7635" max="7635" width="13.5703125" style="586" customWidth="1"/>
    <col min="7636" max="7636" width="23.28515625" style="586" customWidth="1"/>
    <col min="7637" max="7637" width="21.28515625" style="586" customWidth="1"/>
    <col min="7638" max="7638" width="5.7109375" style="586" customWidth="1"/>
    <col min="7639" max="7639" width="20.7109375" style="586" customWidth="1"/>
    <col min="7640" max="7640" width="9" style="586" customWidth="1"/>
    <col min="7641" max="7641" width="16.7109375" style="586" bestFit="1" customWidth="1"/>
    <col min="7642" max="7642" width="20" style="586" customWidth="1"/>
    <col min="7643" max="7643" width="21.5703125" style="586" customWidth="1"/>
    <col min="7644" max="7644" width="20.5703125" style="586" customWidth="1"/>
    <col min="7645" max="7645" width="22.28515625" style="586" customWidth="1"/>
    <col min="7646" max="7653" width="0" style="586" hidden="1" customWidth="1"/>
    <col min="7654" max="7655" width="20" style="586" customWidth="1"/>
    <col min="7656" max="7658" width="21" style="586" customWidth="1"/>
    <col min="7659" max="7659" width="30.28515625" style="586" customWidth="1"/>
    <col min="7660" max="7660" width="22" style="586" customWidth="1"/>
    <col min="7661" max="7889" width="11.42578125" style="586"/>
    <col min="7890" max="7890" width="17.5703125" style="586" customWidth="1"/>
    <col min="7891" max="7891" width="13.5703125" style="586" customWidth="1"/>
    <col min="7892" max="7892" width="23.28515625" style="586" customWidth="1"/>
    <col min="7893" max="7893" width="21.28515625" style="586" customWidth="1"/>
    <col min="7894" max="7894" width="5.7109375" style="586" customWidth="1"/>
    <col min="7895" max="7895" width="20.7109375" style="586" customWidth="1"/>
    <col min="7896" max="7896" width="9" style="586" customWidth="1"/>
    <col min="7897" max="7897" width="16.7109375" style="586" bestFit="1" customWidth="1"/>
    <col min="7898" max="7898" width="20" style="586" customWidth="1"/>
    <col min="7899" max="7899" width="21.5703125" style="586" customWidth="1"/>
    <col min="7900" max="7900" width="20.5703125" style="586" customWidth="1"/>
    <col min="7901" max="7901" width="22.28515625" style="586" customWidth="1"/>
    <col min="7902" max="7909" width="0" style="586" hidden="1" customWidth="1"/>
    <col min="7910" max="7911" width="20" style="586" customWidth="1"/>
    <col min="7912" max="7914" width="21" style="586" customWidth="1"/>
    <col min="7915" max="7915" width="30.28515625" style="586" customWidth="1"/>
    <col min="7916" max="7916" width="22" style="586" customWidth="1"/>
    <col min="7917" max="8145" width="11.42578125" style="586"/>
    <col min="8146" max="8146" width="17.5703125" style="586" customWidth="1"/>
    <col min="8147" max="8147" width="13.5703125" style="586" customWidth="1"/>
    <col min="8148" max="8148" width="23.28515625" style="586" customWidth="1"/>
    <col min="8149" max="8149" width="21.28515625" style="586" customWidth="1"/>
    <col min="8150" max="8150" width="5.7109375" style="586" customWidth="1"/>
    <col min="8151" max="8151" width="20.7109375" style="586" customWidth="1"/>
    <col min="8152" max="8152" width="9" style="586" customWidth="1"/>
    <col min="8153" max="8153" width="16.7109375" style="586" bestFit="1" customWidth="1"/>
    <col min="8154" max="8154" width="20" style="586" customWidth="1"/>
    <col min="8155" max="8155" width="21.5703125" style="586" customWidth="1"/>
    <col min="8156" max="8156" width="20.5703125" style="586" customWidth="1"/>
    <col min="8157" max="8157" width="22.28515625" style="586" customWidth="1"/>
    <col min="8158" max="8165" width="0" style="586" hidden="1" customWidth="1"/>
    <col min="8166" max="8167" width="20" style="586" customWidth="1"/>
    <col min="8168" max="8170" width="21" style="586" customWidth="1"/>
    <col min="8171" max="8171" width="30.28515625" style="586" customWidth="1"/>
    <col min="8172" max="8172" width="22" style="586" customWidth="1"/>
    <col min="8173" max="8401" width="11.42578125" style="586"/>
    <col min="8402" max="8402" width="17.5703125" style="586" customWidth="1"/>
    <col min="8403" max="8403" width="13.5703125" style="586" customWidth="1"/>
    <col min="8404" max="8404" width="23.28515625" style="586" customWidth="1"/>
    <col min="8405" max="8405" width="21.28515625" style="586" customWidth="1"/>
    <col min="8406" max="8406" width="5.7109375" style="586" customWidth="1"/>
    <col min="8407" max="8407" width="20.7109375" style="586" customWidth="1"/>
    <col min="8408" max="8408" width="9" style="586" customWidth="1"/>
    <col min="8409" max="8409" width="16.7109375" style="586" bestFit="1" customWidth="1"/>
    <col min="8410" max="8410" width="20" style="586" customWidth="1"/>
    <col min="8411" max="8411" width="21.5703125" style="586" customWidth="1"/>
    <col min="8412" max="8412" width="20.5703125" style="586" customWidth="1"/>
    <col min="8413" max="8413" width="22.28515625" style="586" customWidth="1"/>
    <col min="8414" max="8421" width="0" style="586" hidden="1" customWidth="1"/>
    <col min="8422" max="8423" width="20" style="586" customWidth="1"/>
    <col min="8424" max="8426" width="21" style="586" customWidth="1"/>
    <col min="8427" max="8427" width="30.28515625" style="586" customWidth="1"/>
    <col min="8428" max="8428" width="22" style="586" customWidth="1"/>
    <col min="8429" max="8657" width="11.42578125" style="586"/>
    <col min="8658" max="8658" width="17.5703125" style="586" customWidth="1"/>
    <col min="8659" max="8659" width="13.5703125" style="586" customWidth="1"/>
    <col min="8660" max="8660" width="23.28515625" style="586" customWidth="1"/>
    <col min="8661" max="8661" width="21.28515625" style="586" customWidth="1"/>
    <col min="8662" max="8662" width="5.7109375" style="586" customWidth="1"/>
    <col min="8663" max="8663" width="20.7109375" style="586" customWidth="1"/>
    <col min="8664" max="8664" width="9" style="586" customWidth="1"/>
    <col min="8665" max="8665" width="16.7109375" style="586" bestFit="1" customWidth="1"/>
    <col min="8666" max="8666" width="20" style="586" customWidth="1"/>
    <col min="8667" max="8667" width="21.5703125" style="586" customWidth="1"/>
    <col min="8668" max="8668" width="20.5703125" style="586" customWidth="1"/>
    <col min="8669" max="8669" width="22.28515625" style="586" customWidth="1"/>
    <col min="8670" max="8677" width="0" style="586" hidden="1" customWidth="1"/>
    <col min="8678" max="8679" width="20" style="586" customWidth="1"/>
    <col min="8680" max="8682" width="21" style="586" customWidth="1"/>
    <col min="8683" max="8683" width="30.28515625" style="586" customWidth="1"/>
    <col min="8684" max="8684" width="22" style="586" customWidth="1"/>
    <col min="8685" max="8913" width="11.42578125" style="586"/>
    <col min="8914" max="8914" width="17.5703125" style="586" customWidth="1"/>
    <col min="8915" max="8915" width="13.5703125" style="586" customWidth="1"/>
    <col min="8916" max="8916" width="23.28515625" style="586" customWidth="1"/>
    <col min="8917" max="8917" width="21.28515625" style="586" customWidth="1"/>
    <col min="8918" max="8918" width="5.7109375" style="586" customWidth="1"/>
    <col min="8919" max="8919" width="20.7109375" style="586" customWidth="1"/>
    <col min="8920" max="8920" width="9" style="586" customWidth="1"/>
    <col min="8921" max="8921" width="16.7109375" style="586" bestFit="1" customWidth="1"/>
    <col min="8922" max="8922" width="20" style="586" customWidth="1"/>
    <col min="8923" max="8923" width="21.5703125" style="586" customWidth="1"/>
    <col min="8924" max="8924" width="20.5703125" style="586" customWidth="1"/>
    <col min="8925" max="8925" width="22.28515625" style="586" customWidth="1"/>
    <col min="8926" max="8933" width="0" style="586" hidden="1" customWidth="1"/>
    <col min="8934" max="8935" width="20" style="586" customWidth="1"/>
    <col min="8936" max="8938" width="21" style="586" customWidth="1"/>
    <col min="8939" max="8939" width="30.28515625" style="586" customWidth="1"/>
    <col min="8940" max="8940" width="22" style="586" customWidth="1"/>
    <col min="8941" max="9169" width="11.42578125" style="586"/>
    <col min="9170" max="9170" width="17.5703125" style="586" customWidth="1"/>
    <col min="9171" max="9171" width="13.5703125" style="586" customWidth="1"/>
    <col min="9172" max="9172" width="23.28515625" style="586" customWidth="1"/>
    <col min="9173" max="9173" width="21.28515625" style="586" customWidth="1"/>
    <col min="9174" max="9174" width="5.7109375" style="586" customWidth="1"/>
    <col min="9175" max="9175" width="20.7109375" style="586" customWidth="1"/>
    <col min="9176" max="9176" width="9" style="586" customWidth="1"/>
    <col min="9177" max="9177" width="16.7109375" style="586" bestFit="1" customWidth="1"/>
    <col min="9178" max="9178" width="20" style="586" customWidth="1"/>
    <col min="9179" max="9179" width="21.5703125" style="586" customWidth="1"/>
    <col min="9180" max="9180" width="20.5703125" style="586" customWidth="1"/>
    <col min="9181" max="9181" width="22.28515625" style="586" customWidth="1"/>
    <col min="9182" max="9189" width="0" style="586" hidden="1" customWidth="1"/>
    <col min="9190" max="9191" width="20" style="586" customWidth="1"/>
    <col min="9192" max="9194" width="21" style="586" customWidth="1"/>
    <col min="9195" max="9195" width="30.28515625" style="586" customWidth="1"/>
    <col min="9196" max="9196" width="22" style="586" customWidth="1"/>
    <col min="9197" max="9425" width="11.42578125" style="586"/>
    <col min="9426" max="9426" width="17.5703125" style="586" customWidth="1"/>
    <col min="9427" max="9427" width="13.5703125" style="586" customWidth="1"/>
    <col min="9428" max="9428" width="23.28515625" style="586" customWidth="1"/>
    <col min="9429" max="9429" width="21.28515625" style="586" customWidth="1"/>
    <col min="9430" max="9430" width="5.7109375" style="586" customWidth="1"/>
    <col min="9431" max="9431" width="20.7109375" style="586" customWidth="1"/>
    <col min="9432" max="9432" width="9" style="586" customWidth="1"/>
    <col min="9433" max="9433" width="16.7109375" style="586" bestFit="1" customWidth="1"/>
    <col min="9434" max="9434" width="20" style="586" customWidth="1"/>
    <col min="9435" max="9435" width="21.5703125" style="586" customWidth="1"/>
    <col min="9436" max="9436" width="20.5703125" style="586" customWidth="1"/>
    <col min="9437" max="9437" width="22.28515625" style="586" customWidth="1"/>
    <col min="9438" max="9445" width="0" style="586" hidden="1" customWidth="1"/>
    <col min="9446" max="9447" width="20" style="586" customWidth="1"/>
    <col min="9448" max="9450" width="21" style="586" customWidth="1"/>
    <col min="9451" max="9451" width="30.28515625" style="586" customWidth="1"/>
    <col min="9452" max="9452" width="22" style="586" customWidth="1"/>
    <col min="9453" max="9681" width="11.42578125" style="586"/>
    <col min="9682" max="9682" width="17.5703125" style="586" customWidth="1"/>
    <col min="9683" max="9683" width="13.5703125" style="586" customWidth="1"/>
    <col min="9684" max="9684" width="23.28515625" style="586" customWidth="1"/>
    <col min="9685" max="9685" width="21.28515625" style="586" customWidth="1"/>
    <col min="9686" max="9686" width="5.7109375" style="586" customWidth="1"/>
    <col min="9687" max="9687" width="20.7109375" style="586" customWidth="1"/>
    <col min="9688" max="9688" width="9" style="586" customWidth="1"/>
    <col min="9689" max="9689" width="16.7109375" style="586" bestFit="1" customWidth="1"/>
    <col min="9690" max="9690" width="20" style="586" customWidth="1"/>
    <col min="9691" max="9691" width="21.5703125" style="586" customWidth="1"/>
    <col min="9692" max="9692" width="20.5703125" style="586" customWidth="1"/>
    <col min="9693" max="9693" width="22.28515625" style="586" customWidth="1"/>
    <col min="9694" max="9701" width="0" style="586" hidden="1" customWidth="1"/>
    <col min="9702" max="9703" width="20" style="586" customWidth="1"/>
    <col min="9704" max="9706" width="21" style="586" customWidth="1"/>
    <col min="9707" max="9707" width="30.28515625" style="586" customWidth="1"/>
    <col min="9708" max="9708" width="22" style="586" customWidth="1"/>
    <col min="9709" max="9937" width="11.42578125" style="586"/>
    <col min="9938" max="9938" width="17.5703125" style="586" customWidth="1"/>
    <col min="9939" max="9939" width="13.5703125" style="586" customWidth="1"/>
    <col min="9940" max="9940" width="23.28515625" style="586" customWidth="1"/>
    <col min="9941" max="9941" width="21.28515625" style="586" customWidth="1"/>
    <col min="9942" max="9942" width="5.7109375" style="586" customWidth="1"/>
    <col min="9943" max="9943" width="20.7109375" style="586" customWidth="1"/>
    <col min="9944" max="9944" width="9" style="586" customWidth="1"/>
    <col min="9945" max="9945" width="16.7109375" style="586" bestFit="1" customWidth="1"/>
    <col min="9946" max="9946" width="20" style="586" customWidth="1"/>
    <col min="9947" max="9947" width="21.5703125" style="586" customWidth="1"/>
    <col min="9948" max="9948" width="20.5703125" style="586" customWidth="1"/>
    <col min="9949" max="9949" width="22.28515625" style="586" customWidth="1"/>
    <col min="9950" max="9957" width="0" style="586" hidden="1" customWidth="1"/>
    <col min="9958" max="9959" width="20" style="586" customWidth="1"/>
    <col min="9960" max="9962" width="21" style="586" customWidth="1"/>
    <col min="9963" max="9963" width="30.28515625" style="586" customWidth="1"/>
    <col min="9964" max="9964" width="22" style="586" customWidth="1"/>
    <col min="9965" max="10193" width="11.42578125" style="586"/>
    <col min="10194" max="10194" width="17.5703125" style="586" customWidth="1"/>
    <col min="10195" max="10195" width="13.5703125" style="586" customWidth="1"/>
    <col min="10196" max="10196" width="23.28515625" style="586" customWidth="1"/>
    <col min="10197" max="10197" width="21.28515625" style="586" customWidth="1"/>
    <col min="10198" max="10198" width="5.7109375" style="586" customWidth="1"/>
    <col min="10199" max="10199" width="20.7109375" style="586" customWidth="1"/>
    <col min="10200" max="10200" width="9" style="586" customWidth="1"/>
    <col min="10201" max="10201" width="16.7109375" style="586" bestFit="1" customWidth="1"/>
    <col min="10202" max="10202" width="20" style="586" customWidth="1"/>
    <col min="10203" max="10203" width="21.5703125" style="586" customWidth="1"/>
    <col min="10204" max="10204" width="20.5703125" style="586" customWidth="1"/>
    <col min="10205" max="10205" width="22.28515625" style="586" customWidth="1"/>
    <col min="10206" max="10213" width="0" style="586" hidden="1" customWidth="1"/>
    <col min="10214" max="10215" width="20" style="586" customWidth="1"/>
    <col min="10216" max="10218" width="21" style="586" customWidth="1"/>
    <col min="10219" max="10219" width="30.28515625" style="586" customWidth="1"/>
    <col min="10220" max="10220" width="22" style="586" customWidth="1"/>
    <col min="10221" max="10449" width="11.42578125" style="586"/>
    <col min="10450" max="10450" width="17.5703125" style="586" customWidth="1"/>
    <col min="10451" max="10451" width="13.5703125" style="586" customWidth="1"/>
    <col min="10452" max="10452" width="23.28515625" style="586" customWidth="1"/>
    <col min="10453" max="10453" width="21.28515625" style="586" customWidth="1"/>
    <col min="10454" max="10454" width="5.7109375" style="586" customWidth="1"/>
    <col min="10455" max="10455" width="20.7109375" style="586" customWidth="1"/>
    <col min="10456" max="10456" width="9" style="586" customWidth="1"/>
    <col min="10457" max="10457" width="16.7109375" style="586" bestFit="1" customWidth="1"/>
    <col min="10458" max="10458" width="20" style="586" customWidth="1"/>
    <col min="10459" max="10459" width="21.5703125" style="586" customWidth="1"/>
    <col min="10460" max="10460" width="20.5703125" style="586" customWidth="1"/>
    <col min="10461" max="10461" width="22.28515625" style="586" customWidth="1"/>
    <col min="10462" max="10469" width="0" style="586" hidden="1" customWidth="1"/>
    <col min="10470" max="10471" width="20" style="586" customWidth="1"/>
    <col min="10472" max="10474" width="21" style="586" customWidth="1"/>
    <col min="10475" max="10475" width="30.28515625" style="586" customWidth="1"/>
    <col min="10476" max="10476" width="22" style="586" customWidth="1"/>
    <col min="10477" max="10705" width="11.42578125" style="586"/>
    <col min="10706" max="10706" width="17.5703125" style="586" customWidth="1"/>
    <col min="10707" max="10707" width="13.5703125" style="586" customWidth="1"/>
    <col min="10708" max="10708" width="23.28515625" style="586" customWidth="1"/>
    <col min="10709" max="10709" width="21.28515625" style="586" customWidth="1"/>
    <col min="10710" max="10710" width="5.7109375" style="586" customWidth="1"/>
    <col min="10711" max="10711" width="20.7109375" style="586" customWidth="1"/>
    <col min="10712" max="10712" width="9" style="586" customWidth="1"/>
    <col min="10713" max="10713" width="16.7109375" style="586" bestFit="1" customWidth="1"/>
    <col min="10714" max="10714" width="20" style="586" customWidth="1"/>
    <col min="10715" max="10715" width="21.5703125" style="586" customWidth="1"/>
    <col min="10716" max="10716" width="20.5703125" style="586" customWidth="1"/>
    <col min="10717" max="10717" width="22.28515625" style="586" customWidth="1"/>
    <col min="10718" max="10725" width="0" style="586" hidden="1" customWidth="1"/>
    <col min="10726" max="10727" width="20" style="586" customWidth="1"/>
    <col min="10728" max="10730" width="21" style="586" customWidth="1"/>
    <col min="10731" max="10731" width="30.28515625" style="586" customWidth="1"/>
    <col min="10732" max="10732" width="22" style="586" customWidth="1"/>
    <col min="10733" max="10961" width="11.42578125" style="586"/>
    <col min="10962" max="10962" width="17.5703125" style="586" customWidth="1"/>
    <col min="10963" max="10963" width="13.5703125" style="586" customWidth="1"/>
    <col min="10964" max="10964" width="23.28515625" style="586" customWidth="1"/>
    <col min="10965" max="10965" width="21.28515625" style="586" customWidth="1"/>
    <col min="10966" max="10966" width="5.7109375" style="586" customWidth="1"/>
    <col min="10967" max="10967" width="20.7109375" style="586" customWidth="1"/>
    <col min="10968" max="10968" width="9" style="586" customWidth="1"/>
    <col min="10969" max="10969" width="16.7109375" style="586" bestFit="1" customWidth="1"/>
    <col min="10970" max="10970" width="20" style="586" customWidth="1"/>
    <col min="10971" max="10971" width="21.5703125" style="586" customWidth="1"/>
    <col min="10972" max="10972" width="20.5703125" style="586" customWidth="1"/>
    <col min="10973" max="10973" width="22.28515625" style="586" customWidth="1"/>
    <col min="10974" max="10981" width="0" style="586" hidden="1" customWidth="1"/>
    <col min="10982" max="10983" width="20" style="586" customWidth="1"/>
    <col min="10984" max="10986" width="21" style="586" customWidth="1"/>
    <col min="10987" max="10987" width="30.28515625" style="586" customWidth="1"/>
    <col min="10988" max="10988" width="22" style="586" customWidth="1"/>
    <col min="10989" max="11217" width="11.42578125" style="586"/>
    <col min="11218" max="11218" width="17.5703125" style="586" customWidth="1"/>
    <col min="11219" max="11219" width="13.5703125" style="586" customWidth="1"/>
    <col min="11220" max="11220" width="23.28515625" style="586" customWidth="1"/>
    <col min="11221" max="11221" width="21.28515625" style="586" customWidth="1"/>
    <col min="11222" max="11222" width="5.7109375" style="586" customWidth="1"/>
    <col min="11223" max="11223" width="20.7109375" style="586" customWidth="1"/>
    <col min="11224" max="11224" width="9" style="586" customWidth="1"/>
    <col min="11225" max="11225" width="16.7109375" style="586" bestFit="1" customWidth="1"/>
    <col min="11226" max="11226" width="20" style="586" customWidth="1"/>
    <col min="11227" max="11227" width="21.5703125" style="586" customWidth="1"/>
    <col min="11228" max="11228" width="20.5703125" style="586" customWidth="1"/>
    <col min="11229" max="11229" width="22.28515625" style="586" customWidth="1"/>
    <col min="11230" max="11237" width="0" style="586" hidden="1" customWidth="1"/>
    <col min="11238" max="11239" width="20" style="586" customWidth="1"/>
    <col min="11240" max="11242" width="21" style="586" customWidth="1"/>
    <col min="11243" max="11243" width="30.28515625" style="586" customWidth="1"/>
    <col min="11244" max="11244" width="22" style="586" customWidth="1"/>
    <col min="11245" max="11473" width="11.42578125" style="586"/>
    <col min="11474" max="11474" width="17.5703125" style="586" customWidth="1"/>
    <col min="11475" max="11475" width="13.5703125" style="586" customWidth="1"/>
    <col min="11476" max="11476" width="23.28515625" style="586" customWidth="1"/>
    <col min="11477" max="11477" width="21.28515625" style="586" customWidth="1"/>
    <col min="11478" max="11478" width="5.7109375" style="586" customWidth="1"/>
    <col min="11479" max="11479" width="20.7109375" style="586" customWidth="1"/>
    <col min="11480" max="11480" width="9" style="586" customWidth="1"/>
    <col min="11481" max="11481" width="16.7109375" style="586" bestFit="1" customWidth="1"/>
    <col min="11482" max="11482" width="20" style="586" customWidth="1"/>
    <col min="11483" max="11483" width="21.5703125" style="586" customWidth="1"/>
    <col min="11484" max="11484" width="20.5703125" style="586" customWidth="1"/>
    <col min="11485" max="11485" width="22.28515625" style="586" customWidth="1"/>
    <col min="11486" max="11493" width="0" style="586" hidden="1" customWidth="1"/>
    <col min="11494" max="11495" width="20" style="586" customWidth="1"/>
    <col min="11496" max="11498" width="21" style="586" customWidth="1"/>
    <col min="11499" max="11499" width="30.28515625" style="586" customWidth="1"/>
    <col min="11500" max="11500" width="22" style="586" customWidth="1"/>
    <col min="11501" max="11729" width="11.42578125" style="586"/>
    <col min="11730" max="11730" width="17.5703125" style="586" customWidth="1"/>
    <col min="11731" max="11731" width="13.5703125" style="586" customWidth="1"/>
    <col min="11732" max="11732" width="23.28515625" style="586" customWidth="1"/>
    <col min="11733" max="11733" width="21.28515625" style="586" customWidth="1"/>
    <col min="11734" max="11734" width="5.7109375" style="586" customWidth="1"/>
    <col min="11735" max="11735" width="20.7109375" style="586" customWidth="1"/>
    <col min="11736" max="11736" width="9" style="586" customWidth="1"/>
    <col min="11737" max="11737" width="16.7109375" style="586" bestFit="1" customWidth="1"/>
    <col min="11738" max="11738" width="20" style="586" customWidth="1"/>
    <col min="11739" max="11739" width="21.5703125" style="586" customWidth="1"/>
    <col min="11740" max="11740" width="20.5703125" style="586" customWidth="1"/>
    <col min="11741" max="11741" width="22.28515625" style="586" customWidth="1"/>
    <col min="11742" max="11749" width="0" style="586" hidden="1" customWidth="1"/>
    <col min="11750" max="11751" width="20" style="586" customWidth="1"/>
    <col min="11752" max="11754" width="21" style="586" customWidth="1"/>
    <col min="11755" max="11755" width="30.28515625" style="586" customWidth="1"/>
    <col min="11756" max="11756" width="22" style="586" customWidth="1"/>
    <col min="11757" max="11985" width="11.42578125" style="586"/>
    <col min="11986" max="11986" width="17.5703125" style="586" customWidth="1"/>
    <col min="11987" max="11987" width="13.5703125" style="586" customWidth="1"/>
    <col min="11988" max="11988" width="23.28515625" style="586" customWidth="1"/>
    <col min="11989" max="11989" width="21.28515625" style="586" customWidth="1"/>
    <col min="11990" max="11990" width="5.7109375" style="586" customWidth="1"/>
    <col min="11991" max="11991" width="20.7109375" style="586" customWidth="1"/>
    <col min="11992" max="11992" width="9" style="586" customWidth="1"/>
    <col min="11993" max="11993" width="16.7109375" style="586" bestFit="1" customWidth="1"/>
    <col min="11994" max="11994" width="20" style="586" customWidth="1"/>
    <col min="11995" max="11995" width="21.5703125" style="586" customWidth="1"/>
    <col min="11996" max="11996" width="20.5703125" style="586" customWidth="1"/>
    <col min="11997" max="11997" width="22.28515625" style="586" customWidth="1"/>
    <col min="11998" max="12005" width="0" style="586" hidden="1" customWidth="1"/>
    <col min="12006" max="12007" width="20" style="586" customWidth="1"/>
    <col min="12008" max="12010" width="21" style="586" customWidth="1"/>
    <col min="12011" max="12011" width="30.28515625" style="586" customWidth="1"/>
    <col min="12012" max="12012" width="22" style="586" customWidth="1"/>
    <col min="12013" max="12241" width="11.42578125" style="586"/>
    <col min="12242" max="12242" width="17.5703125" style="586" customWidth="1"/>
    <col min="12243" max="12243" width="13.5703125" style="586" customWidth="1"/>
    <col min="12244" max="12244" width="23.28515625" style="586" customWidth="1"/>
    <col min="12245" max="12245" width="21.28515625" style="586" customWidth="1"/>
    <col min="12246" max="12246" width="5.7109375" style="586" customWidth="1"/>
    <col min="12247" max="12247" width="20.7109375" style="586" customWidth="1"/>
    <col min="12248" max="12248" width="9" style="586" customWidth="1"/>
    <col min="12249" max="12249" width="16.7109375" style="586" bestFit="1" customWidth="1"/>
    <col min="12250" max="12250" width="20" style="586" customWidth="1"/>
    <col min="12251" max="12251" width="21.5703125" style="586" customWidth="1"/>
    <col min="12252" max="12252" width="20.5703125" style="586" customWidth="1"/>
    <col min="12253" max="12253" width="22.28515625" style="586" customWidth="1"/>
    <col min="12254" max="12261" width="0" style="586" hidden="1" customWidth="1"/>
    <col min="12262" max="12263" width="20" style="586" customWidth="1"/>
    <col min="12264" max="12266" width="21" style="586" customWidth="1"/>
    <col min="12267" max="12267" width="30.28515625" style="586" customWidth="1"/>
    <col min="12268" max="12268" width="22" style="586" customWidth="1"/>
    <col min="12269" max="12497" width="11.42578125" style="586"/>
    <col min="12498" max="12498" width="17.5703125" style="586" customWidth="1"/>
    <col min="12499" max="12499" width="13.5703125" style="586" customWidth="1"/>
    <col min="12500" max="12500" width="23.28515625" style="586" customWidth="1"/>
    <col min="12501" max="12501" width="21.28515625" style="586" customWidth="1"/>
    <col min="12502" max="12502" width="5.7109375" style="586" customWidth="1"/>
    <col min="12503" max="12503" width="20.7109375" style="586" customWidth="1"/>
    <col min="12504" max="12504" width="9" style="586" customWidth="1"/>
    <col min="12505" max="12505" width="16.7109375" style="586" bestFit="1" customWidth="1"/>
    <col min="12506" max="12506" width="20" style="586" customWidth="1"/>
    <col min="12507" max="12507" width="21.5703125" style="586" customWidth="1"/>
    <col min="12508" max="12508" width="20.5703125" style="586" customWidth="1"/>
    <col min="12509" max="12509" width="22.28515625" style="586" customWidth="1"/>
    <col min="12510" max="12517" width="0" style="586" hidden="1" customWidth="1"/>
    <col min="12518" max="12519" width="20" style="586" customWidth="1"/>
    <col min="12520" max="12522" width="21" style="586" customWidth="1"/>
    <col min="12523" max="12523" width="30.28515625" style="586" customWidth="1"/>
    <col min="12524" max="12524" width="22" style="586" customWidth="1"/>
    <col min="12525" max="12753" width="11.42578125" style="586"/>
    <col min="12754" max="12754" width="17.5703125" style="586" customWidth="1"/>
    <col min="12755" max="12755" width="13.5703125" style="586" customWidth="1"/>
    <col min="12756" max="12756" width="23.28515625" style="586" customWidth="1"/>
    <col min="12757" max="12757" width="21.28515625" style="586" customWidth="1"/>
    <col min="12758" max="12758" width="5.7109375" style="586" customWidth="1"/>
    <col min="12759" max="12759" width="20.7109375" style="586" customWidth="1"/>
    <col min="12760" max="12760" width="9" style="586" customWidth="1"/>
    <col min="12761" max="12761" width="16.7109375" style="586" bestFit="1" customWidth="1"/>
    <col min="12762" max="12762" width="20" style="586" customWidth="1"/>
    <col min="12763" max="12763" width="21.5703125" style="586" customWidth="1"/>
    <col min="12764" max="12764" width="20.5703125" style="586" customWidth="1"/>
    <col min="12765" max="12765" width="22.28515625" style="586" customWidth="1"/>
    <col min="12766" max="12773" width="0" style="586" hidden="1" customWidth="1"/>
    <col min="12774" max="12775" width="20" style="586" customWidth="1"/>
    <col min="12776" max="12778" width="21" style="586" customWidth="1"/>
    <col min="12779" max="12779" width="30.28515625" style="586" customWidth="1"/>
    <col min="12780" max="12780" width="22" style="586" customWidth="1"/>
    <col min="12781" max="13009" width="11.42578125" style="586"/>
    <col min="13010" max="13010" width="17.5703125" style="586" customWidth="1"/>
    <col min="13011" max="13011" width="13.5703125" style="586" customWidth="1"/>
    <col min="13012" max="13012" width="23.28515625" style="586" customWidth="1"/>
    <col min="13013" max="13013" width="21.28515625" style="586" customWidth="1"/>
    <col min="13014" max="13014" width="5.7109375" style="586" customWidth="1"/>
    <col min="13015" max="13015" width="20.7109375" style="586" customWidth="1"/>
    <col min="13016" max="13016" width="9" style="586" customWidth="1"/>
    <col min="13017" max="13017" width="16.7109375" style="586" bestFit="1" customWidth="1"/>
    <col min="13018" max="13018" width="20" style="586" customWidth="1"/>
    <col min="13019" max="13019" width="21.5703125" style="586" customWidth="1"/>
    <col min="13020" max="13020" width="20.5703125" style="586" customWidth="1"/>
    <col min="13021" max="13021" width="22.28515625" style="586" customWidth="1"/>
    <col min="13022" max="13029" width="0" style="586" hidden="1" customWidth="1"/>
    <col min="13030" max="13031" width="20" style="586" customWidth="1"/>
    <col min="13032" max="13034" width="21" style="586" customWidth="1"/>
    <col min="13035" max="13035" width="30.28515625" style="586" customWidth="1"/>
    <col min="13036" max="13036" width="22" style="586" customWidth="1"/>
    <col min="13037" max="13265" width="11.42578125" style="586"/>
    <col min="13266" max="13266" width="17.5703125" style="586" customWidth="1"/>
    <col min="13267" max="13267" width="13.5703125" style="586" customWidth="1"/>
    <col min="13268" max="13268" width="23.28515625" style="586" customWidth="1"/>
    <col min="13269" max="13269" width="21.28515625" style="586" customWidth="1"/>
    <col min="13270" max="13270" width="5.7109375" style="586" customWidth="1"/>
    <col min="13271" max="13271" width="20.7109375" style="586" customWidth="1"/>
    <col min="13272" max="13272" width="9" style="586" customWidth="1"/>
    <col min="13273" max="13273" width="16.7109375" style="586" bestFit="1" customWidth="1"/>
    <col min="13274" max="13274" width="20" style="586" customWidth="1"/>
    <col min="13275" max="13275" width="21.5703125" style="586" customWidth="1"/>
    <col min="13276" max="13276" width="20.5703125" style="586" customWidth="1"/>
    <col min="13277" max="13277" width="22.28515625" style="586" customWidth="1"/>
    <col min="13278" max="13285" width="0" style="586" hidden="1" customWidth="1"/>
    <col min="13286" max="13287" width="20" style="586" customWidth="1"/>
    <col min="13288" max="13290" width="21" style="586" customWidth="1"/>
    <col min="13291" max="13291" width="30.28515625" style="586" customWidth="1"/>
    <col min="13292" max="13292" width="22" style="586" customWidth="1"/>
    <col min="13293" max="13521" width="11.42578125" style="586"/>
    <col min="13522" max="13522" width="17.5703125" style="586" customWidth="1"/>
    <col min="13523" max="13523" width="13.5703125" style="586" customWidth="1"/>
    <col min="13524" max="13524" width="23.28515625" style="586" customWidth="1"/>
    <col min="13525" max="13525" width="21.28515625" style="586" customWidth="1"/>
    <col min="13526" max="13526" width="5.7109375" style="586" customWidth="1"/>
    <col min="13527" max="13527" width="20.7109375" style="586" customWidth="1"/>
    <col min="13528" max="13528" width="9" style="586" customWidth="1"/>
    <col min="13529" max="13529" width="16.7109375" style="586" bestFit="1" customWidth="1"/>
    <col min="13530" max="13530" width="20" style="586" customWidth="1"/>
    <col min="13531" max="13531" width="21.5703125" style="586" customWidth="1"/>
    <col min="13532" max="13532" width="20.5703125" style="586" customWidth="1"/>
    <col min="13533" max="13533" width="22.28515625" style="586" customWidth="1"/>
    <col min="13534" max="13541" width="0" style="586" hidden="1" customWidth="1"/>
    <col min="13542" max="13543" width="20" style="586" customWidth="1"/>
    <col min="13544" max="13546" width="21" style="586" customWidth="1"/>
    <col min="13547" max="13547" width="30.28515625" style="586" customWidth="1"/>
    <col min="13548" max="13548" width="22" style="586" customWidth="1"/>
    <col min="13549" max="13777" width="11.42578125" style="586"/>
    <col min="13778" max="13778" width="17.5703125" style="586" customWidth="1"/>
    <col min="13779" max="13779" width="13.5703125" style="586" customWidth="1"/>
    <col min="13780" max="13780" width="23.28515625" style="586" customWidth="1"/>
    <col min="13781" max="13781" width="21.28515625" style="586" customWidth="1"/>
    <col min="13782" max="13782" width="5.7109375" style="586" customWidth="1"/>
    <col min="13783" max="13783" width="20.7109375" style="586" customWidth="1"/>
    <col min="13784" max="13784" width="9" style="586" customWidth="1"/>
    <col min="13785" max="13785" width="16.7109375" style="586" bestFit="1" customWidth="1"/>
    <col min="13786" max="13786" width="20" style="586" customWidth="1"/>
    <col min="13787" max="13787" width="21.5703125" style="586" customWidth="1"/>
    <col min="13788" max="13788" width="20.5703125" style="586" customWidth="1"/>
    <col min="13789" max="13789" width="22.28515625" style="586" customWidth="1"/>
    <col min="13790" max="13797" width="0" style="586" hidden="1" customWidth="1"/>
    <col min="13798" max="13799" width="20" style="586" customWidth="1"/>
    <col min="13800" max="13802" width="21" style="586" customWidth="1"/>
    <col min="13803" max="13803" width="30.28515625" style="586" customWidth="1"/>
    <col min="13804" max="13804" width="22" style="586" customWidth="1"/>
    <col min="13805" max="14033" width="11.42578125" style="586"/>
    <col min="14034" max="14034" width="17.5703125" style="586" customWidth="1"/>
    <col min="14035" max="14035" width="13.5703125" style="586" customWidth="1"/>
    <col min="14036" max="14036" width="23.28515625" style="586" customWidth="1"/>
    <col min="14037" max="14037" width="21.28515625" style="586" customWidth="1"/>
    <col min="14038" max="14038" width="5.7109375" style="586" customWidth="1"/>
    <col min="14039" max="14039" width="20.7109375" style="586" customWidth="1"/>
    <col min="14040" max="14040" width="9" style="586" customWidth="1"/>
    <col min="14041" max="14041" width="16.7109375" style="586" bestFit="1" customWidth="1"/>
    <col min="14042" max="14042" width="20" style="586" customWidth="1"/>
    <col min="14043" max="14043" width="21.5703125" style="586" customWidth="1"/>
    <col min="14044" max="14044" width="20.5703125" style="586" customWidth="1"/>
    <col min="14045" max="14045" width="22.28515625" style="586" customWidth="1"/>
    <col min="14046" max="14053" width="0" style="586" hidden="1" customWidth="1"/>
    <col min="14054" max="14055" width="20" style="586" customWidth="1"/>
    <col min="14056" max="14058" width="21" style="586" customWidth="1"/>
    <col min="14059" max="14059" width="30.28515625" style="586" customWidth="1"/>
    <col min="14060" max="14060" width="22" style="586" customWidth="1"/>
    <col min="14061" max="14289" width="11.42578125" style="586"/>
    <col min="14290" max="14290" width="17.5703125" style="586" customWidth="1"/>
    <col min="14291" max="14291" width="13.5703125" style="586" customWidth="1"/>
    <col min="14292" max="14292" width="23.28515625" style="586" customWidth="1"/>
    <col min="14293" max="14293" width="21.28515625" style="586" customWidth="1"/>
    <col min="14294" max="14294" width="5.7109375" style="586" customWidth="1"/>
    <col min="14295" max="14295" width="20.7109375" style="586" customWidth="1"/>
    <col min="14296" max="14296" width="9" style="586" customWidth="1"/>
    <col min="14297" max="14297" width="16.7109375" style="586" bestFit="1" customWidth="1"/>
    <col min="14298" max="14298" width="20" style="586" customWidth="1"/>
    <col min="14299" max="14299" width="21.5703125" style="586" customWidth="1"/>
    <col min="14300" max="14300" width="20.5703125" style="586" customWidth="1"/>
    <col min="14301" max="14301" width="22.28515625" style="586" customWidth="1"/>
    <col min="14302" max="14309" width="0" style="586" hidden="1" customWidth="1"/>
    <col min="14310" max="14311" width="20" style="586" customWidth="1"/>
    <col min="14312" max="14314" width="21" style="586" customWidth="1"/>
    <col min="14315" max="14315" width="30.28515625" style="586" customWidth="1"/>
    <col min="14316" max="14316" width="22" style="586" customWidth="1"/>
    <col min="14317" max="14545" width="11.42578125" style="586"/>
    <col min="14546" max="14546" width="17.5703125" style="586" customWidth="1"/>
    <col min="14547" max="14547" width="13.5703125" style="586" customWidth="1"/>
    <col min="14548" max="14548" width="23.28515625" style="586" customWidth="1"/>
    <col min="14549" max="14549" width="21.28515625" style="586" customWidth="1"/>
    <col min="14550" max="14550" width="5.7109375" style="586" customWidth="1"/>
    <col min="14551" max="14551" width="20.7109375" style="586" customWidth="1"/>
    <col min="14552" max="14552" width="9" style="586" customWidth="1"/>
    <col min="14553" max="14553" width="16.7109375" style="586" bestFit="1" customWidth="1"/>
    <col min="14554" max="14554" width="20" style="586" customWidth="1"/>
    <col min="14555" max="14555" width="21.5703125" style="586" customWidth="1"/>
    <col min="14556" max="14556" width="20.5703125" style="586" customWidth="1"/>
    <col min="14557" max="14557" width="22.28515625" style="586" customWidth="1"/>
    <col min="14558" max="14565" width="0" style="586" hidden="1" customWidth="1"/>
    <col min="14566" max="14567" width="20" style="586" customWidth="1"/>
    <col min="14568" max="14570" width="21" style="586" customWidth="1"/>
    <col min="14571" max="14571" width="30.28515625" style="586" customWidth="1"/>
    <col min="14572" max="14572" width="22" style="586" customWidth="1"/>
    <col min="14573" max="14801" width="11.42578125" style="586"/>
    <col min="14802" max="14802" width="17.5703125" style="586" customWidth="1"/>
    <col min="14803" max="14803" width="13.5703125" style="586" customWidth="1"/>
    <col min="14804" max="14804" width="23.28515625" style="586" customWidth="1"/>
    <col min="14805" max="14805" width="21.28515625" style="586" customWidth="1"/>
    <col min="14806" max="14806" width="5.7109375" style="586" customWidth="1"/>
    <col min="14807" max="14807" width="20.7109375" style="586" customWidth="1"/>
    <col min="14808" max="14808" width="9" style="586" customWidth="1"/>
    <col min="14809" max="14809" width="16.7109375" style="586" bestFit="1" customWidth="1"/>
    <col min="14810" max="14810" width="20" style="586" customWidth="1"/>
    <col min="14811" max="14811" width="21.5703125" style="586" customWidth="1"/>
    <col min="14812" max="14812" width="20.5703125" style="586" customWidth="1"/>
    <col min="14813" max="14813" width="22.28515625" style="586" customWidth="1"/>
    <col min="14814" max="14821" width="0" style="586" hidden="1" customWidth="1"/>
    <col min="14822" max="14823" width="20" style="586" customWidth="1"/>
    <col min="14824" max="14826" width="21" style="586" customWidth="1"/>
    <col min="14827" max="14827" width="30.28515625" style="586" customWidth="1"/>
    <col min="14828" max="14828" width="22" style="586" customWidth="1"/>
    <col min="14829" max="15057" width="11.42578125" style="586"/>
    <col min="15058" max="15058" width="17.5703125" style="586" customWidth="1"/>
    <col min="15059" max="15059" width="13.5703125" style="586" customWidth="1"/>
    <col min="15060" max="15060" width="23.28515625" style="586" customWidth="1"/>
    <col min="15061" max="15061" width="21.28515625" style="586" customWidth="1"/>
    <col min="15062" max="15062" width="5.7109375" style="586" customWidth="1"/>
    <col min="15063" max="15063" width="20.7109375" style="586" customWidth="1"/>
    <col min="15064" max="15064" width="9" style="586" customWidth="1"/>
    <col min="15065" max="15065" width="16.7109375" style="586" bestFit="1" customWidth="1"/>
    <col min="15066" max="15066" width="20" style="586" customWidth="1"/>
    <col min="15067" max="15067" width="21.5703125" style="586" customWidth="1"/>
    <col min="15068" max="15068" width="20.5703125" style="586" customWidth="1"/>
    <col min="15069" max="15069" width="22.28515625" style="586" customWidth="1"/>
    <col min="15070" max="15077" width="0" style="586" hidden="1" customWidth="1"/>
    <col min="15078" max="15079" width="20" style="586" customWidth="1"/>
    <col min="15080" max="15082" width="21" style="586" customWidth="1"/>
    <col min="15083" max="15083" width="30.28515625" style="586" customWidth="1"/>
    <col min="15084" max="15084" width="22" style="586" customWidth="1"/>
    <col min="15085" max="15313" width="11.42578125" style="586"/>
    <col min="15314" max="15314" width="17.5703125" style="586" customWidth="1"/>
    <col min="15315" max="15315" width="13.5703125" style="586" customWidth="1"/>
    <col min="15316" max="15316" width="23.28515625" style="586" customWidth="1"/>
    <col min="15317" max="15317" width="21.28515625" style="586" customWidth="1"/>
    <col min="15318" max="15318" width="5.7109375" style="586" customWidth="1"/>
    <col min="15319" max="15319" width="20.7109375" style="586" customWidth="1"/>
    <col min="15320" max="15320" width="9" style="586" customWidth="1"/>
    <col min="15321" max="15321" width="16.7109375" style="586" bestFit="1" customWidth="1"/>
    <col min="15322" max="15322" width="20" style="586" customWidth="1"/>
    <col min="15323" max="15323" width="21.5703125" style="586" customWidth="1"/>
    <col min="15324" max="15324" width="20.5703125" style="586" customWidth="1"/>
    <col min="15325" max="15325" width="22.28515625" style="586" customWidth="1"/>
    <col min="15326" max="15333" width="0" style="586" hidden="1" customWidth="1"/>
    <col min="15334" max="15335" width="20" style="586" customWidth="1"/>
    <col min="15336" max="15338" width="21" style="586" customWidth="1"/>
    <col min="15339" max="15339" width="30.28515625" style="586" customWidth="1"/>
    <col min="15340" max="15340" width="22" style="586" customWidth="1"/>
    <col min="15341" max="15569" width="11.42578125" style="586"/>
    <col min="15570" max="15570" width="17.5703125" style="586" customWidth="1"/>
    <col min="15571" max="15571" width="13.5703125" style="586" customWidth="1"/>
    <col min="15572" max="15572" width="23.28515625" style="586" customWidth="1"/>
    <col min="15573" max="15573" width="21.28515625" style="586" customWidth="1"/>
    <col min="15574" max="15574" width="5.7109375" style="586" customWidth="1"/>
    <col min="15575" max="15575" width="20.7109375" style="586" customWidth="1"/>
    <col min="15576" max="15576" width="9" style="586" customWidth="1"/>
    <col min="15577" max="15577" width="16.7109375" style="586" bestFit="1" customWidth="1"/>
    <col min="15578" max="15578" width="20" style="586" customWidth="1"/>
    <col min="15579" max="15579" width="21.5703125" style="586" customWidth="1"/>
    <col min="15580" max="15580" width="20.5703125" style="586" customWidth="1"/>
    <col min="15581" max="15581" width="22.28515625" style="586" customWidth="1"/>
    <col min="15582" max="15589" width="0" style="586" hidden="1" customWidth="1"/>
    <col min="15590" max="15591" width="20" style="586" customWidth="1"/>
    <col min="15592" max="15594" width="21" style="586" customWidth="1"/>
    <col min="15595" max="15595" width="30.28515625" style="586" customWidth="1"/>
    <col min="15596" max="15596" width="22" style="586" customWidth="1"/>
    <col min="15597" max="15825" width="11.42578125" style="586"/>
    <col min="15826" max="15826" width="17.5703125" style="586" customWidth="1"/>
    <col min="15827" max="15827" width="13.5703125" style="586" customWidth="1"/>
    <col min="15828" max="15828" width="23.28515625" style="586" customWidth="1"/>
    <col min="15829" max="15829" width="21.28515625" style="586" customWidth="1"/>
    <col min="15830" max="15830" width="5.7109375" style="586" customWidth="1"/>
    <col min="15831" max="15831" width="20.7109375" style="586" customWidth="1"/>
    <col min="15832" max="15832" width="9" style="586" customWidth="1"/>
    <col min="15833" max="15833" width="16.7109375" style="586" bestFit="1" customWidth="1"/>
    <col min="15834" max="15834" width="20" style="586" customWidth="1"/>
    <col min="15835" max="15835" width="21.5703125" style="586" customWidth="1"/>
    <col min="15836" max="15836" width="20.5703125" style="586" customWidth="1"/>
    <col min="15837" max="15837" width="22.28515625" style="586" customWidth="1"/>
    <col min="15838" max="15845" width="0" style="586" hidden="1" customWidth="1"/>
    <col min="15846" max="15847" width="20" style="586" customWidth="1"/>
    <col min="15848" max="15850" width="21" style="586" customWidth="1"/>
    <col min="15851" max="15851" width="30.28515625" style="586" customWidth="1"/>
    <col min="15852" max="15852" width="22" style="586" customWidth="1"/>
    <col min="15853" max="16081" width="11.42578125" style="586"/>
    <col min="16082" max="16082" width="17.5703125" style="586" customWidth="1"/>
    <col min="16083" max="16083" width="13.5703125" style="586" customWidth="1"/>
    <col min="16084" max="16084" width="23.28515625" style="586" customWidth="1"/>
    <col min="16085" max="16085" width="21.28515625" style="586" customWidth="1"/>
    <col min="16086" max="16086" width="5.7109375" style="586" customWidth="1"/>
    <col min="16087" max="16087" width="20.7109375" style="586" customWidth="1"/>
    <col min="16088" max="16088" width="9" style="586" customWidth="1"/>
    <col min="16089" max="16089" width="16.7109375" style="586" bestFit="1" customWidth="1"/>
    <col min="16090" max="16090" width="20" style="586" customWidth="1"/>
    <col min="16091" max="16091" width="21.5703125" style="586" customWidth="1"/>
    <col min="16092" max="16092" width="20.5703125" style="586" customWidth="1"/>
    <col min="16093" max="16093" width="22.28515625" style="586" customWidth="1"/>
    <col min="16094" max="16101" width="0" style="586" hidden="1" customWidth="1"/>
    <col min="16102" max="16103" width="20" style="586" customWidth="1"/>
    <col min="16104" max="16106" width="21" style="586" customWidth="1"/>
    <col min="16107" max="16107" width="30.28515625" style="586" customWidth="1"/>
    <col min="16108" max="16108" width="22" style="586" customWidth="1"/>
    <col min="16109" max="16384" width="11.42578125" style="586"/>
  </cols>
  <sheetData>
    <row r="1" spans="2:20" ht="95.25" customHeight="1" thickBot="1">
      <c r="B1" s="849" t="s">
        <v>322</v>
      </c>
      <c r="C1" s="850"/>
      <c r="D1" s="850"/>
      <c r="E1" s="850"/>
      <c r="F1" s="850"/>
      <c r="G1" s="851"/>
      <c r="H1" s="852"/>
      <c r="I1" s="705"/>
      <c r="J1" s="705"/>
      <c r="K1" s="705"/>
      <c r="L1" s="706"/>
    </row>
    <row r="2" spans="2:20" ht="24" customHeight="1" thickBot="1">
      <c r="B2" s="853" t="s">
        <v>525</v>
      </c>
      <c r="C2" s="854"/>
      <c r="D2" s="854"/>
      <c r="E2" s="854"/>
      <c r="F2" s="854"/>
      <c r="G2" s="854"/>
      <c r="H2" s="854"/>
      <c r="I2" s="854"/>
      <c r="J2" s="854"/>
      <c r="K2" s="854"/>
      <c r="L2" s="855"/>
    </row>
    <row r="3" spans="2:20" ht="24" customHeight="1" thickBot="1">
      <c r="B3" s="862" t="s">
        <v>1</v>
      </c>
      <c r="C3" s="863"/>
      <c r="D3" s="863"/>
      <c r="E3" s="863"/>
      <c r="F3" s="863"/>
      <c r="G3" s="863"/>
      <c r="H3" s="863"/>
      <c r="I3" s="863"/>
      <c r="J3" s="863"/>
      <c r="K3" s="863"/>
      <c r="L3" s="864"/>
    </row>
    <row r="4" spans="2:20" ht="58.15" customHeight="1" thickBot="1">
      <c r="B4" s="869" t="s">
        <v>522</v>
      </c>
      <c r="C4" s="870"/>
      <c r="D4" s="870"/>
      <c r="E4" s="870"/>
      <c r="F4" s="870"/>
      <c r="G4" s="870"/>
      <c r="H4" s="870"/>
      <c r="I4" s="870"/>
      <c r="J4" s="870"/>
      <c r="K4" s="870"/>
      <c r="L4" s="871"/>
    </row>
    <row r="5" spans="2:20" ht="15.75" thickBot="1">
      <c r="B5" s="587"/>
      <c r="L5" s="592"/>
    </row>
    <row r="6" spans="2:20" s="593" customFormat="1" ht="33" customHeight="1" thickBot="1">
      <c r="B6" s="872" t="s">
        <v>323</v>
      </c>
      <c r="C6" s="873"/>
      <c r="D6" s="873"/>
      <c r="E6" s="873"/>
      <c r="F6" s="873"/>
      <c r="G6" s="873"/>
      <c r="H6" s="873"/>
      <c r="I6" s="873"/>
      <c r="J6" s="873"/>
      <c r="K6" s="873"/>
      <c r="L6" s="874"/>
    </row>
    <row r="7" spans="2:20" ht="15" customHeight="1">
      <c r="B7" s="865" t="s">
        <v>2</v>
      </c>
      <c r="C7" s="867" t="s">
        <v>3</v>
      </c>
      <c r="D7" s="867"/>
      <c r="E7" s="867"/>
      <c r="F7" s="867"/>
      <c r="G7" s="867"/>
      <c r="H7" s="875" t="s">
        <v>324</v>
      </c>
      <c r="I7" s="826" t="s">
        <v>325</v>
      </c>
      <c r="J7" s="826" t="s">
        <v>326</v>
      </c>
      <c r="K7" s="875" t="s">
        <v>327</v>
      </c>
      <c r="L7" s="877" t="s">
        <v>328</v>
      </c>
    </row>
    <row r="8" spans="2:20" ht="15.75" customHeight="1" thickBot="1">
      <c r="B8" s="866"/>
      <c r="C8" s="868"/>
      <c r="D8" s="868"/>
      <c r="E8" s="868"/>
      <c r="F8" s="868"/>
      <c r="G8" s="868"/>
      <c r="H8" s="876"/>
      <c r="I8" s="827"/>
      <c r="J8" s="827"/>
      <c r="K8" s="876"/>
      <c r="L8" s="878"/>
    </row>
    <row r="9" spans="2:20" s="593" customFormat="1" ht="22.9" customHeight="1">
      <c r="B9" s="831" t="s">
        <v>329</v>
      </c>
      <c r="C9" s="832"/>
      <c r="D9" s="832"/>
      <c r="E9" s="832"/>
      <c r="F9" s="832"/>
      <c r="G9" s="832"/>
      <c r="H9" s="832"/>
      <c r="I9" s="832"/>
      <c r="J9" s="832"/>
      <c r="K9" s="832"/>
      <c r="L9" s="833"/>
    </row>
    <row r="10" spans="2:20" s="593" customFormat="1" ht="71.25" customHeight="1">
      <c r="B10" s="532">
        <v>1.1000000000000001</v>
      </c>
      <c r="C10" s="834" t="s">
        <v>330</v>
      </c>
      <c r="D10" s="835"/>
      <c r="E10" s="835"/>
      <c r="F10" s="835"/>
      <c r="G10" s="836"/>
      <c r="H10" s="129" t="s">
        <v>331</v>
      </c>
      <c r="I10" s="130">
        <f>+'PRESUPUESTO OFICIAL 2026 TH'!I10+'PRESUPUESTO OFICIAL 2026 SALUD'!I10</f>
        <v>40</v>
      </c>
      <c r="J10" s="130">
        <v>2</v>
      </c>
      <c r="K10" s="131">
        <f>+'APU 1,1'!G46</f>
        <v>210173.43640018188</v>
      </c>
      <c r="L10" s="655">
        <f>K10*I10*J10</f>
        <v>16813874.912014551</v>
      </c>
      <c r="N10" s="594"/>
      <c r="O10" s="595"/>
      <c r="P10" s="595"/>
      <c r="Q10" s="594"/>
      <c r="R10" s="594"/>
      <c r="S10" s="594"/>
      <c r="T10" s="594"/>
    </row>
    <row r="11" spans="2:20" s="593" customFormat="1" ht="71.25" customHeight="1">
      <c r="B11" s="532">
        <v>1.1000000000000001</v>
      </c>
      <c r="C11" s="879" t="s">
        <v>330</v>
      </c>
      <c r="D11" s="880"/>
      <c r="E11" s="880"/>
      <c r="F11" s="880"/>
      <c r="G11" s="881"/>
      <c r="H11" s="129" t="s">
        <v>331</v>
      </c>
      <c r="I11" s="130">
        <f>+'PRESUPUESTO OFICIAL 2026 TH'!I11+'PRESUPUESTO OFICIAL 2026 SALUD'!I11</f>
        <v>3</v>
      </c>
      <c r="J11" s="130">
        <f>+'PRESUPUESTO OFICIAL 2026 SALUD'!J11</f>
        <v>10</v>
      </c>
      <c r="K11" s="131">
        <f>+K10</f>
        <v>210173.43640018188</v>
      </c>
      <c r="L11" s="655">
        <f>K11*I11*J11</f>
        <v>6305203.0920054568</v>
      </c>
      <c r="N11" s="594"/>
      <c r="O11" s="595"/>
      <c r="P11" s="595"/>
      <c r="Q11" s="594"/>
      <c r="R11" s="594"/>
      <c r="S11" s="594"/>
      <c r="T11" s="594"/>
    </row>
    <row r="12" spans="2:20" s="593" customFormat="1" ht="81.599999999999994" customHeight="1">
      <c r="B12" s="532">
        <v>1.2</v>
      </c>
      <c r="C12" s="856" t="s">
        <v>332</v>
      </c>
      <c r="D12" s="857"/>
      <c r="E12" s="857"/>
      <c r="F12" s="857"/>
      <c r="G12" s="858"/>
      <c r="H12" s="129" t="s">
        <v>331</v>
      </c>
      <c r="I12" s="130">
        <f>+'PRESUPUESTO OFICIAL 2026 TH'!I12+'PRESUPUESTO OFICIAL 2026 SALUD'!I12</f>
        <v>8</v>
      </c>
      <c r="J12" s="130">
        <f>+'PRESUPUESTO OFICIAL 2026 TH'!J12</f>
        <v>2</v>
      </c>
      <c r="K12" s="131">
        <f>+'APU 1,2'!G46</f>
        <v>174221.65039182582</v>
      </c>
      <c r="L12" s="139">
        <f>K12*I12*J12</f>
        <v>2787546.4062692132</v>
      </c>
      <c r="O12" s="594"/>
      <c r="P12" s="594"/>
      <c r="Q12" s="594"/>
      <c r="R12" s="594"/>
    </row>
    <row r="13" spans="2:20" s="593" customFormat="1" ht="83.45" customHeight="1">
      <c r="B13" s="532">
        <v>1.3</v>
      </c>
      <c r="C13" s="856" t="s">
        <v>333</v>
      </c>
      <c r="D13" s="857"/>
      <c r="E13" s="857"/>
      <c r="F13" s="857"/>
      <c r="G13" s="858"/>
      <c r="H13" s="129" t="s">
        <v>331</v>
      </c>
      <c r="I13" s="130">
        <f>+'PRESUPUESTO OFICIAL 2026 TH'!I13+'PRESUPUESTO OFICIAL 2026 SALUD'!I13</f>
        <v>3</v>
      </c>
      <c r="J13" s="130">
        <f>+'PRESUPUESTO OFICIAL 2026 TH'!J13</f>
        <v>2</v>
      </c>
      <c r="K13" s="131">
        <f>+'APU 1,3'!G45</f>
        <v>181269.3851918258</v>
      </c>
      <c r="L13" s="139">
        <f t="shared" ref="L13:L22" si="0">K13*I13*J13</f>
        <v>1087616.3111509548</v>
      </c>
      <c r="O13" s="594"/>
      <c r="P13" s="594"/>
      <c r="Q13" s="594"/>
      <c r="R13" s="594"/>
    </row>
    <row r="14" spans="2:20" s="593" customFormat="1" ht="84.6" customHeight="1">
      <c r="B14" s="532">
        <v>1.4</v>
      </c>
      <c r="C14" s="856" t="s">
        <v>334</v>
      </c>
      <c r="D14" s="857"/>
      <c r="E14" s="857"/>
      <c r="F14" s="857"/>
      <c r="G14" s="858"/>
      <c r="H14" s="129" t="s">
        <v>331</v>
      </c>
      <c r="I14" s="130">
        <f>+'PRESUPUESTO OFICIAL 2026 TH'!I14+'PRESUPUESTO OFICIAL 2026 SALUD'!I14</f>
        <v>2</v>
      </c>
      <c r="J14" s="130">
        <f>+'PRESUPUESTO OFICIAL 2026 TH'!J14</f>
        <v>3</v>
      </c>
      <c r="K14" s="131">
        <f>+'APU 1,4'!G45</f>
        <v>196860.00086684857</v>
      </c>
      <c r="L14" s="139">
        <f t="shared" si="0"/>
        <v>1181160.0052010915</v>
      </c>
      <c r="O14" s="594"/>
      <c r="P14" s="594"/>
      <c r="Q14" s="594"/>
      <c r="R14" s="594"/>
    </row>
    <row r="15" spans="2:20" s="593" customFormat="1" ht="82.9" customHeight="1">
      <c r="B15" s="532">
        <v>1.5</v>
      </c>
      <c r="C15" s="859" t="s">
        <v>335</v>
      </c>
      <c r="D15" s="860"/>
      <c r="E15" s="860"/>
      <c r="F15" s="860"/>
      <c r="G15" s="861"/>
      <c r="H15" s="129" t="s">
        <v>331</v>
      </c>
      <c r="I15" s="130">
        <f>+'PRESUPUESTO OFICIAL 2026 TH'!I15+'PRESUPUESTO OFICIAL 2026 SALUD'!I15</f>
        <v>6</v>
      </c>
      <c r="J15" s="130">
        <f>+'PRESUPUESTO OFICIAL 2026 SALUD'!J15</f>
        <v>10</v>
      </c>
      <c r="K15" s="131">
        <f>+'APU 1,5'!G44</f>
        <v>152961.66005570712</v>
      </c>
      <c r="L15" s="139">
        <f>K15*I15*J15</f>
        <v>9177699.6033424288</v>
      </c>
      <c r="O15" s="594"/>
      <c r="P15" s="594"/>
      <c r="Q15" s="594"/>
      <c r="R15" s="594"/>
    </row>
    <row r="16" spans="2:20" s="593" customFormat="1" ht="88.15" customHeight="1">
      <c r="B16" s="532">
        <v>1.6</v>
      </c>
      <c r="C16" s="837" t="s">
        <v>336</v>
      </c>
      <c r="D16" s="838"/>
      <c r="E16" s="838"/>
      <c r="F16" s="838"/>
      <c r="G16" s="839"/>
      <c r="H16" s="129" t="s">
        <v>331</v>
      </c>
      <c r="I16" s="130">
        <f>+'PRESUPUESTO OFICIAL 2026 TH'!I16+'PRESUPUESTO OFICIAL 2026 SALUD'!I16</f>
        <v>57</v>
      </c>
      <c r="J16" s="130">
        <f>+'PRESUPUESTO OFICIAL 2026 TH'!J16</f>
        <v>6</v>
      </c>
      <c r="K16" s="131">
        <f>+'APU 1,6'!G46</f>
        <v>104191.29970009094</v>
      </c>
      <c r="L16" s="139">
        <f t="shared" si="0"/>
        <v>35633424.497431099</v>
      </c>
    </row>
    <row r="17" spans="2:12" s="593" customFormat="1" ht="82.15" customHeight="1">
      <c r="B17" s="532">
        <v>1.7</v>
      </c>
      <c r="C17" s="837" t="s">
        <v>337</v>
      </c>
      <c r="D17" s="838"/>
      <c r="E17" s="838"/>
      <c r="F17" s="838"/>
      <c r="G17" s="839"/>
      <c r="H17" s="129" t="s">
        <v>331</v>
      </c>
      <c r="I17" s="130">
        <f>+'PRESUPUESTO OFICIAL 2026 TH'!I17+'PRESUPUESTO OFICIAL 2026 SALUD'!I17</f>
        <v>63</v>
      </c>
      <c r="J17" s="130">
        <f>+'PRESUPUESTO OFICIAL 2026 TH'!J17</f>
        <v>6</v>
      </c>
      <c r="K17" s="131">
        <f>+'APU 1,7'!G46</f>
        <v>128489.81904178034</v>
      </c>
      <c r="L17" s="139">
        <f>K17*I17*J17</f>
        <v>48569151.597792968</v>
      </c>
    </row>
    <row r="18" spans="2:12" s="593" customFormat="1" ht="64.150000000000006" customHeight="1">
      <c r="B18" s="532">
        <v>1.8</v>
      </c>
      <c r="C18" s="837" t="s">
        <v>502</v>
      </c>
      <c r="D18" s="838"/>
      <c r="E18" s="838"/>
      <c r="F18" s="838"/>
      <c r="G18" s="839"/>
      <c r="H18" s="129" t="s">
        <v>331</v>
      </c>
      <c r="I18" s="130">
        <f>+'PRESUPUESTO OFICIAL 2026 TH'!I18+'PRESUPUESTO OFICIAL 2026 SALUD'!I18</f>
        <v>15</v>
      </c>
      <c r="J18" s="130">
        <f>+'PRESUPUESTO OFICIAL 2026 TH'!J18</f>
        <v>1</v>
      </c>
      <c r="K18" s="131">
        <f>+'APU 1,8'!G45</f>
        <v>634047.40536834928</v>
      </c>
      <c r="L18" s="139">
        <f t="shared" si="0"/>
        <v>9510711.0805252399</v>
      </c>
    </row>
    <row r="19" spans="2:12" s="659" customFormat="1" ht="64.900000000000006" customHeight="1">
      <c r="B19" s="656">
        <v>1.9</v>
      </c>
      <c r="C19" s="828" t="s">
        <v>505</v>
      </c>
      <c r="D19" s="829"/>
      <c r="E19" s="829"/>
      <c r="F19" s="829"/>
      <c r="G19" s="830"/>
      <c r="H19" s="657" t="s">
        <v>331</v>
      </c>
      <c r="I19" s="658">
        <f>+'PRESUPUESTO OFICIAL 2026 TH'!I19+'PRESUPUESTO OFICIAL 2026 SALUD'!I19</f>
        <v>4</v>
      </c>
      <c r="J19" s="658">
        <f>+'PRESUPUESTO OFICIAL 2026 TH'!J19</f>
        <v>2</v>
      </c>
      <c r="K19" s="563">
        <f>+'APU 1,9'!G44</f>
        <v>175499.6940501364</v>
      </c>
      <c r="L19" s="655">
        <f t="shared" si="0"/>
        <v>1403997.5524010912</v>
      </c>
    </row>
    <row r="20" spans="2:12" s="593" customFormat="1" ht="82.9" customHeight="1">
      <c r="B20" s="542">
        <v>1.1000000000000001</v>
      </c>
      <c r="C20" s="882" t="s">
        <v>338</v>
      </c>
      <c r="D20" s="883"/>
      <c r="E20" s="883"/>
      <c r="F20" s="883"/>
      <c r="G20" s="884"/>
      <c r="H20" s="129" t="s">
        <v>331</v>
      </c>
      <c r="I20" s="130">
        <f>+'PRESUPUESTO OFICIAL 2026 TH'!I20+'PRESUPUESTO OFICIAL 2026 SALUD'!I20</f>
        <v>6</v>
      </c>
      <c r="J20" s="130">
        <f>+'PRESUPUESTO OFICIAL 2026 SALUD'!J20</f>
        <v>10</v>
      </c>
      <c r="K20" s="131">
        <f>+'APU 1.10'!G46</f>
        <v>309082.84259492945</v>
      </c>
      <c r="L20" s="139">
        <f>K20*I20*J20</f>
        <v>18544970.555695765</v>
      </c>
    </row>
    <row r="21" spans="2:12" s="593" customFormat="1" ht="92.45" customHeight="1">
      <c r="B21" s="542">
        <v>1.1100000000000001</v>
      </c>
      <c r="C21" s="882" t="s">
        <v>339</v>
      </c>
      <c r="D21" s="883"/>
      <c r="E21" s="883"/>
      <c r="F21" s="883"/>
      <c r="G21" s="884"/>
      <c r="H21" s="129" t="s">
        <v>340</v>
      </c>
      <c r="I21" s="130">
        <f>+'PRESUPUESTO OFICIAL 2026 TH'!I21+'PRESUPUESTO OFICIAL 2026 SALUD'!I21</f>
        <v>14</v>
      </c>
      <c r="J21" s="130">
        <f>+'PRESUPUESTO OFICIAL 2026 SALUD'!J20</f>
        <v>10</v>
      </c>
      <c r="K21" s="131">
        <f>'APU 1,11'!G46</f>
        <v>104191.29970009094</v>
      </c>
      <c r="L21" s="139">
        <f t="shared" si="0"/>
        <v>14586781.958012732</v>
      </c>
    </row>
    <row r="22" spans="2:12" s="593" customFormat="1" ht="59.45" hidden="1" customHeight="1">
      <c r="B22" s="542">
        <v>1.1200000000000001</v>
      </c>
      <c r="C22" s="894" t="s">
        <v>341</v>
      </c>
      <c r="D22" s="895"/>
      <c r="E22" s="895"/>
      <c r="F22" s="895"/>
      <c r="G22" s="896"/>
      <c r="H22" s="129" t="s">
        <v>340</v>
      </c>
      <c r="I22" s="130">
        <v>0</v>
      </c>
      <c r="J22" s="130">
        <v>0</v>
      </c>
      <c r="K22" s="131">
        <f>5625000/2</f>
        <v>2812500</v>
      </c>
      <c r="L22" s="139">
        <f t="shared" si="0"/>
        <v>0</v>
      </c>
    </row>
    <row r="23" spans="2:12" s="593" customFormat="1" ht="59.45" customHeight="1">
      <c r="B23" s="542" t="s">
        <v>342</v>
      </c>
      <c r="C23" s="894" t="s">
        <v>343</v>
      </c>
      <c r="D23" s="895"/>
      <c r="E23" s="895"/>
      <c r="F23" s="895"/>
      <c r="G23" s="896"/>
      <c r="H23" s="129" t="s">
        <v>340</v>
      </c>
      <c r="I23" s="130">
        <f>+'PRESUPUESTO OFICIAL 2026 TH'!I23+'PRESUPUESTO OFICIAL 2026 SALUD'!I23</f>
        <v>6</v>
      </c>
      <c r="J23" s="130">
        <v>6</v>
      </c>
      <c r="K23" s="131">
        <f>+'APU 1,12.1'!G47</f>
        <v>687233.40561039094</v>
      </c>
      <c r="L23" s="139">
        <f>K23*I23*J23</f>
        <v>24740402.601974074</v>
      </c>
    </row>
    <row r="24" spans="2:12" s="593" customFormat="1" ht="63.75" customHeight="1">
      <c r="B24" s="542">
        <v>1.1299999999999999</v>
      </c>
      <c r="C24" s="891" t="s">
        <v>344</v>
      </c>
      <c r="D24" s="892"/>
      <c r="E24" s="892"/>
      <c r="F24" s="892"/>
      <c r="G24" s="893"/>
      <c r="H24" s="129" t="s">
        <v>340</v>
      </c>
      <c r="I24" s="130">
        <f>+'PRESUPUESTO OFICIAL 2026 TH'!I24+'PRESUPUESTO OFICIAL 2026 SALUD'!I24</f>
        <v>4</v>
      </c>
      <c r="J24" s="130">
        <f>+'PRESUPUESTO OFICIAL 2026 SALUD'!J22</f>
        <v>10</v>
      </c>
      <c r="K24" s="131">
        <f>'APU 1,13'!G46</f>
        <v>138817.6940501364</v>
      </c>
      <c r="L24" s="139">
        <f>K24*I24*J24</f>
        <v>5552707.7620054558</v>
      </c>
    </row>
    <row r="25" spans="2:12" s="593" customFormat="1" ht="22.15" customHeight="1">
      <c r="B25" s="128" t="s">
        <v>345</v>
      </c>
      <c r="C25" s="132"/>
      <c r="D25" s="133"/>
      <c r="E25" s="133"/>
      <c r="F25" s="133"/>
      <c r="G25" s="134"/>
      <c r="H25" s="135"/>
      <c r="I25" s="130"/>
      <c r="J25" s="130"/>
      <c r="K25" s="136"/>
      <c r="L25" s="140">
        <f>SUM(L10:L24)</f>
        <v>195895247.9358221</v>
      </c>
    </row>
    <row r="26" spans="2:12" s="593" customFormat="1" ht="22.15" customHeight="1">
      <c r="B26" s="817" t="s">
        <v>346</v>
      </c>
      <c r="C26" s="818"/>
      <c r="D26" s="818"/>
      <c r="E26" s="818"/>
      <c r="F26" s="818"/>
      <c r="G26" s="818"/>
      <c r="H26" s="818"/>
      <c r="I26" s="818"/>
      <c r="J26" s="818"/>
      <c r="K26" s="818"/>
      <c r="L26" s="819"/>
    </row>
    <row r="27" spans="2:12" s="593" customFormat="1" ht="49.9" customHeight="1">
      <c r="B27" s="533">
        <v>2.1</v>
      </c>
      <c r="C27" s="888" t="s">
        <v>347</v>
      </c>
      <c r="D27" s="889"/>
      <c r="E27" s="889"/>
      <c r="F27" s="889"/>
      <c r="G27" s="890"/>
      <c r="H27" s="129" t="s">
        <v>340</v>
      </c>
      <c r="I27" s="130">
        <f>+'PRESUPUESTO OFICIAL 2026 TH'!I27+'PRESUPUESTO OFICIAL 2026 SALUD'!I27</f>
        <v>14</v>
      </c>
      <c r="J27" s="130">
        <f>+'PRESUPUESTO OFICIAL 2026 TH'!J27</f>
        <v>2</v>
      </c>
      <c r="K27" s="131">
        <f>+'APU 2,1'!G45</f>
        <v>312527.28652916668</v>
      </c>
      <c r="L27" s="139">
        <f>K27*I27*J27</f>
        <v>8750764.0228166673</v>
      </c>
    </row>
    <row r="28" spans="2:12" s="593" customFormat="1" ht="53.45" customHeight="1">
      <c r="B28" s="533">
        <v>2.2000000000000002</v>
      </c>
      <c r="C28" s="885" t="s">
        <v>348</v>
      </c>
      <c r="D28" s="886"/>
      <c r="E28" s="886"/>
      <c r="F28" s="886"/>
      <c r="G28" s="887"/>
      <c r="H28" s="113" t="s">
        <v>14</v>
      </c>
      <c r="I28" s="130">
        <f>+'PRESUPUESTO OFICIAL 2026 TH'!I28+'PRESUPUESTO OFICIAL 2026 SALUD'!I28</f>
        <v>1100</v>
      </c>
      <c r="J28" s="130">
        <f>+'PRESUPUESTO OFICIAL 2026 TH'!J28</f>
        <v>1</v>
      </c>
      <c r="K28" s="131">
        <f>+'APU 2,2'!G45</f>
        <v>13849.96940501364</v>
      </c>
      <c r="L28" s="139">
        <f>K28*I28*J28</f>
        <v>15234966.345515005</v>
      </c>
    </row>
    <row r="29" spans="2:12" s="593" customFormat="1" ht="21.6" customHeight="1">
      <c r="B29" s="128" t="s">
        <v>349</v>
      </c>
      <c r="C29" s="132"/>
      <c r="D29" s="133"/>
      <c r="E29" s="133"/>
      <c r="F29" s="133"/>
      <c r="G29" s="134"/>
      <c r="H29" s="135"/>
      <c r="I29" s="130"/>
      <c r="J29" s="130"/>
      <c r="K29" s="136"/>
      <c r="L29" s="138">
        <f>SUM(L27:L28)</f>
        <v>23985730.368331671</v>
      </c>
    </row>
    <row r="30" spans="2:12" s="593" customFormat="1" ht="22.15" customHeight="1">
      <c r="B30" s="817" t="s">
        <v>350</v>
      </c>
      <c r="C30" s="818"/>
      <c r="D30" s="818"/>
      <c r="E30" s="818"/>
      <c r="F30" s="818"/>
      <c r="G30" s="818"/>
      <c r="H30" s="818"/>
      <c r="I30" s="818"/>
      <c r="J30" s="818"/>
      <c r="K30" s="818"/>
      <c r="L30" s="819" t="e">
        <f>K30/I30</f>
        <v>#DIV/0!</v>
      </c>
    </row>
    <row r="31" spans="2:12" s="593" customFormat="1" ht="78" customHeight="1">
      <c r="B31" s="534">
        <v>3.1</v>
      </c>
      <c r="C31" s="814" t="s">
        <v>351</v>
      </c>
      <c r="D31" s="815"/>
      <c r="E31" s="815"/>
      <c r="F31" s="815"/>
      <c r="G31" s="816"/>
      <c r="H31" s="129" t="s">
        <v>331</v>
      </c>
      <c r="I31" s="130">
        <f>+'PRESUPUESTO OFICIAL 2026 TH'!I31+'PRESUPUESTO OFICIAL 2026 SALUD'!I31</f>
        <v>2</v>
      </c>
      <c r="J31" s="130">
        <f>+'PRESUPUESTO OFICIAL 2026 TH'!J31</f>
        <v>2</v>
      </c>
      <c r="K31" s="131">
        <f>+'APU 3,1'!$G$45</f>
        <v>141695.02738346974</v>
      </c>
      <c r="L31" s="399">
        <f>K31*I31*J31</f>
        <v>566780.10953387897</v>
      </c>
    </row>
    <row r="32" spans="2:12" s="593" customFormat="1" ht="87" customHeight="1">
      <c r="B32" s="534">
        <v>3.2</v>
      </c>
      <c r="C32" s="814" t="s">
        <v>352</v>
      </c>
      <c r="D32" s="815"/>
      <c r="E32" s="815"/>
      <c r="F32" s="815"/>
      <c r="G32" s="816"/>
      <c r="H32" s="129" t="s">
        <v>331</v>
      </c>
      <c r="I32" s="130">
        <f>+'PRESUPUESTO OFICIAL 2026 TH'!I32+'PRESUPUESTO OFICIAL 2026 SALUD'!I32</f>
        <v>6</v>
      </c>
      <c r="J32" s="130">
        <f>+'PRESUPUESTO OFICIAL 2026 TH'!J32</f>
        <v>2</v>
      </c>
      <c r="K32" s="131">
        <f>+'APU 3,2'!G45</f>
        <v>233647.40536834925</v>
      </c>
      <c r="L32" s="399">
        <f t="shared" ref="L32:L36" si="1">K32*I32*J32</f>
        <v>2803768.8644201909</v>
      </c>
    </row>
    <row r="33" spans="2:12" s="593" customFormat="1" ht="79.900000000000006" customHeight="1">
      <c r="B33" s="534">
        <v>3.3</v>
      </c>
      <c r="C33" s="814" t="s">
        <v>353</v>
      </c>
      <c r="D33" s="815"/>
      <c r="E33" s="815"/>
      <c r="F33" s="815"/>
      <c r="G33" s="816"/>
      <c r="H33" s="129" t="s">
        <v>331</v>
      </c>
      <c r="I33" s="130">
        <f>+'PRESUPUESTO OFICIAL 2026 TH'!I33+'PRESUPUESTO OFICIAL 2026 SALUD'!I33</f>
        <v>28</v>
      </c>
      <c r="J33" s="130">
        <f>+'PRESUPUESTO OFICIAL 2026 TH'!J33</f>
        <v>2</v>
      </c>
      <c r="K33" s="131">
        <f>+'APU 3,3'!G45</f>
        <v>90139.796033424282</v>
      </c>
      <c r="L33" s="399">
        <f t="shared" si="1"/>
        <v>5047828.5778717594</v>
      </c>
    </row>
    <row r="34" spans="2:12" s="593" customFormat="1" ht="76.900000000000006" customHeight="1">
      <c r="B34" s="534">
        <v>3.4</v>
      </c>
      <c r="C34" s="814" t="s">
        <v>354</v>
      </c>
      <c r="D34" s="815"/>
      <c r="E34" s="815"/>
      <c r="F34" s="815"/>
      <c r="G34" s="816"/>
      <c r="H34" s="129" t="s">
        <v>331</v>
      </c>
      <c r="I34" s="130">
        <f>+'PRESUPUESTO OFICIAL 2026 TH'!I34+'PRESUPUESTO OFICIAL 2026 SALUD'!I34</f>
        <v>8</v>
      </c>
      <c r="J34" s="130">
        <f>+'PRESUPUESTO OFICIAL 2026 TH'!J34</f>
        <v>4</v>
      </c>
      <c r="K34" s="131">
        <f>+'APU 3,4'!G45</f>
        <v>120309.74504178035</v>
      </c>
      <c r="L34" s="399">
        <f t="shared" si="1"/>
        <v>3849911.8413369711</v>
      </c>
    </row>
    <row r="35" spans="2:12" s="593" customFormat="1" ht="52.5" customHeight="1">
      <c r="B35" s="534">
        <v>3.5</v>
      </c>
      <c r="C35" s="823" t="s">
        <v>355</v>
      </c>
      <c r="D35" s="824"/>
      <c r="E35" s="824"/>
      <c r="F35" s="824"/>
      <c r="G35" s="825"/>
      <c r="H35" s="540" t="s">
        <v>340</v>
      </c>
      <c r="I35" s="541">
        <f>+'PRESUPUESTO OFICIAL 2026 TH'!I35+'PRESUPUESTO OFICIAL 2026 SALUD'!I35</f>
        <v>1</v>
      </c>
      <c r="J35" s="541">
        <f>+'PRESUPUESTO OFICIAL 2026 SALUD'!J35</f>
        <v>2</v>
      </c>
      <c r="K35" s="585">
        <f>'APU 3,5'!G45</f>
        <v>264673.29701909958</v>
      </c>
      <c r="L35" s="399">
        <f t="shared" si="1"/>
        <v>529346.59403819917</v>
      </c>
    </row>
    <row r="36" spans="2:12" s="593" customFormat="1" ht="64.5" customHeight="1">
      <c r="B36" s="534">
        <v>3.6</v>
      </c>
      <c r="C36" s="814" t="s">
        <v>356</v>
      </c>
      <c r="D36" s="815"/>
      <c r="E36" s="815"/>
      <c r="F36" s="815"/>
      <c r="G36" s="816"/>
      <c r="H36" s="540" t="s">
        <v>340</v>
      </c>
      <c r="I36" s="541">
        <f>+'PRESUPUESTO OFICIAL 2026 TH'!I36+'PRESUPUESTO OFICIAL 2026 SALUD'!I36</f>
        <v>1</v>
      </c>
      <c r="J36" s="541">
        <f>+'PRESUPUESTO OFICIAL 2026 TH'!J36</f>
        <v>2</v>
      </c>
      <c r="K36" s="585">
        <f>'APU 3,6'!G45</f>
        <v>134279.6940501364</v>
      </c>
      <c r="L36" s="399">
        <f t="shared" si="1"/>
        <v>268559.3881002728</v>
      </c>
    </row>
    <row r="37" spans="2:12" s="593" customFormat="1" ht="21.6" customHeight="1">
      <c r="B37" s="400" t="s">
        <v>357</v>
      </c>
      <c r="C37" s="401"/>
      <c r="D37" s="402"/>
      <c r="E37" s="402"/>
      <c r="F37" s="402"/>
      <c r="G37" s="403"/>
      <c r="H37" s="404"/>
      <c r="I37" s="405"/>
      <c r="J37" s="405"/>
      <c r="K37" s="406"/>
      <c r="L37" s="407">
        <f>SUM(L31:L36)</f>
        <v>13066195.375301272</v>
      </c>
    </row>
    <row r="38" spans="2:12" s="593" customFormat="1" ht="22.15" customHeight="1">
      <c r="B38" s="817" t="s">
        <v>358</v>
      </c>
      <c r="C38" s="818"/>
      <c r="D38" s="818"/>
      <c r="E38" s="818"/>
      <c r="F38" s="818"/>
      <c r="G38" s="818"/>
      <c r="H38" s="818"/>
      <c r="I38" s="818"/>
      <c r="J38" s="818"/>
      <c r="K38" s="818"/>
      <c r="L38" s="819" t="e">
        <f>K38/I38</f>
        <v>#DIV/0!</v>
      </c>
    </row>
    <row r="39" spans="2:12" s="593" customFormat="1" ht="63.6" hidden="1" customHeight="1">
      <c r="B39" s="647">
        <v>4.0999999999999996</v>
      </c>
      <c r="C39" s="820" t="s">
        <v>359</v>
      </c>
      <c r="D39" s="821"/>
      <c r="E39" s="821"/>
      <c r="F39" s="821"/>
      <c r="G39" s="822"/>
      <c r="H39" s="644" t="s">
        <v>331</v>
      </c>
      <c r="I39" s="645">
        <f>+'PRESUPUESTO OFICIAL 2026 TH'!I39+'PRESUPUESTO OFICIAL 2026 SALUD'!I39</f>
        <v>0</v>
      </c>
      <c r="J39" s="648">
        <f>+'PRESUPUESTO OFICIAL 2026 TH'!J39</f>
        <v>1</v>
      </c>
      <c r="K39" s="646">
        <f>'APU 4.1'!G45</f>
        <v>936547.40536834928</v>
      </c>
      <c r="L39" s="649">
        <f>K39*I39*J39</f>
        <v>0</v>
      </c>
    </row>
    <row r="40" spans="2:12" s="593" customFormat="1" ht="51.6" hidden="1" customHeight="1">
      <c r="B40" s="647">
        <v>4.2</v>
      </c>
      <c r="C40" s="820" t="s">
        <v>360</v>
      </c>
      <c r="D40" s="821"/>
      <c r="E40" s="821"/>
      <c r="F40" s="821"/>
      <c r="G40" s="822"/>
      <c r="H40" s="644" t="s">
        <v>331</v>
      </c>
      <c r="I40" s="645">
        <f>+'PRESUPUESTO OFICIAL 2026 TH'!I40+'PRESUPUESTO OFICIAL 2026 SALUD'!I40</f>
        <v>0</v>
      </c>
      <c r="J40" s="648">
        <f>+'PRESUPUESTO OFICIAL 2026 TH'!J40</f>
        <v>1</v>
      </c>
      <c r="K40" s="646">
        <f>'APU 4.2'!G45</f>
        <v>729047.40536834928</v>
      </c>
      <c r="L40" s="649">
        <f t="shared" ref="L40:L50" si="2">K40*I40*J40</f>
        <v>0</v>
      </c>
    </row>
    <row r="41" spans="2:12" s="593" customFormat="1" ht="79.900000000000006" customHeight="1">
      <c r="B41" s="534" t="s">
        <v>30</v>
      </c>
      <c r="C41" s="823" t="s">
        <v>361</v>
      </c>
      <c r="D41" s="824"/>
      <c r="E41" s="824"/>
      <c r="F41" s="824"/>
      <c r="G41" s="825"/>
      <c r="H41" s="129" t="s">
        <v>229</v>
      </c>
      <c r="I41" s="130">
        <f>+'PRESUPUESTO OFICIAL 2026 TH'!I41+'PRESUPUESTO OFICIAL 2026 SALUD'!I41</f>
        <v>2242.2531800000002</v>
      </c>
      <c r="J41" s="538">
        <f>+'PRESUPUESTO OFICIAL 2026 TH'!J41</f>
        <v>1</v>
      </c>
      <c r="K41" s="131">
        <f>'APU 4.1.'!G45</f>
        <v>112955.40901671213</v>
      </c>
      <c r="L41" s="399">
        <f t="shared" si="2"/>
        <v>253274625.06592348</v>
      </c>
    </row>
    <row r="42" spans="2:12" s="593" customFormat="1" ht="76.900000000000006" customHeight="1">
      <c r="B42" s="534" t="s">
        <v>506</v>
      </c>
      <c r="C42" s="814" t="s">
        <v>362</v>
      </c>
      <c r="D42" s="815"/>
      <c r="E42" s="815"/>
      <c r="F42" s="815"/>
      <c r="G42" s="816"/>
      <c r="H42" s="129" t="s">
        <v>331</v>
      </c>
      <c r="I42" s="130">
        <f>+'PRESUPUESTO OFICIAL 2026 TH'!I42+'PRESUPUESTO OFICIAL 2026 SALUD'!I42</f>
        <v>1</v>
      </c>
      <c r="J42" s="130">
        <f>+'PRESUPUESTO OFICIAL 2026 TH'!J42</f>
        <v>1</v>
      </c>
      <c r="K42" s="550">
        <f>'APU 4.2.'!G45</f>
        <v>2737203.4900835608</v>
      </c>
      <c r="L42" s="399">
        <f t="shared" si="2"/>
        <v>2737203.4900835608</v>
      </c>
    </row>
    <row r="43" spans="2:12" s="643" customFormat="1" ht="64.900000000000006" hidden="1" customHeight="1">
      <c r="B43" s="647">
        <v>4.5</v>
      </c>
      <c r="C43" s="820" t="s">
        <v>363</v>
      </c>
      <c r="D43" s="821"/>
      <c r="E43" s="821"/>
      <c r="F43" s="821"/>
      <c r="G43" s="822"/>
      <c r="H43" s="650" t="s">
        <v>331</v>
      </c>
      <c r="I43" s="651">
        <f>+'PRESUPUESTO OFICIAL 2026 TH'!I43+'PRESUPUESTO OFICIAL 2026 SALUD'!I43</f>
        <v>0</v>
      </c>
      <c r="J43" s="651">
        <f>+'PRESUPUESTO OFICIAL 2026 TH'!J43</f>
        <v>1</v>
      </c>
      <c r="K43" s="652">
        <f>'APU 4.5'!G45</f>
        <v>150999.79603342427</v>
      </c>
      <c r="L43" s="649">
        <f t="shared" si="2"/>
        <v>0</v>
      </c>
    </row>
    <row r="44" spans="2:12" s="593" customFormat="1" ht="64.900000000000006" customHeight="1">
      <c r="B44" s="534" t="s">
        <v>507</v>
      </c>
      <c r="C44" s="814" t="s">
        <v>364</v>
      </c>
      <c r="D44" s="815"/>
      <c r="E44" s="815"/>
      <c r="F44" s="815"/>
      <c r="G44" s="816"/>
      <c r="H44" s="540" t="s">
        <v>331</v>
      </c>
      <c r="I44" s="541">
        <f>+'PRESUPUESTO OFICIAL 2026 TH'!I44+'PRESUPUESTO OFICIAL 2026 SALUD'!I44</f>
        <v>6</v>
      </c>
      <c r="J44" s="541">
        <f>+'PRESUPUESTO OFICIAL 2026 TH'!J44</f>
        <v>1</v>
      </c>
      <c r="K44" s="551">
        <f>'APU 4.3.'!G45</f>
        <v>141655.23135004548</v>
      </c>
      <c r="L44" s="399">
        <f t="shared" si="2"/>
        <v>849931.38810027286</v>
      </c>
    </row>
    <row r="45" spans="2:12" s="593" customFormat="1" ht="60" customHeight="1">
      <c r="B45" s="534" t="s">
        <v>508</v>
      </c>
      <c r="C45" s="814" t="s">
        <v>365</v>
      </c>
      <c r="D45" s="815"/>
      <c r="E45" s="815"/>
      <c r="F45" s="815"/>
      <c r="G45" s="816"/>
      <c r="H45" s="540" t="s">
        <v>340</v>
      </c>
      <c r="I45" s="541">
        <f>+'PRESUPUESTO OFICIAL 2026 TH'!I45+'PRESUPUESTO OFICIAL 2026 SALUD'!I45</f>
        <v>6</v>
      </c>
      <c r="J45" s="541">
        <f>+'PRESUPUESTO OFICIAL 2026 TH'!J45</f>
        <v>1</v>
      </c>
      <c r="K45" s="551">
        <f>'APU 4.4.'!G45</f>
        <v>92055.231350045477</v>
      </c>
      <c r="L45" s="399">
        <f t="shared" si="2"/>
        <v>552331.38810027286</v>
      </c>
    </row>
    <row r="46" spans="2:12" s="593" customFormat="1" ht="60" customHeight="1">
      <c r="B46" s="534" t="s">
        <v>509</v>
      </c>
      <c r="C46" s="814" t="s">
        <v>366</v>
      </c>
      <c r="D46" s="815"/>
      <c r="E46" s="815"/>
      <c r="F46" s="815"/>
      <c r="G46" s="816"/>
      <c r="H46" s="540" t="s">
        <v>340</v>
      </c>
      <c r="I46" s="541">
        <f>+'PRESUPUESTO OFICIAL 2026 TH'!I46+'PRESUPUESTO OFICIAL 2026 SALUD'!I46</f>
        <v>5</v>
      </c>
      <c r="J46" s="541">
        <f>+'PRESUPUESTO OFICIAL 2026 TH'!J46</f>
        <v>1</v>
      </c>
      <c r="K46" s="551">
        <f>'APU 4.5. '!G45</f>
        <v>121079.03601750795</v>
      </c>
      <c r="L46" s="399">
        <f t="shared" si="2"/>
        <v>605395.18008753983</v>
      </c>
    </row>
    <row r="47" spans="2:12" s="593" customFormat="1" ht="64.900000000000006" customHeight="1">
      <c r="B47" s="568" t="s">
        <v>510</v>
      </c>
      <c r="C47" s="814" t="s">
        <v>367</v>
      </c>
      <c r="D47" s="815"/>
      <c r="E47" s="815"/>
      <c r="F47" s="815"/>
      <c r="G47" s="816"/>
      <c r="H47" s="540" t="s">
        <v>340</v>
      </c>
      <c r="I47" s="541">
        <f>+'PRESUPUESTO OFICIAL 2026 TH'!I47+'PRESUPUESTO OFICIAL 2026 SALUD'!I47</f>
        <v>5</v>
      </c>
      <c r="J47" s="541">
        <f>+'PRESUPUESTO OFICIAL 2026 TH'!J47</f>
        <v>1</v>
      </c>
      <c r="K47" s="551">
        <f>'APU 4.6.'!G45</f>
        <v>301150.14407003182</v>
      </c>
      <c r="L47" s="399">
        <f t="shared" si="2"/>
        <v>1505750.7203501591</v>
      </c>
    </row>
    <row r="48" spans="2:12" s="593" customFormat="1" ht="80.45" customHeight="1">
      <c r="B48" s="559" t="s">
        <v>511</v>
      </c>
      <c r="C48" s="814" t="s">
        <v>368</v>
      </c>
      <c r="D48" s="815"/>
      <c r="E48" s="815"/>
      <c r="F48" s="815"/>
      <c r="G48" s="816"/>
      <c r="H48" s="540" t="s">
        <v>340</v>
      </c>
      <c r="I48" s="541">
        <f>+'PRESUPUESTO OFICIAL 2026 TH'!I48+'PRESUPUESTO OFICIAL 2026 SALUD'!I48</f>
        <v>5</v>
      </c>
      <c r="J48" s="541">
        <f>+'PRESUPUESTO OFICIAL 2026 TH'!J48</f>
        <v>1</v>
      </c>
      <c r="K48" s="551">
        <f>'APU 4.7.'!G45</f>
        <v>327715.73870168254</v>
      </c>
      <c r="L48" s="399">
        <f t="shared" si="2"/>
        <v>1638578.6935084127</v>
      </c>
    </row>
    <row r="49" spans="2:12" s="593" customFormat="1" ht="73.5" customHeight="1">
      <c r="B49" s="559" t="s">
        <v>512</v>
      </c>
      <c r="C49" s="823" t="s">
        <v>369</v>
      </c>
      <c r="D49" s="824"/>
      <c r="E49" s="824"/>
      <c r="F49" s="824"/>
      <c r="G49" s="825"/>
      <c r="H49" s="540" t="s">
        <v>340</v>
      </c>
      <c r="I49" s="541">
        <f>+'PRESUPUESTO OFICIAL 2026 TH'!I49+'PRESUPUESTO OFICIAL 2026 SALUD'!I49</f>
        <v>12</v>
      </c>
      <c r="J49" s="541">
        <f>+'PRESUPUESTO OFICIAL 2026 SALUD'!J49</f>
        <v>2</v>
      </c>
      <c r="K49" s="582">
        <f>'APU 4.8.'!G45</f>
        <v>337889.94900835608</v>
      </c>
      <c r="L49" s="399">
        <f>K49*I49*J49</f>
        <v>8109358.776200546</v>
      </c>
    </row>
    <row r="50" spans="2:12" s="593" customFormat="1" ht="66.75" customHeight="1">
      <c r="B50" s="559" t="s">
        <v>513</v>
      </c>
      <c r="C50" s="814" t="s">
        <v>370</v>
      </c>
      <c r="D50" s="815"/>
      <c r="E50" s="815"/>
      <c r="F50" s="815"/>
      <c r="G50" s="816"/>
      <c r="H50" s="540" t="s">
        <v>340</v>
      </c>
      <c r="I50" s="541">
        <f>+'PRESUPUESTO OFICIAL 2026 TH'!I50+'PRESUPUESTO OFICIAL 2026 SALUD'!I50</f>
        <v>5</v>
      </c>
      <c r="J50" s="541">
        <f>+'PRESUPUESTO OFICIAL 2026 TH'!J50</f>
        <v>1</v>
      </c>
      <c r="K50" s="582">
        <f>'APU 4.9.'!G45</f>
        <v>179392.46270009095</v>
      </c>
      <c r="L50" s="399">
        <f t="shared" si="2"/>
        <v>896962.31350045477</v>
      </c>
    </row>
    <row r="51" spans="2:12" s="593" customFormat="1" ht="21.6" customHeight="1">
      <c r="B51" s="400" t="s">
        <v>371</v>
      </c>
      <c r="C51" s="401"/>
      <c r="D51" s="402"/>
      <c r="E51" s="402"/>
      <c r="F51" s="402"/>
      <c r="G51" s="403"/>
      <c r="H51" s="404"/>
      <c r="I51" s="405"/>
      <c r="J51" s="405"/>
      <c r="K51" s="406"/>
      <c r="L51" s="407">
        <f>SUM(L39:L50)</f>
        <v>270170137.01585472</v>
      </c>
    </row>
    <row r="52" spans="2:12" s="593" customFormat="1" ht="22.15" customHeight="1">
      <c r="B52" s="817" t="s">
        <v>372</v>
      </c>
      <c r="C52" s="818"/>
      <c r="D52" s="818"/>
      <c r="E52" s="818"/>
      <c r="F52" s="818"/>
      <c r="G52" s="818"/>
      <c r="H52" s="818"/>
      <c r="I52" s="818"/>
      <c r="J52" s="818"/>
      <c r="K52" s="818"/>
      <c r="L52" s="819" t="e">
        <f>K52/I52</f>
        <v>#DIV/0!</v>
      </c>
    </row>
    <row r="53" spans="2:12" s="593" customFormat="1" ht="72.75" customHeight="1">
      <c r="B53" s="560">
        <v>5.0999999999999996</v>
      </c>
      <c r="C53" s="814" t="s">
        <v>373</v>
      </c>
      <c r="D53" s="815"/>
      <c r="E53" s="815"/>
      <c r="F53" s="815"/>
      <c r="G53" s="816"/>
      <c r="H53" s="540" t="s">
        <v>340</v>
      </c>
      <c r="I53" s="541">
        <v>1</v>
      </c>
      <c r="J53" s="541">
        <f>+'PRESUPUESTO OFICIAL 2026 TH'!J53</f>
        <v>1</v>
      </c>
      <c r="K53" s="551">
        <f>+'PRESUPUESTO OFICIAL 2026 TH'!K53+'PRESUPUESTO OFICIAL 2026 SALUD'!K53</f>
        <v>80000000</v>
      </c>
      <c r="L53" s="141">
        <f>+'PRESUPUESTO OFICIAL 2026 TH'!K53+'PRESUPUESTO OFICIAL 2026 SALUD'!K53</f>
        <v>80000000</v>
      </c>
    </row>
    <row r="54" spans="2:12" s="593" customFormat="1" ht="21.6" customHeight="1">
      <c r="B54" s="400" t="s">
        <v>374</v>
      </c>
      <c r="C54" s="401"/>
      <c r="D54" s="402"/>
      <c r="E54" s="402"/>
      <c r="F54" s="402"/>
      <c r="G54" s="403"/>
      <c r="H54" s="404"/>
      <c r="I54" s="405"/>
      <c r="J54" s="405"/>
      <c r="K54" s="406"/>
      <c r="L54" s="407">
        <f>SUM(L53)</f>
        <v>80000000</v>
      </c>
    </row>
    <row r="55" spans="2:12" ht="15" customHeight="1">
      <c r="B55" s="117"/>
      <c r="C55" s="118"/>
      <c r="D55" s="119"/>
      <c r="E55" s="119"/>
      <c r="F55" s="119"/>
      <c r="G55" s="120"/>
      <c r="H55" s="121"/>
      <c r="I55" s="114"/>
      <c r="J55" s="114"/>
      <c r="K55" s="116"/>
      <c r="L55" s="141"/>
    </row>
    <row r="56" spans="2:12" ht="18" customHeight="1">
      <c r="B56" s="845" t="s">
        <v>375</v>
      </c>
      <c r="C56" s="846"/>
      <c r="D56" s="846"/>
      <c r="E56" s="846"/>
      <c r="F56" s="846"/>
      <c r="G56" s="846"/>
      <c r="H56" s="564"/>
      <c r="I56" s="565"/>
      <c r="J56" s="142"/>
      <c r="K56" s="143" t="s">
        <v>376</v>
      </c>
      <c r="L56" s="144">
        <f>+L37+L29+L25+L51+L54</f>
        <v>583117310.69530976</v>
      </c>
    </row>
    <row r="57" spans="2:12" ht="17.45" customHeight="1">
      <c r="B57" s="847" t="s">
        <v>377</v>
      </c>
      <c r="C57" s="848"/>
      <c r="D57" s="848"/>
      <c r="E57" s="848"/>
      <c r="F57" s="848"/>
      <c r="G57" s="848"/>
      <c r="H57" s="566"/>
      <c r="I57" s="567"/>
      <c r="J57" s="145"/>
      <c r="K57" s="146">
        <f>+'AU  Consul P2'!H25</f>
        <v>0.13674807545143486</v>
      </c>
      <c r="L57" s="329">
        <f>+L56*K57</f>
        <v>79740170</v>
      </c>
    </row>
    <row r="58" spans="2:12" ht="18" customHeight="1">
      <c r="B58" s="847" t="s">
        <v>378</v>
      </c>
      <c r="C58" s="848"/>
      <c r="D58" s="848"/>
      <c r="E58" s="848"/>
      <c r="F58" s="848"/>
      <c r="G58" s="848"/>
      <c r="H58" s="566"/>
      <c r="I58" s="567"/>
      <c r="J58" s="145"/>
      <c r="K58" s="146">
        <v>0.05</v>
      </c>
      <c r="L58" s="329">
        <f>+L56*K58</f>
        <v>29155865.534765489</v>
      </c>
    </row>
    <row r="59" spans="2:12" ht="18" customHeight="1">
      <c r="B59" s="845" t="s">
        <v>379</v>
      </c>
      <c r="C59" s="846"/>
      <c r="D59" s="846"/>
      <c r="E59" s="846"/>
      <c r="F59" s="846"/>
      <c r="G59" s="846"/>
      <c r="H59" s="564"/>
      <c r="I59" s="565"/>
      <c r="J59" s="142"/>
      <c r="K59" s="570">
        <f>+K57+K58</f>
        <v>0.18674807545143485</v>
      </c>
      <c r="L59" s="144">
        <f>ROUND(SUM(L56:L58),0)</f>
        <v>692013346</v>
      </c>
    </row>
    <row r="60" spans="2:12" ht="22.5" customHeight="1">
      <c r="B60" s="842" t="s">
        <v>380</v>
      </c>
      <c r="C60" s="843"/>
      <c r="D60" s="843"/>
      <c r="E60" s="843"/>
      <c r="F60" s="843"/>
      <c r="G60" s="843"/>
      <c r="H60" s="843"/>
      <c r="I60" s="843"/>
      <c r="J60" s="843"/>
      <c r="K60" s="844"/>
      <c r="L60" s="329">
        <f>+'AU  Consul P2'!I30</f>
        <v>2898257.8778148494</v>
      </c>
    </row>
    <row r="61" spans="2:12" ht="18.75" customHeight="1" thickBot="1">
      <c r="B61" s="840" t="s">
        <v>381</v>
      </c>
      <c r="C61" s="841"/>
      <c r="D61" s="841"/>
      <c r="E61" s="841"/>
      <c r="F61" s="841"/>
      <c r="G61" s="841"/>
      <c r="H61" s="554"/>
      <c r="I61" s="555"/>
      <c r="J61" s="555"/>
      <c r="K61" s="556"/>
      <c r="L61" s="557">
        <f>+L59+L60</f>
        <v>694911603.87781489</v>
      </c>
    </row>
    <row r="63" spans="2:12">
      <c r="L63" s="597"/>
    </row>
    <row r="64" spans="2:12" ht="18.75" thickBot="1">
      <c r="G64" s="668"/>
      <c r="K64" s="598"/>
      <c r="L64" s="557"/>
    </row>
    <row r="65" spans="5:12" ht="18.75" thickBot="1">
      <c r="E65" s="671"/>
      <c r="G65" s="669"/>
      <c r="J65" s="666"/>
      <c r="L65" s="557">
        <f>+'PRESUPUESTO OFICIAL 2026 SALUD'!L61</f>
        <v>218414123.64994326</v>
      </c>
    </row>
    <row r="66" spans="5:12" ht="18.75" thickBot="1">
      <c r="G66" s="668"/>
      <c r="L66" s="557">
        <f>+'PRESUPUESTO OFICIAL 2026 TH'!L61</f>
        <v>476497481.2304244</v>
      </c>
    </row>
    <row r="67" spans="5:12" ht="18.75" thickBot="1">
      <c r="E67" s="670"/>
      <c r="G67" s="1030"/>
      <c r="H67" s="1031"/>
      <c r="I67" s="1032"/>
      <c r="L67" s="557">
        <f>SUM(L65:L66)</f>
        <v>694911604.88036764</v>
      </c>
    </row>
  </sheetData>
  <mergeCells count="60">
    <mergeCell ref="C11:G11"/>
    <mergeCell ref="C20:G20"/>
    <mergeCell ref="C28:G28"/>
    <mergeCell ref="C32:G32"/>
    <mergeCell ref="B30:L30"/>
    <mergeCell ref="C31:G31"/>
    <mergeCell ref="C21:G21"/>
    <mergeCell ref="C27:G27"/>
    <mergeCell ref="C24:G24"/>
    <mergeCell ref="C22:G22"/>
    <mergeCell ref="C23:G23"/>
    <mergeCell ref="B1:G1"/>
    <mergeCell ref="H1:L1"/>
    <mergeCell ref="B2:L2"/>
    <mergeCell ref="C12:G12"/>
    <mergeCell ref="C15:G15"/>
    <mergeCell ref="C14:G14"/>
    <mergeCell ref="C13:G13"/>
    <mergeCell ref="B3:L3"/>
    <mergeCell ref="B7:B8"/>
    <mergeCell ref="C7:G8"/>
    <mergeCell ref="B4:L4"/>
    <mergeCell ref="B6:L6"/>
    <mergeCell ref="H7:H8"/>
    <mergeCell ref="I7:I8"/>
    <mergeCell ref="K7:K8"/>
    <mergeCell ref="L7:L8"/>
    <mergeCell ref="B61:G61"/>
    <mergeCell ref="B60:K60"/>
    <mergeCell ref="B59:G59"/>
    <mergeCell ref="B56:G56"/>
    <mergeCell ref="B57:G57"/>
    <mergeCell ref="B58:G58"/>
    <mergeCell ref="C53:G53"/>
    <mergeCell ref="J7:J8"/>
    <mergeCell ref="B38:L38"/>
    <mergeCell ref="C39:G39"/>
    <mergeCell ref="C40:G40"/>
    <mergeCell ref="C41:G41"/>
    <mergeCell ref="C19:G19"/>
    <mergeCell ref="B9:L9"/>
    <mergeCell ref="C10:G10"/>
    <mergeCell ref="C16:G16"/>
    <mergeCell ref="C17:G17"/>
    <mergeCell ref="C18:G18"/>
    <mergeCell ref="C33:G33"/>
    <mergeCell ref="C44:G44"/>
    <mergeCell ref="C45:G45"/>
    <mergeCell ref="C46:G46"/>
    <mergeCell ref="C34:G34"/>
    <mergeCell ref="B26:L26"/>
    <mergeCell ref="C47:G47"/>
    <mergeCell ref="C48:G48"/>
    <mergeCell ref="B52:L52"/>
    <mergeCell ref="C42:G42"/>
    <mergeCell ref="C43:G43"/>
    <mergeCell ref="C49:G49"/>
    <mergeCell ref="C50:G50"/>
    <mergeCell ref="C35:G35"/>
    <mergeCell ref="C36:G36"/>
  </mergeCells>
  <conditionalFormatting sqref="K12:K15">
    <cfRule type="cellIs" dxfId="48" priority="20" operator="between">
      <formula>0</formula>
      <formula>10000000</formula>
    </cfRule>
    <cfRule type="cellIs" dxfId="47" priority="23" operator="equal">
      <formula>0</formula>
    </cfRule>
  </conditionalFormatting>
  <conditionalFormatting sqref="K12:K24">
    <cfRule type="cellIs" dxfId="46" priority="6" operator="lessThan">
      <formula>0</formula>
    </cfRule>
    <cfRule type="cellIs" dxfId="45" priority="7" operator="greaterThan">
      <formula>0</formula>
    </cfRule>
  </conditionalFormatting>
  <conditionalFormatting sqref="K17">
    <cfRule type="cellIs" dxfId="44" priority="25" operator="equal">
      <formula>0</formula>
    </cfRule>
  </conditionalFormatting>
  <conditionalFormatting sqref="K17:K24">
    <cfRule type="cellIs" dxfId="43" priority="5" operator="between">
      <formula>0</formula>
      <formula>10000000</formula>
    </cfRule>
  </conditionalFormatting>
  <conditionalFormatting sqref="K19:K24">
    <cfRule type="cellIs" dxfId="42" priority="8" operator="equal">
      <formula>0</formula>
    </cfRule>
  </conditionalFormatting>
  <conditionalFormatting sqref="K27:K28">
    <cfRule type="cellIs" dxfId="41" priority="1" operator="between">
      <formula>0</formula>
      <formula>10000000</formula>
    </cfRule>
    <cfRule type="cellIs" dxfId="40" priority="2" operator="lessThan">
      <formula>0</formula>
    </cfRule>
    <cfRule type="cellIs" dxfId="39" priority="3" operator="greaterThan">
      <formula>0</formula>
    </cfRule>
    <cfRule type="cellIs" dxfId="38" priority="4" operator="equal">
      <formula>0</formula>
    </cfRule>
  </conditionalFormatting>
  <conditionalFormatting sqref="K32:K36">
    <cfRule type="cellIs" dxfId="37" priority="16" operator="between">
      <formula>0</formula>
      <formula>10000000</formula>
    </cfRule>
    <cfRule type="cellIs" dxfId="36" priority="17" operator="lessThan">
      <formula>0</formula>
    </cfRule>
    <cfRule type="cellIs" dxfId="35" priority="18" operator="greaterThan">
      <formula>0</formula>
    </cfRule>
    <cfRule type="cellIs" dxfId="34" priority="19" operator="equal">
      <formula>0</formula>
    </cfRule>
  </conditionalFormatting>
  <conditionalFormatting sqref="K40:K41">
    <cfRule type="cellIs" dxfId="33" priority="12" operator="between">
      <formula>0</formula>
      <formula>10000000</formula>
    </cfRule>
    <cfRule type="cellIs" dxfId="32" priority="13" operator="lessThan">
      <formula>0</formula>
    </cfRule>
    <cfRule type="cellIs" dxfId="31" priority="14" operator="greaterThan">
      <formula>0</formula>
    </cfRule>
    <cfRule type="cellIs" dxfId="30" priority="15" operator="equal">
      <formula>0</formula>
    </cfRule>
  </conditionalFormatting>
  <pageMargins left="0.70866141732283472" right="0.70866141732283472" top="0.74803149606299213" bottom="0.74803149606299213" header="0.31496062992125984" footer="0.31496062992125984"/>
  <pageSetup paperSize="14" scale="4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8BA6D-C9D9-40F7-A3AA-32F54545B95F}">
  <sheetPr>
    <tabColor rgb="FF00B0F0"/>
  </sheetPr>
  <dimension ref="B1:V69"/>
  <sheetViews>
    <sheetView topLeftCell="A53" zoomScaleNormal="100" workbookViewId="0">
      <selection activeCell="I79" sqref="I79"/>
    </sheetView>
  </sheetViews>
  <sheetFormatPr baseColWidth="10" defaultColWidth="11.42578125" defaultRowHeight="15"/>
  <cols>
    <col min="1" max="1" width="1.42578125" style="111" customWidth="1"/>
    <col min="2" max="2" width="8.140625" style="122" customWidth="1"/>
    <col min="3" max="3" width="17.7109375" style="123" customWidth="1"/>
    <col min="4" max="4" width="20.85546875" style="123" customWidth="1"/>
    <col min="5" max="5" width="23.28515625" style="123" customWidth="1"/>
    <col min="6" max="6" width="7.5703125" style="123" customWidth="1"/>
    <col min="7" max="7" width="22.28515625" style="124" customWidth="1"/>
    <col min="8" max="8" width="10.28515625" style="125" customWidth="1"/>
    <col min="9" max="9" width="14.28515625" style="126" customWidth="1"/>
    <col min="10" max="10" width="17.28515625" style="126" bestFit="1" customWidth="1"/>
    <col min="11" max="11" width="17.7109375" style="126" customWidth="1"/>
    <col min="12" max="12" width="23.140625" style="127" customWidth="1"/>
    <col min="13" max="13" width="3.140625" style="111" customWidth="1"/>
    <col min="14" max="14" width="16.28515625" style="111" bestFit="1" customWidth="1"/>
    <col min="15" max="16" width="11.42578125" style="111"/>
    <col min="17" max="17" width="14.7109375" style="111" bestFit="1" customWidth="1"/>
    <col min="18" max="18" width="16.42578125" style="111" bestFit="1" customWidth="1"/>
    <col min="19" max="211" width="11.42578125" style="111"/>
    <col min="212" max="212" width="17.5703125" style="111" customWidth="1"/>
    <col min="213" max="213" width="13.5703125" style="111" customWidth="1"/>
    <col min="214" max="214" width="23.28515625" style="111" customWidth="1"/>
    <col min="215" max="215" width="21.28515625" style="111" customWidth="1"/>
    <col min="216" max="216" width="5.7109375" style="111" customWidth="1"/>
    <col min="217" max="217" width="20.7109375" style="111" customWidth="1"/>
    <col min="218" max="218" width="9" style="111" customWidth="1"/>
    <col min="219" max="219" width="16.7109375" style="111" bestFit="1" customWidth="1"/>
    <col min="220" max="220" width="20" style="111" customWidth="1"/>
    <col min="221" max="221" width="21.5703125" style="111" customWidth="1"/>
    <col min="222" max="222" width="20.5703125" style="111" customWidth="1"/>
    <col min="223" max="223" width="22.28515625" style="111" customWidth="1"/>
    <col min="224" max="231" width="0" style="111" hidden="1" customWidth="1"/>
    <col min="232" max="233" width="20" style="111" customWidth="1"/>
    <col min="234" max="236" width="21" style="111" customWidth="1"/>
    <col min="237" max="237" width="30.28515625" style="111" customWidth="1"/>
    <col min="238" max="238" width="22" style="111" customWidth="1"/>
    <col min="239" max="467" width="11.42578125" style="111"/>
    <col min="468" max="468" width="17.5703125" style="111" customWidth="1"/>
    <col min="469" max="469" width="13.5703125" style="111" customWidth="1"/>
    <col min="470" max="470" width="23.28515625" style="111" customWidth="1"/>
    <col min="471" max="471" width="21.28515625" style="111" customWidth="1"/>
    <col min="472" max="472" width="5.7109375" style="111" customWidth="1"/>
    <col min="473" max="473" width="20.7109375" style="111" customWidth="1"/>
    <col min="474" max="474" width="9" style="111" customWidth="1"/>
    <col min="475" max="475" width="16.7109375" style="111" bestFit="1" customWidth="1"/>
    <col min="476" max="476" width="20" style="111" customWidth="1"/>
    <col min="477" max="477" width="21.5703125" style="111" customWidth="1"/>
    <col min="478" max="478" width="20.5703125" style="111" customWidth="1"/>
    <col min="479" max="479" width="22.28515625" style="111" customWidth="1"/>
    <col min="480" max="487" width="0" style="111" hidden="1" customWidth="1"/>
    <col min="488" max="489" width="20" style="111" customWidth="1"/>
    <col min="490" max="492" width="21" style="111" customWidth="1"/>
    <col min="493" max="493" width="30.28515625" style="111" customWidth="1"/>
    <col min="494" max="494" width="22" style="111" customWidth="1"/>
    <col min="495" max="723" width="11.42578125" style="111"/>
    <col min="724" max="724" width="17.5703125" style="111" customWidth="1"/>
    <col min="725" max="725" width="13.5703125" style="111" customWidth="1"/>
    <col min="726" max="726" width="23.28515625" style="111" customWidth="1"/>
    <col min="727" max="727" width="21.28515625" style="111" customWidth="1"/>
    <col min="728" max="728" width="5.7109375" style="111" customWidth="1"/>
    <col min="729" max="729" width="20.7109375" style="111" customWidth="1"/>
    <col min="730" max="730" width="9" style="111" customWidth="1"/>
    <col min="731" max="731" width="16.7109375" style="111" bestFit="1" customWidth="1"/>
    <col min="732" max="732" width="20" style="111" customWidth="1"/>
    <col min="733" max="733" width="21.5703125" style="111" customWidth="1"/>
    <col min="734" max="734" width="20.5703125" style="111" customWidth="1"/>
    <col min="735" max="735" width="22.28515625" style="111" customWidth="1"/>
    <col min="736" max="743" width="0" style="111" hidden="1" customWidth="1"/>
    <col min="744" max="745" width="20" style="111" customWidth="1"/>
    <col min="746" max="748" width="21" style="111" customWidth="1"/>
    <col min="749" max="749" width="30.28515625" style="111" customWidth="1"/>
    <col min="750" max="750" width="22" style="111" customWidth="1"/>
    <col min="751" max="979" width="11.42578125" style="111"/>
    <col min="980" max="980" width="17.5703125" style="111" customWidth="1"/>
    <col min="981" max="981" width="13.5703125" style="111" customWidth="1"/>
    <col min="982" max="982" width="23.28515625" style="111" customWidth="1"/>
    <col min="983" max="983" width="21.28515625" style="111" customWidth="1"/>
    <col min="984" max="984" width="5.7109375" style="111" customWidth="1"/>
    <col min="985" max="985" width="20.7109375" style="111" customWidth="1"/>
    <col min="986" max="986" width="9" style="111" customWidth="1"/>
    <col min="987" max="987" width="16.7109375" style="111" bestFit="1" customWidth="1"/>
    <col min="988" max="988" width="20" style="111" customWidth="1"/>
    <col min="989" max="989" width="21.5703125" style="111" customWidth="1"/>
    <col min="990" max="990" width="20.5703125" style="111" customWidth="1"/>
    <col min="991" max="991" width="22.28515625" style="111" customWidth="1"/>
    <col min="992" max="999" width="0" style="111" hidden="1" customWidth="1"/>
    <col min="1000" max="1001" width="20" style="111" customWidth="1"/>
    <col min="1002" max="1004" width="21" style="111" customWidth="1"/>
    <col min="1005" max="1005" width="30.28515625" style="111" customWidth="1"/>
    <col min="1006" max="1006" width="22" style="111" customWidth="1"/>
    <col min="1007" max="1235" width="11.42578125" style="111"/>
    <col min="1236" max="1236" width="17.5703125" style="111" customWidth="1"/>
    <col min="1237" max="1237" width="13.5703125" style="111" customWidth="1"/>
    <col min="1238" max="1238" width="23.28515625" style="111" customWidth="1"/>
    <col min="1239" max="1239" width="21.28515625" style="111" customWidth="1"/>
    <col min="1240" max="1240" width="5.7109375" style="111" customWidth="1"/>
    <col min="1241" max="1241" width="20.7109375" style="111" customWidth="1"/>
    <col min="1242" max="1242" width="9" style="111" customWidth="1"/>
    <col min="1243" max="1243" width="16.7109375" style="111" bestFit="1" customWidth="1"/>
    <col min="1244" max="1244" width="20" style="111" customWidth="1"/>
    <col min="1245" max="1245" width="21.5703125" style="111" customWidth="1"/>
    <col min="1246" max="1246" width="20.5703125" style="111" customWidth="1"/>
    <col min="1247" max="1247" width="22.28515625" style="111" customWidth="1"/>
    <col min="1248" max="1255" width="0" style="111" hidden="1" customWidth="1"/>
    <col min="1256" max="1257" width="20" style="111" customWidth="1"/>
    <col min="1258" max="1260" width="21" style="111" customWidth="1"/>
    <col min="1261" max="1261" width="30.28515625" style="111" customWidth="1"/>
    <col min="1262" max="1262" width="22" style="111" customWidth="1"/>
    <col min="1263" max="1491" width="11.42578125" style="111"/>
    <col min="1492" max="1492" width="17.5703125" style="111" customWidth="1"/>
    <col min="1493" max="1493" width="13.5703125" style="111" customWidth="1"/>
    <col min="1494" max="1494" width="23.28515625" style="111" customWidth="1"/>
    <col min="1495" max="1495" width="21.28515625" style="111" customWidth="1"/>
    <col min="1496" max="1496" width="5.7109375" style="111" customWidth="1"/>
    <col min="1497" max="1497" width="20.7109375" style="111" customWidth="1"/>
    <col min="1498" max="1498" width="9" style="111" customWidth="1"/>
    <col min="1499" max="1499" width="16.7109375" style="111" bestFit="1" customWidth="1"/>
    <col min="1500" max="1500" width="20" style="111" customWidth="1"/>
    <col min="1501" max="1501" width="21.5703125" style="111" customWidth="1"/>
    <col min="1502" max="1502" width="20.5703125" style="111" customWidth="1"/>
    <col min="1503" max="1503" width="22.28515625" style="111" customWidth="1"/>
    <col min="1504" max="1511" width="0" style="111" hidden="1" customWidth="1"/>
    <col min="1512" max="1513" width="20" style="111" customWidth="1"/>
    <col min="1514" max="1516" width="21" style="111" customWidth="1"/>
    <col min="1517" max="1517" width="30.28515625" style="111" customWidth="1"/>
    <col min="1518" max="1518" width="22" style="111" customWidth="1"/>
    <col min="1519" max="1747" width="11.42578125" style="111"/>
    <col min="1748" max="1748" width="17.5703125" style="111" customWidth="1"/>
    <col min="1749" max="1749" width="13.5703125" style="111" customWidth="1"/>
    <col min="1750" max="1750" width="23.28515625" style="111" customWidth="1"/>
    <col min="1751" max="1751" width="21.28515625" style="111" customWidth="1"/>
    <col min="1752" max="1752" width="5.7109375" style="111" customWidth="1"/>
    <col min="1753" max="1753" width="20.7109375" style="111" customWidth="1"/>
    <col min="1754" max="1754" width="9" style="111" customWidth="1"/>
    <col min="1755" max="1755" width="16.7109375" style="111" bestFit="1" customWidth="1"/>
    <col min="1756" max="1756" width="20" style="111" customWidth="1"/>
    <col min="1757" max="1757" width="21.5703125" style="111" customWidth="1"/>
    <col min="1758" max="1758" width="20.5703125" style="111" customWidth="1"/>
    <col min="1759" max="1759" width="22.28515625" style="111" customWidth="1"/>
    <col min="1760" max="1767" width="0" style="111" hidden="1" customWidth="1"/>
    <col min="1768" max="1769" width="20" style="111" customWidth="1"/>
    <col min="1770" max="1772" width="21" style="111" customWidth="1"/>
    <col min="1773" max="1773" width="30.28515625" style="111" customWidth="1"/>
    <col min="1774" max="1774" width="22" style="111" customWidth="1"/>
    <col min="1775" max="2003" width="11.42578125" style="111"/>
    <col min="2004" max="2004" width="17.5703125" style="111" customWidth="1"/>
    <col min="2005" max="2005" width="13.5703125" style="111" customWidth="1"/>
    <col min="2006" max="2006" width="23.28515625" style="111" customWidth="1"/>
    <col min="2007" max="2007" width="21.28515625" style="111" customWidth="1"/>
    <col min="2008" max="2008" width="5.7109375" style="111" customWidth="1"/>
    <col min="2009" max="2009" width="20.7109375" style="111" customWidth="1"/>
    <col min="2010" max="2010" width="9" style="111" customWidth="1"/>
    <col min="2011" max="2011" width="16.7109375" style="111" bestFit="1" customWidth="1"/>
    <col min="2012" max="2012" width="20" style="111" customWidth="1"/>
    <col min="2013" max="2013" width="21.5703125" style="111" customWidth="1"/>
    <col min="2014" max="2014" width="20.5703125" style="111" customWidth="1"/>
    <col min="2015" max="2015" width="22.28515625" style="111" customWidth="1"/>
    <col min="2016" max="2023" width="0" style="111" hidden="1" customWidth="1"/>
    <col min="2024" max="2025" width="20" style="111" customWidth="1"/>
    <col min="2026" max="2028" width="21" style="111" customWidth="1"/>
    <col min="2029" max="2029" width="30.28515625" style="111" customWidth="1"/>
    <col min="2030" max="2030" width="22" style="111" customWidth="1"/>
    <col min="2031" max="2259" width="11.42578125" style="111"/>
    <col min="2260" max="2260" width="17.5703125" style="111" customWidth="1"/>
    <col min="2261" max="2261" width="13.5703125" style="111" customWidth="1"/>
    <col min="2262" max="2262" width="23.28515625" style="111" customWidth="1"/>
    <col min="2263" max="2263" width="21.28515625" style="111" customWidth="1"/>
    <col min="2264" max="2264" width="5.7109375" style="111" customWidth="1"/>
    <col min="2265" max="2265" width="20.7109375" style="111" customWidth="1"/>
    <col min="2266" max="2266" width="9" style="111" customWidth="1"/>
    <col min="2267" max="2267" width="16.7109375" style="111" bestFit="1" customWidth="1"/>
    <col min="2268" max="2268" width="20" style="111" customWidth="1"/>
    <col min="2269" max="2269" width="21.5703125" style="111" customWidth="1"/>
    <col min="2270" max="2270" width="20.5703125" style="111" customWidth="1"/>
    <col min="2271" max="2271" width="22.28515625" style="111" customWidth="1"/>
    <col min="2272" max="2279" width="0" style="111" hidden="1" customWidth="1"/>
    <col min="2280" max="2281" width="20" style="111" customWidth="1"/>
    <col min="2282" max="2284" width="21" style="111" customWidth="1"/>
    <col min="2285" max="2285" width="30.28515625" style="111" customWidth="1"/>
    <col min="2286" max="2286" width="22" style="111" customWidth="1"/>
    <col min="2287" max="2515" width="11.42578125" style="111"/>
    <col min="2516" max="2516" width="17.5703125" style="111" customWidth="1"/>
    <col min="2517" max="2517" width="13.5703125" style="111" customWidth="1"/>
    <col min="2518" max="2518" width="23.28515625" style="111" customWidth="1"/>
    <col min="2519" max="2519" width="21.28515625" style="111" customWidth="1"/>
    <col min="2520" max="2520" width="5.7109375" style="111" customWidth="1"/>
    <col min="2521" max="2521" width="20.7109375" style="111" customWidth="1"/>
    <col min="2522" max="2522" width="9" style="111" customWidth="1"/>
    <col min="2523" max="2523" width="16.7109375" style="111" bestFit="1" customWidth="1"/>
    <col min="2524" max="2524" width="20" style="111" customWidth="1"/>
    <col min="2525" max="2525" width="21.5703125" style="111" customWidth="1"/>
    <col min="2526" max="2526" width="20.5703125" style="111" customWidth="1"/>
    <col min="2527" max="2527" width="22.28515625" style="111" customWidth="1"/>
    <col min="2528" max="2535" width="0" style="111" hidden="1" customWidth="1"/>
    <col min="2536" max="2537" width="20" style="111" customWidth="1"/>
    <col min="2538" max="2540" width="21" style="111" customWidth="1"/>
    <col min="2541" max="2541" width="30.28515625" style="111" customWidth="1"/>
    <col min="2542" max="2542" width="22" style="111" customWidth="1"/>
    <col min="2543" max="2771" width="11.42578125" style="111"/>
    <col min="2772" max="2772" width="17.5703125" style="111" customWidth="1"/>
    <col min="2773" max="2773" width="13.5703125" style="111" customWidth="1"/>
    <col min="2774" max="2774" width="23.28515625" style="111" customWidth="1"/>
    <col min="2775" max="2775" width="21.28515625" style="111" customWidth="1"/>
    <col min="2776" max="2776" width="5.7109375" style="111" customWidth="1"/>
    <col min="2777" max="2777" width="20.7109375" style="111" customWidth="1"/>
    <col min="2778" max="2778" width="9" style="111" customWidth="1"/>
    <col min="2779" max="2779" width="16.7109375" style="111" bestFit="1" customWidth="1"/>
    <col min="2780" max="2780" width="20" style="111" customWidth="1"/>
    <col min="2781" max="2781" width="21.5703125" style="111" customWidth="1"/>
    <col min="2782" max="2782" width="20.5703125" style="111" customWidth="1"/>
    <col min="2783" max="2783" width="22.28515625" style="111" customWidth="1"/>
    <col min="2784" max="2791" width="0" style="111" hidden="1" customWidth="1"/>
    <col min="2792" max="2793" width="20" style="111" customWidth="1"/>
    <col min="2794" max="2796" width="21" style="111" customWidth="1"/>
    <col min="2797" max="2797" width="30.28515625" style="111" customWidth="1"/>
    <col min="2798" max="2798" width="22" style="111" customWidth="1"/>
    <col min="2799" max="3027" width="11.42578125" style="111"/>
    <col min="3028" max="3028" width="17.5703125" style="111" customWidth="1"/>
    <col min="3029" max="3029" width="13.5703125" style="111" customWidth="1"/>
    <col min="3030" max="3030" width="23.28515625" style="111" customWidth="1"/>
    <col min="3031" max="3031" width="21.28515625" style="111" customWidth="1"/>
    <col min="3032" max="3032" width="5.7109375" style="111" customWidth="1"/>
    <col min="3033" max="3033" width="20.7109375" style="111" customWidth="1"/>
    <col min="3034" max="3034" width="9" style="111" customWidth="1"/>
    <col min="3035" max="3035" width="16.7109375" style="111" bestFit="1" customWidth="1"/>
    <col min="3036" max="3036" width="20" style="111" customWidth="1"/>
    <col min="3037" max="3037" width="21.5703125" style="111" customWidth="1"/>
    <col min="3038" max="3038" width="20.5703125" style="111" customWidth="1"/>
    <col min="3039" max="3039" width="22.28515625" style="111" customWidth="1"/>
    <col min="3040" max="3047" width="0" style="111" hidden="1" customWidth="1"/>
    <col min="3048" max="3049" width="20" style="111" customWidth="1"/>
    <col min="3050" max="3052" width="21" style="111" customWidth="1"/>
    <col min="3053" max="3053" width="30.28515625" style="111" customWidth="1"/>
    <col min="3054" max="3054" width="22" style="111" customWidth="1"/>
    <col min="3055" max="3283" width="11.42578125" style="111"/>
    <col min="3284" max="3284" width="17.5703125" style="111" customWidth="1"/>
    <col min="3285" max="3285" width="13.5703125" style="111" customWidth="1"/>
    <col min="3286" max="3286" width="23.28515625" style="111" customWidth="1"/>
    <col min="3287" max="3287" width="21.28515625" style="111" customWidth="1"/>
    <col min="3288" max="3288" width="5.7109375" style="111" customWidth="1"/>
    <col min="3289" max="3289" width="20.7109375" style="111" customWidth="1"/>
    <col min="3290" max="3290" width="9" style="111" customWidth="1"/>
    <col min="3291" max="3291" width="16.7109375" style="111" bestFit="1" customWidth="1"/>
    <col min="3292" max="3292" width="20" style="111" customWidth="1"/>
    <col min="3293" max="3293" width="21.5703125" style="111" customWidth="1"/>
    <col min="3294" max="3294" width="20.5703125" style="111" customWidth="1"/>
    <col min="3295" max="3295" width="22.28515625" style="111" customWidth="1"/>
    <col min="3296" max="3303" width="0" style="111" hidden="1" customWidth="1"/>
    <col min="3304" max="3305" width="20" style="111" customWidth="1"/>
    <col min="3306" max="3308" width="21" style="111" customWidth="1"/>
    <col min="3309" max="3309" width="30.28515625" style="111" customWidth="1"/>
    <col min="3310" max="3310" width="22" style="111" customWidth="1"/>
    <col min="3311" max="3539" width="11.42578125" style="111"/>
    <col min="3540" max="3540" width="17.5703125" style="111" customWidth="1"/>
    <col min="3541" max="3541" width="13.5703125" style="111" customWidth="1"/>
    <col min="3542" max="3542" width="23.28515625" style="111" customWidth="1"/>
    <col min="3543" max="3543" width="21.28515625" style="111" customWidth="1"/>
    <col min="3544" max="3544" width="5.7109375" style="111" customWidth="1"/>
    <col min="3545" max="3545" width="20.7109375" style="111" customWidth="1"/>
    <col min="3546" max="3546" width="9" style="111" customWidth="1"/>
    <col min="3547" max="3547" width="16.7109375" style="111" bestFit="1" customWidth="1"/>
    <col min="3548" max="3548" width="20" style="111" customWidth="1"/>
    <col min="3549" max="3549" width="21.5703125" style="111" customWidth="1"/>
    <col min="3550" max="3550" width="20.5703125" style="111" customWidth="1"/>
    <col min="3551" max="3551" width="22.28515625" style="111" customWidth="1"/>
    <col min="3552" max="3559" width="0" style="111" hidden="1" customWidth="1"/>
    <col min="3560" max="3561" width="20" style="111" customWidth="1"/>
    <col min="3562" max="3564" width="21" style="111" customWidth="1"/>
    <col min="3565" max="3565" width="30.28515625" style="111" customWidth="1"/>
    <col min="3566" max="3566" width="22" style="111" customWidth="1"/>
    <col min="3567" max="3795" width="11.42578125" style="111"/>
    <col min="3796" max="3796" width="17.5703125" style="111" customWidth="1"/>
    <col min="3797" max="3797" width="13.5703125" style="111" customWidth="1"/>
    <col min="3798" max="3798" width="23.28515625" style="111" customWidth="1"/>
    <col min="3799" max="3799" width="21.28515625" style="111" customWidth="1"/>
    <col min="3800" max="3800" width="5.7109375" style="111" customWidth="1"/>
    <col min="3801" max="3801" width="20.7109375" style="111" customWidth="1"/>
    <col min="3802" max="3802" width="9" style="111" customWidth="1"/>
    <col min="3803" max="3803" width="16.7109375" style="111" bestFit="1" customWidth="1"/>
    <col min="3804" max="3804" width="20" style="111" customWidth="1"/>
    <col min="3805" max="3805" width="21.5703125" style="111" customWidth="1"/>
    <col min="3806" max="3806" width="20.5703125" style="111" customWidth="1"/>
    <col min="3807" max="3807" width="22.28515625" style="111" customWidth="1"/>
    <col min="3808" max="3815" width="0" style="111" hidden="1" customWidth="1"/>
    <col min="3816" max="3817" width="20" style="111" customWidth="1"/>
    <col min="3818" max="3820" width="21" style="111" customWidth="1"/>
    <col min="3821" max="3821" width="30.28515625" style="111" customWidth="1"/>
    <col min="3822" max="3822" width="22" style="111" customWidth="1"/>
    <col min="3823" max="4051" width="11.42578125" style="111"/>
    <col min="4052" max="4052" width="17.5703125" style="111" customWidth="1"/>
    <col min="4053" max="4053" width="13.5703125" style="111" customWidth="1"/>
    <col min="4054" max="4054" width="23.28515625" style="111" customWidth="1"/>
    <col min="4055" max="4055" width="21.28515625" style="111" customWidth="1"/>
    <col min="4056" max="4056" width="5.7109375" style="111" customWidth="1"/>
    <col min="4057" max="4057" width="20.7109375" style="111" customWidth="1"/>
    <col min="4058" max="4058" width="9" style="111" customWidth="1"/>
    <col min="4059" max="4059" width="16.7109375" style="111" bestFit="1" customWidth="1"/>
    <col min="4060" max="4060" width="20" style="111" customWidth="1"/>
    <col min="4061" max="4061" width="21.5703125" style="111" customWidth="1"/>
    <col min="4062" max="4062" width="20.5703125" style="111" customWidth="1"/>
    <col min="4063" max="4063" width="22.28515625" style="111" customWidth="1"/>
    <col min="4064" max="4071" width="0" style="111" hidden="1" customWidth="1"/>
    <col min="4072" max="4073" width="20" style="111" customWidth="1"/>
    <col min="4074" max="4076" width="21" style="111" customWidth="1"/>
    <col min="4077" max="4077" width="30.28515625" style="111" customWidth="1"/>
    <col min="4078" max="4078" width="22" style="111" customWidth="1"/>
    <col min="4079" max="4307" width="11.42578125" style="111"/>
    <col min="4308" max="4308" width="17.5703125" style="111" customWidth="1"/>
    <col min="4309" max="4309" width="13.5703125" style="111" customWidth="1"/>
    <col min="4310" max="4310" width="23.28515625" style="111" customWidth="1"/>
    <col min="4311" max="4311" width="21.28515625" style="111" customWidth="1"/>
    <col min="4312" max="4312" width="5.7109375" style="111" customWidth="1"/>
    <col min="4313" max="4313" width="20.7109375" style="111" customWidth="1"/>
    <col min="4314" max="4314" width="9" style="111" customWidth="1"/>
    <col min="4315" max="4315" width="16.7109375" style="111" bestFit="1" customWidth="1"/>
    <col min="4316" max="4316" width="20" style="111" customWidth="1"/>
    <col min="4317" max="4317" width="21.5703125" style="111" customWidth="1"/>
    <col min="4318" max="4318" width="20.5703125" style="111" customWidth="1"/>
    <col min="4319" max="4319" width="22.28515625" style="111" customWidth="1"/>
    <col min="4320" max="4327" width="0" style="111" hidden="1" customWidth="1"/>
    <col min="4328" max="4329" width="20" style="111" customWidth="1"/>
    <col min="4330" max="4332" width="21" style="111" customWidth="1"/>
    <col min="4333" max="4333" width="30.28515625" style="111" customWidth="1"/>
    <col min="4334" max="4334" width="22" style="111" customWidth="1"/>
    <col min="4335" max="4563" width="11.42578125" style="111"/>
    <col min="4564" max="4564" width="17.5703125" style="111" customWidth="1"/>
    <col min="4565" max="4565" width="13.5703125" style="111" customWidth="1"/>
    <col min="4566" max="4566" width="23.28515625" style="111" customWidth="1"/>
    <col min="4567" max="4567" width="21.28515625" style="111" customWidth="1"/>
    <col min="4568" max="4568" width="5.7109375" style="111" customWidth="1"/>
    <col min="4569" max="4569" width="20.7109375" style="111" customWidth="1"/>
    <col min="4570" max="4570" width="9" style="111" customWidth="1"/>
    <col min="4571" max="4571" width="16.7109375" style="111" bestFit="1" customWidth="1"/>
    <col min="4572" max="4572" width="20" style="111" customWidth="1"/>
    <col min="4573" max="4573" width="21.5703125" style="111" customWidth="1"/>
    <col min="4574" max="4574" width="20.5703125" style="111" customWidth="1"/>
    <col min="4575" max="4575" width="22.28515625" style="111" customWidth="1"/>
    <col min="4576" max="4583" width="0" style="111" hidden="1" customWidth="1"/>
    <col min="4584" max="4585" width="20" style="111" customWidth="1"/>
    <col min="4586" max="4588" width="21" style="111" customWidth="1"/>
    <col min="4589" max="4589" width="30.28515625" style="111" customWidth="1"/>
    <col min="4590" max="4590" width="22" style="111" customWidth="1"/>
    <col min="4591" max="4819" width="11.42578125" style="111"/>
    <col min="4820" max="4820" width="17.5703125" style="111" customWidth="1"/>
    <col min="4821" max="4821" width="13.5703125" style="111" customWidth="1"/>
    <col min="4822" max="4822" width="23.28515625" style="111" customWidth="1"/>
    <col min="4823" max="4823" width="21.28515625" style="111" customWidth="1"/>
    <col min="4824" max="4824" width="5.7109375" style="111" customWidth="1"/>
    <col min="4825" max="4825" width="20.7109375" style="111" customWidth="1"/>
    <col min="4826" max="4826" width="9" style="111" customWidth="1"/>
    <col min="4827" max="4827" width="16.7109375" style="111" bestFit="1" customWidth="1"/>
    <col min="4828" max="4828" width="20" style="111" customWidth="1"/>
    <col min="4829" max="4829" width="21.5703125" style="111" customWidth="1"/>
    <col min="4830" max="4830" width="20.5703125" style="111" customWidth="1"/>
    <col min="4831" max="4831" width="22.28515625" style="111" customWidth="1"/>
    <col min="4832" max="4839" width="0" style="111" hidden="1" customWidth="1"/>
    <col min="4840" max="4841" width="20" style="111" customWidth="1"/>
    <col min="4842" max="4844" width="21" style="111" customWidth="1"/>
    <col min="4845" max="4845" width="30.28515625" style="111" customWidth="1"/>
    <col min="4846" max="4846" width="22" style="111" customWidth="1"/>
    <col min="4847" max="5075" width="11.42578125" style="111"/>
    <col min="5076" max="5076" width="17.5703125" style="111" customWidth="1"/>
    <col min="5077" max="5077" width="13.5703125" style="111" customWidth="1"/>
    <col min="5078" max="5078" width="23.28515625" style="111" customWidth="1"/>
    <col min="5079" max="5079" width="21.28515625" style="111" customWidth="1"/>
    <col min="5080" max="5080" width="5.7109375" style="111" customWidth="1"/>
    <col min="5081" max="5081" width="20.7109375" style="111" customWidth="1"/>
    <col min="5082" max="5082" width="9" style="111" customWidth="1"/>
    <col min="5083" max="5083" width="16.7109375" style="111" bestFit="1" customWidth="1"/>
    <col min="5084" max="5084" width="20" style="111" customWidth="1"/>
    <col min="5085" max="5085" width="21.5703125" style="111" customWidth="1"/>
    <col min="5086" max="5086" width="20.5703125" style="111" customWidth="1"/>
    <col min="5087" max="5087" width="22.28515625" style="111" customWidth="1"/>
    <col min="5088" max="5095" width="0" style="111" hidden="1" customWidth="1"/>
    <col min="5096" max="5097" width="20" style="111" customWidth="1"/>
    <col min="5098" max="5100" width="21" style="111" customWidth="1"/>
    <col min="5101" max="5101" width="30.28515625" style="111" customWidth="1"/>
    <col min="5102" max="5102" width="22" style="111" customWidth="1"/>
    <col min="5103" max="5331" width="11.42578125" style="111"/>
    <col min="5332" max="5332" width="17.5703125" style="111" customWidth="1"/>
    <col min="5333" max="5333" width="13.5703125" style="111" customWidth="1"/>
    <col min="5334" max="5334" width="23.28515625" style="111" customWidth="1"/>
    <col min="5335" max="5335" width="21.28515625" style="111" customWidth="1"/>
    <col min="5336" max="5336" width="5.7109375" style="111" customWidth="1"/>
    <col min="5337" max="5337" width="20.7109375" style="111" customWidth="1"/>
    <col min="5338" max="5338" width="9" style="111" customWidth="1"/>
    <col min="5339" max="5339" width="16.7109375" style="111" bestFit="1" customWidth="1"/>
    <col min="5340" max="5340" width="20" style="111" customWidth="1"/>
    <col min="5341" max="5341" width="21.5703125" style="111" customWidth="1"/>
    <col min="5342" max="5342" width="20.5703125" style="111" customWidth="1"/>
    <col min="5343" max="5343" width="22.28515625" style="111" customWidth="1"/>
    <col min="5344" max="5351" width="0" style="111" hidden="1" customWidth="1"/>
    <col min="5352" max="5353" width="20" style="111" customWidth="1"/>
    <col min="5354" max="5356" width="21" style="111" customWidth="1"/>
    <col min="5357" max="5357" width="30.28515625" style="111" customWidth="1"/>
    <col min="5358" max="5358" width="22" style="111" customWidth="1"/>
    <col min="5359" max="5587" width="11.42578125" style="111"/>
    <col min="5588" max="5588" width="17.5703125" style="111" customWidth="1"/>
    <col min="5589" max="5589" width="13.5703125" style="111" customWidth="1"/>
    <col min="5590" max="5590" width="23.28515625" style="111" customWidth="1"/>
    <col min="5591" max="5591" width="21.28515625" style="111" customWidth="1"/>
    <col min="5592" max="5592" width="5.7109375" style="111" customWidth="1"/>
    <col min="5593" max="5593" width="20.7109375" style="111" customWidth="1"/>
    <col min="5594" max="5594" width="9" style="111" customWidth="1"/>
    <col min="5595" max="5595" width="16.7109375" style="111" bestFit="1" customWidth="1"/>
    <col min="5596" max="5596" width="20" style="111" customWidth="1"/>
    <col min="5597" max="5597" width="21.5703125" style="111" customWidth="1"/>
    <col min="5598" max="5598" width="20.5703125" style="111" customWidth="1"/>
    <col min="5599" max="5599" width="22.28515625" style="111" customWidth="1"/>
    <col min="5600" max="5607" width="0" style="111" hidden="1" customWidth="1"/>
    <col min="5608" max="5609" width="20" style="111" customWidth="1"/>
    <col min="5610" max="5612" width="21" style="111" customWidth="1"/>
    <col min="5613" max="5613" width="30.28515625" style="111" customWidth="1"/>
    <col min="5614" max="5614" width="22" style="111" customWidth="1"/>
    <col min="5615" max="5843" width="11.42578125" style="111"/>
    <col min="5844" max="5844" width="17.5703125" style="111" customWidth="1"/>
    <col min="5845" max="5845" width="13.5703125" style="111" customWidth="1"/>
    <col min="5846" max="5846" width="23.28515625" style="111" customWidth="1"/>
    <col min="5847" max="5847" width="21.28515625" style="111" customWidth="1"/>
    <col min="5848" max="5848" width="5.7109375" style="111" customWidth="1"/>
    <col min="5849" max="5849" width="20.7109375" style="111" customWidth="1"/>
    <col min="5850" max="5850" width="9" style="111" customWidth="1"/>
    <col min="5851" max="5851" width="16.7109375" style="111" bestFit="1" customWidth="1"/>
    <col min="5852" max="5852" width="20" style="111" customWidth="1"/>
    <col min="5853" max="5853" width="21.5703125" style="111" customWidth="1"/>
    <col min="5854" max="5854" width="20.5703125" style="111" customWidth="1"/>
    <col min="5855" max="5855" width="22.28515625" style="111" customWidth="1"/>
    <col min="5856" max="5863" width="0" style="111" hidden="1" customWidth="1"/>
    <col min="5864" max="5865" width="20" style="111" customWidth="1"/>
    <col min="5866" max="5868" width="21" style="111" customWidth="1"/>
    <col min="5869" max="5869" width="30.28515625" style="111" customWidth="1"/>
    <col min="5870" max="5870" width="22" style="111" customWidth="1"/>
    <col min="5871" max="6099" width="11.42578125" style="111"/>
    <col min="6100" max="6100" width="17.5703125" style="111" customWidth="1"/>
    <col min="6101" max="6101" width="13.5703125" style="111" customWidth="1"/>
    <col min="6102" max="6102" width="23.28515625" style="111" customWidth="1"/>
    <col min="6103" max="6103" width="21.28515625" style="111" customWidth="1"/>
    <col min="6104" max="6104" width="5.7109375" style="111" customWidth="1"/>
    <col min="6105" max="6105" width="20.7109375" style="111" customWidth="1"/>
    <col min="6106" max="6106" width="9" style="111" customWidth="1"/>
    <col min="6107" max="6107" width="16.7109375" style="111" bestFit="1" customWidth="1"/>
    <col min="6108" max="6108" width="20" style="111" customWidth="1"/>
    <col min="6109" max="6109" width="21.5703125" style="111" customWidth="1"/>
    <col min="6110" max="6110" width="20.5703125" style="111" customWidth="1"/>
    <col min="6111" max="6111" width="22.28515625" style="111" customWidth="1"/>
    <col min="6112" max="6119" width="0" style="111" hidden="1" customWidth="1"/>
    <col min="6120" max="6121" width="20" style="111" customWidth="1"/>
    <col min="6122" max="6124" width="21" style="111" customWidth="1"/>
    <col min="6125" max="6125" width="30.28515625" style="111" customWidth="1"/>
    <col min="6126" max="6126" width="22" style="111" customWidth="1"/>
    <col min="6127" max="6355" width="11.42578125" style="111"/>
    <col min="6356" max="6356" width="17.5703125" style="111" customWidth="1"/>
    <col min="6357" max="6357" width="13.5703125" style="111" customWidth="1"/>
    <col min="6358" max="6358" width="23.28515625" style="111" customWidth="1"/>
    <col min="6359" max="6359" width="21.28515625" style="111" customWidth="1"/>
    <col min="6360" max="6360" width="5.7109375" style="111" customWidth="1"/>
    <col min="6361" max="6361" width="20.7109375" style="111" customWidth="1"/>
    <col min="6362" max="6362" width="9" style="111" customWidth="1"/>
    <col min="6363" max="6363" width="16.7109375" style="111" bestFit="1" customWidth="1"/>
    <col min="6364" max="6364" width="20" style="111" customWidth="1"/>
    <col min="6365" max="6365" width="21.5703125" style="111" customWidth="1"/>
    <col min="6366" max="6366" width="20.5703125" style="111" customWidth="1"/>
    <col min="6367" max="6367" width="22.28515625" style="111" customWidth="1"/>
    <col min="6368" max="6375" width="0" style="111" hidden="1" customWidth="1"/>
    <col min="6376" max="6377" width="20" style="111" customWidth="1"/>
    <col min="6378" max="6380" width="21" style="111" customWidth="1"/>
    <col min="6381" max="6381" width="30.28515625" style="111" customWidth="1"/>
    <col min="6382" max="6382" width="22" style="111" customWidth="1"/>
    <col min="6383" max="6611" width="11.42578125" style="111"/>
    <col min="6612" max="6612" width="17.5703125" style="111" customWidth="1"/>
    <col min="6613" max="6613" width="13.5703125" style="111" customWidth="1"/>
    <col min="6614" max="6614" width="23.28515625" style="111" customWidth="1"/>
    <col min="6615" max="6615" width="21.28515625" style="111" customWidth="1"/>
    <col min="6616" max="6616" width="5.7109375" style="111" customWidth="1"/>
    <col min="6617" max="6617" width="20.7109375" style="111" customWidth="1"/>
    <col min="6618" max="6618" width="9" style="111" customWidth="1"/>
    <col min="6619" max="6619" width="16.7109375" style="111" bestFit="1" customWidth="1"/>
    <col min="6620" max="6620" width="20" style="111" customWidth="1"/>
    <col min="6621" max="6621" width="21.5703125" style="111" customWidth="1"/>
    <col min="6622" max="6622" width="20.5703125" style="111" customWidth="1"/>
    <col min="6623" max="6623" width="22.28515625" style="111" customWidth="1"/>
    <col min="6624" max="6631" width="0" style="111" hidden="1" customWidth="1"/>
    <col min="6632" max="6633" width="20" style="111" customWidth="1"/>
    <col min="6634" max="6636" width="21" style="111" customWidth="1"/>
    <col min="6637" max="6637" width="30.28515625" style="111" customWidth="1"/>
    <col min="6638" max="6638" width="22" style="111" customWidth="1"/>
    <col min="6639" max="6867" width="11.42578125" style="111"/>
    <col min="6868" max="6868" width="17.5703125" style="111" customWidth="1"/>
    <col min="6869" max="6869" width="13.5703125" style="111" customWidth="1"/>
    <col min="6870" max="6870" width="23.28515625" style="111" customWidth="1"/>
    <col min="6871" max="6871" width="21.28515625" style="111" customWidth="1"/>
    <col min="6872" max="6872" width="5.7109375" style="111" customWidth="1"/>
    <col min="6873" max="6873" width="20.7109375" style="111" customWidth="1"/>
    <col min="6874" max="6874" width="9" style="111" customWidth="1"/>
    <col min="6875" max="6875" width="16.7109375" style="111" bestFit="1" customWidth="1"/>
    <col min="6876" max="6876" width="20" style="111" customWidth="1"/>
    <col min="6877" max="6877" width="21.5703125" style="111" customWidth="1"/>
    <col min="6878" max="6878" width="20.5703125" style="111" customWidth="1"/>
    <col min="6879" max="6879" width="22.28515625" style="111" customWidth="1"/>
    <col min="6880" max="6887" width="0" style="111" hidden="1" customWidth="1"/>
    <col min="6888" max="6889" width="20" style="111" customWidth="1"/>
    <col min="6890" max="6892" width="21" style="111" customWidth="1"/>
    <col min="6893" max="6893" width="30.28515625" style="111" customWidth="1"/>
    <col min="6894" max="6894" width="22" style="111" customWidth="1"/>
    <col min="6895" max="7123" width="11.42578125" style="111"/>
    <col min="7124" max="7124" width="17.5703125" style="111" customWidth="1"/>
    <col min="7125" max="7125" width="13.5703125" style="111" customWidth="1"/>
    <col min="7126" max="7126" width="23.28515625" style="111" customWidth="1"/>
    <col min="7127" max="7127" width="21.28515625" style="111" customWidth="1"/>
    <col min="7128" max="7128" width="5.7109375" style="111" customWidth="1"/>
    <col min="7129" max="7129" width="20.7109375" style="111" customWidth="1"/>
    <col min="7130" max="7130" width="9" style="111" customWidth="1"/>
    <col min="7131" max="7131" width="16.7109375" style="111" bestFit="1" customWidth="1"/>
    <col min="7132" max="7132" width="20" style="111" customWidth="1"/>
    <col min="7133" max="7133" width="21.5703125" style="111" customWidth="1"/>
    <col min="7134" max="7134" width="20.5703125" style="111" customWidth="1"/>
    <col min="7135" max="7135" width="22.28515625" style="111" customWidth="1"/>
    <col min="7136" max="7143" width="0" style="111" hidden="1" customWidth="1"/>
    <col min="7144" max="7145" width="20" style="111" customWidth="1"/>
    <col min="7146" max="7148" width="21" style="111" customWidth="1"/>
    <col min="7149" max="7149" width="30.28515625" style="111" customWidth="1"/>
    <col min="7150" max="7150" width="22" style="111" customWidth="1"/>
    <col min="7151" max="7379" width="11.42578125" style="111"/>
    <col min="7380" max="7380" width="17.5703125" style="111" customWidth="1"/>
    <col min="7381" max="7381" width="13.5703125" style="111" customWidth="1"/>
    <col min="7382" max="7382" width="23.28515625" style="111" customWidth="1"/>
    <col min="7383" max="7383" width="21.28515625" style="111" customWidth="1"/>
    <col min="7384" max="7384" width="5.7109375" style="111" customWidth="1"/>
    <col min="7385" max="7385" width="20.7109375" style="111" customWidth="1"/>
    <col min="7386" max="7386" width="9" style="111" customWidth="1"/>
    <col min="7387" max="7387" width="16.7109375" style="111" bestFit="1" customWidth="1"/>
    <col min="7388" max="7388" width="20" style="111" customWidth="1"/>
    <col min="7389" max="7389" width="21.5703125" style="111" customWidth="1"/>
    <col min="7390" max="7390" width="20.5703125" style="111" customWidth="1"/>
    <col min="7391" max="7391" width="22.28515625" style="111" customWidth="1"/>
    <col min="7392" max="7399" width="0" style="111" hidden="1" customWidth="1"/>
    <col min="7400" max="7401" width="20" style="111" customWidth="1"/>
    <col min="7402" max="7404" width="21" style="111" customWidth="1"/>
    <col min="7405" max="7405" width="30.28515625" style="111" customWidth="1"/>
    <col min="7406" max="7406" width="22" style="111" customWidth="1"/>
    <col min="7407" max="7635" width="11.42578125" style="111"/>
    <col min="7636" max="7636" width="17.5703125" style="111" customWidth="1"/>
    <col min="7637" max="7637" width="13.5703125" style="111" customWidth="1"/>
    <col min="7638" max="7638" width="23.28515625" style="111" customWidth="1"/>
    <col min="7639" max="7639" width="21.28515625" style="111" customWidth="1"/>
    <col min="7640" max="7640" width="5.7109375" style="111" customWidth="1"/>
    <col min="7641" max="7641" width="20.7109375" style="111" customWidth="1"/>
    <col min="7642" max="7642" width="9" style="111" customWidth="1"/>
    <col min="7643" max="7643" width="16.7109375" style="111" bestFit="1" customWidth="1"/>
    <col min="7644" max="7644" width="20" style="111" customWidth="1"/>
    <col min="7645" max="7645" width="21.5703125" style="111" customWidth="1"/>
    <col min="7646" max="7646" width="20.5703125" style="111" customWidth="1"/>
    <col min="7647" max="7647" width="22.28515625" style="111" customWidth="1"/>
    <col min="7648" max="7655" width="0" style="111" hidden="1" customWidth="1"/>
    <col min="7656" max="7657" width="20" style="111" customWidth="1"/>
    <col min="7658" max="7660" width="21" style="111" customWidth="1"/>
    <col min="7661" max="7661" width="30.28515625" style="111" customWidth="1"/>
    <col min="7662" max="7662" width="22" style="111" customWidth="1"/>
    <col min="7663" max="7891" width="11.42578125" style="111"/>
    <col min="7892" max="7892" width="17.5703125" style="111" customWidth="1"/>
    <col min="7893" max="7893" width="13.5703125" style="111" customWidth="1"/>
    <col min="7894" max="7894" width="23.28515625" style="111" customWidth="1"/>
    <col min="7895" max="7895" width="21.28515625" style="111" customWidth="1"/>
    <col min="7896" max="7896" width="5.7109375" style="111" customWidth="1"/>
    <col min="7897" max="7897" width="20.7109375" style="111" customWidth="1"/>
    <col min="7898" max="7898" width="9" style="111" customWidth="1"/>
    <col min="7899" max="7899" width="16.7109375" style="111" bestFit="1" customWidth="1"/>
    <col min="7900" max="7900" width="20" style="111" customWidth="1"/>
    <col min="7901" max="7901" width="21.5703125" style="111" customWidth="1"/>
    <col min="7902" max="7902" width="20.5703125" style="111" customWidth="1"/>
    <col min="7903" max="7903" width="22.28515625" style="111" customWidth="1"/>
    <col min="7904" max="7911" width="0" style="111" hidden="1" customWidth="1"/>
    <col min="7912" max="7913" width="20" style="111" customWidth="1"/>
    <col min="7914" max="7916" width="21" style="111" customWidth="1"/>
    <col min="7917" max="7917" width="30.28515625" style="111" customWidth="1"/>
    <col min="7918" max="7918" width="22" style="111" customWidth="1"/>
    <col min="7919" max="8147" width="11.42578125" style="111"/>
    <col min="8148" max="8148" width="17.5703125" style="111" customWidth="1"/>
    <col min="8149" max="8149" width="13.5703125" style="111" customWidth="1"/>
    <col min="8150" max="8150" width="23.28515625" style="111" customWidth="1"/>
    <col min="8151" max="8151" width="21.28515625" style="111" customWidth="1"/>
    <col min="8152" max="8152" width="5.7109375" style="111" customWidth="1"/>
    <col min="8153" max="8153" width="20.7109375" style="111" customWidth="1"/>
    <col min="8154" max="8154" width="9" style="111" customWidth="1"/>
    <col min="8155" max="8155" width="16.7109375" style="111" bestFit="1" customWidth="1"/>
    <col min="8156" max="8156" width="20" style="111" customWidth="1"/>
    <col min="8157" max="8157" width="21.5703125" style="111" customWidth="1"/>
    <col min="8158" max="8158" width="20.5703125" style="111" customWidth="1"/>
    <col min="8159" max="8159" width="22.28515625" style="111" customWidth="1"/>
    <col min="8160" max="8167" width="0" style="111" hidden="1" customWidth="1"/>
    <col min="8168" max="8169" width="20" style="111" customWidth="1"/>
    <col min="8170" max="8172" width="21" style="111" customWidth="1"/>
    <col min="8173" max="8173" width="30.28515625" style="111" customWidth="1"/>
    <col min="8174" max="8174" width="22" style="111" customWidth="1"/>
    <col min="8175" max="8403" width="11.42578125" style="111"/>
    <col min="8404" max="8404" width="17.5703125" style="111" customWidth="1"/>
    <col min="8405" max="8405" width="13.5703125" style="111" customWidth="1"/>
    <col min="8406" max="8406" width="23.28515625" style="111" customWidth="1"/>
    <col min="8407" max="8407" width="21.28515625" style="111" customWidth="1"/>
    <col min="8408" max="8408" width="5.7109375" style="111" customWidth="1"/>
    <col min="8409" max="8409" width="20.7109375" style="111" customWidth="1"/>
    <col min="8410" max="8410" width="9" style="111" customWidth="1"/>
    <col min="8411" max="8411" width="16.7109375" style="111" bestFit="1" customWidth="1"/>
    <col min="8412" max="8412" width="20" style="111" customWidth="1"/>
    <col min="8413" max="8413" width="21.5703125" style="111" customWidth="1"/>
    <col min="8414" max="8414" width="20.5703125" style="111" customWidth="1"/>
    <col min="8415" max="8415" width="22.28515625" style="111" customWidth="1"/>
    <col min="8416" max="8423" width="0" style="111" hidden="1" customWidth="1"/>
    <col min="8424" max="8425" width="20" style="111" customWidth="1"/>
    <col min="8426" max="8428" width="21" style="111" customWidth="1"/>
    <col min="8429" max="8429" width="30.28515625" style="111" customWidth="1"/>
    <col min="8430" max="8430" width="22" style="111" customWidth="1"/>
    <col min="8431" max="8659" width="11.42578125" style="111"/>
    <col min="8660" max="8660" width="17.5703125" style="111" customWidth="1"/>
    <col min="8661" max="8661" width="13.5703125" style="111" customWidth="1"/>
    <col min="8662" max="8662" width="23.28515625" style="111" customWidth="1"/>
    <col min="8663" max="8663" width="21.28515625" style="111" customWidth="1"/>
    <col min="8664" max="8664" width="5.7109375" style="111" customWidth="1"/>
    <col min="8665" max="8665" width="20.7109375" style="111" customWidth="1"/>
    <col min="8666" max="8666" width="9" style="111" customWidth="1"/>
    <col min="8667" max="8667" width="16.7109375" style="111" bestFit="1" customWidth="1"/>
    <col min="8668" max="8668" width="20" style="111" customWidth="1"/>
    <col min="8669" max="8669" width="21.5703125" style="111" customWidth="1"/>
    <col min="8670" max="8670" width="20.5703125" style="111" customWidth="1"/>
    <col min="8671" max="8671" width="22.28515625" style="111" customWidth="1"/>
    <col min="8672" max="8679" width="0" style="111" hidden="1" customWidth="1"/>
    <col min="8680" max="8681" width="20" style="111" customWidth="1"/>
    <col min="8682" max="8684" width="21" style="111" customWidth="1"/>
    <col min="8685" max="8685" width="30.28515625" style="111" customWidth="1"/>
    <col min="8686" max="8686" width="22" style="111" customWidth="1"/>
    <col min="8687" max="8915" width="11.42578125" style="111"/>
    <col min="8916" max="8916" width="17.5703125" style="111" customWidth="1"/>
    <col min="8917" max="8917" width="13.5703125" style="111" customWidth="1"/>
    <col min="8918" max="8918" width="23.28515625" style="111" customWidth="1"/>
    <col min="8919" max="8919" width="21.28515625" style="111" customWidth="1"/>
    <col min="8920" max="8920" width="5.7109375" style="111" customWidth="1"/>
    <col min="8921" max="8921" width="20.7109375" style="111" customWidth="1"/>
    <col min="8922" max="8922" width="9" style="111" customWidth="1"/>
    <col min="8923" max="8923" width="16.7109375" style="111" bestFit="1" customWidth="1"/>
    <col min="8924" max="8924" width="20" style="111" customWidth="1"/>
    <col min="8925" max="8925" width="21.5703125" style="111" customWidth="1"/>
    <col min="8926" max="8926" width="20.5703125" style="111" customWidth="1"/>
    <col min="8927" max="8927" width="22.28515625" style="111" customWidth="1"/>
    <col min="8928" max="8935" width="0" style="111" hidden="1" customWidth="1"/>
    <col min="8936" max="8937" width="20" style="111" customWidth="1"/>
    <col min="8938" max="8940" width="21" style="111" customWidth="1"/>
    <col min="8941" max="8941" width="30.28515625" style="111" customWidth="1"/>
    <col min="8942" max="8942" width="22" style="111" customWidth="1"/>
    <col min="8943" max="9171" width="11.42578125" style="111"/>
    <col min="9172" max="9172" width="17.5703125" style="111" customWidth="1"/>
    <col min="9173" max="9173" width="13.5703125" style="111" customWidth="1"/>
    <col min="9174" max="9174" width="23.28515625" style="111" customWidth="1"/>
    <col min="9175" max="9175" width="21.28515625" style="111" customWidth="1"/>
    <col min="9176" max="9176" width="5.7109375" style="111" customWidth="1"/>
    <col min="9177" max="9177" width="20.7109375" style="111" customWidth="1"/>
    <col min="9178" max="9178" width="9" style="111" customWidth="1"/>
    <col min="9179" max="9179" width="16.7109375" style="111" bestFit="1" customWidth="1"/>
    <col min="9180" max="9180" width="20" style="111" customWidth="1"/>
    <col min="9181" max="9181" width="21.5703125" style="111" customWidth="1"/>
    <col min="9182" max="9182" width="20.5703125" style="111" customWidth="1"/>
    <col min="9183" max="9183" width="22.28515625" style="111" customWidth="1"/>
    <col min="9184" max="9191" width="0" style="111" hidden="1" customWidth="1"/>
    <col min="9192" max="9193" width="20" style="111" customWidth="1"/>
    <col min="9194" max="9196" width="21" style="111" customWidth="1"/>
    <col min="9197" max="9197" width="30.28515625" style="111" customWidth="1"/>
    <col min="9198" max="9198" width="22" style="111" customWidth="1"/>
    <col min="9199" max="9427" width="11.42578125" style="111"/>
    <col min="9428" max="9428" width="17.5703125" style="111" customWidth="1"/>
    <col min="9429" max="9429" width="13.5703125" style="111" customWidth="1"/>
    <col min="9430" max="9430" width="23.28515625" style="111" customWidth="1"/>
    <col min="9431" max="9431" width="21.28515625" style="111" customWidth="1"/>
    <col min="9432" max="9432" width="5.7109375" style="111" customWidth="1"/>
    <col min="9433" max="9433" width="20.7109375" style="111" customWidth="1"/>
    <col min="9434" max="9434" width="9" style="111" customWidth="1"/>
    <col min="9435" max="9435" width="16.7109375" style="111" bestFit="1" customWidth="1"/>
    <col min="9436" max="9436" width="20" style="111" customWidth="1"/>
    <col min="9437" max="9437" width="21.5703125" style="111" customWidth="1"/>
    <col min="9438" max="9438" width="20.5703125" style="111" customWidth="1"/>
    <col min="9439" max="9439" width="22.28515625" style="111" customWidth="1"/>
    <col min="9440" max="9447" width="0" style="111" hidden="1" customWidth="1"/>
    <col min="9448" max="9449" width="20" style="111" customWidth="1"/>
    <col min="9450" max="9452" width="21" style="111" customWidth="1"/>
    <col min="9453" max="9453" width="30.28515625" style="111" customWidth="1"/>
    <col min="9454" max="9454" width="22" style="111" customWidth="1"/>
    <col min="9455" max="9683" width="11.42578125" style="111"/>
    <col min="9684" max="9684" width="17.5703125" style="111" customWidth="1"/>
    <col min="9685" max="9685" width="13.5703125" style="111" customWidth="1"/>
    <col min="9686" max="9686" width="23.28515625" style="111" customWidth="1"/>
    <col min="9687" max="9687" width="21.28515625" style="111" customWidth="1"/>
    <col min="9688" max="9688" width="5.7109375" style="111" customWidth="1"/>
    <col min="9689" max="9689" width="20.7109375" style="111" customWidth="1"/>
    <col min="9690" max="9690" width="9" style="111" customWidth="1"/>
    <col min="9691" max="9691" width="16.7109375" style="111" bestFit="1" customWidth="1"/>
    <col min="9692" max="9692" width="20" style="111" customWidth="1"/>
    <col min="9693" max="9693" width="21.5703125" style="111" customWidth="1"/>
    <col min="9694" max="9694" width="20.5703125" style="111" customWidth="1"/>
    <col min="9695" max="9695" width="22.28515625" style="111" customWidth="1"/>
    <col min="9696" max="9703" width="0" style="111" hidden="1" customWidth="1"/>
    <col min="9704" max="9705" width="20" style="111" customWidth="1"/>
    <col min="9706" max="9708" width="21" style="111" customWidth="1"/>
    <col min="9709" max="9709" width="30.28515625" style="111" customWidth="1"/>
    <col min="9710" max="9710" width="22" style="111" customWidth="1"/>
    <col min="9711" max="9939" width="11.42578125" style="111"/>
    <col min="9940" max="9940" width="17.5703125" style="111" customWidth="1"/>
    <col min="9941" max="9941" width="13.5703125" style="111" customWidth="1"/>
    <col min="9942" max="9942" width="23.28515625" style="111" customWidth="1"/>
    <col min="9943" max="9943" width="21.28515625" style="111" customWidth="1"/>
    <col min="9944" max="9944" width="5.7109375" style="111" customWidth="1"/>
    <col min="9945" max="9945" width="20.7109375" style="111" customWidth="1"/>
    <col min="9946" max="9946" width="9" style="111" customWidth="1"/>
    <col min="9947" max="9947" width="16.7109375" style="111" bestFit="1" customWidth="1"/>
    <col min="9948" max="9948" width="20" style="111" customWidth="1"/>
    <col min="9949" max="9949" width="21.5703125" style="111" customWidth="1"/>
    <col min="9950" max="9950" width="20.5703125" style="111" customWidth="1"/>
    <col min="9951" max="9951" width="22.28515625" style="111" customWidth="1"/>
    <col min="9952" max="9959" width="0" style="111" hidden="1" customWidth="1"/>
    <col min="9960" max="9961" width="20" style="111" customWidth="1"/>
    <col min="9962" max="9964" width="21" style="111" customWidth="1"/>
    <col min="9965" max="9965" width="30.28515625" style="111" customWidth="1"/>
    <col min="9966" max="9966" width="22" style="111" customWidth="1"/>
    <col min="9967" max="10195" width="11.42578125" style="111"/>
    <col min="10196" max="10196" width="17.5703125" style="111" customWidth="1"/>
    <col min="10197" max="10197" width="13.5703125" style="111" customWidth="1"/>
    <col min="10198" max="10198" width="23.28515625" style="111" customWidth="1"/>
    <col min="10199" max="10199" width="21.28515625" style="111" customWidth="1"/>
    <col min="10200" max="10200" width="5.7109375" style="111" customWidth="1"/>
    <col min="10201" max="10201" width="20.7109375" style="111" customWidth="1"/>
    <col min="10202" max="10202" width="9" style="111" customWidth="1"/>
    <col min="10203" max="10203" width="16.7109375" style="111" bestFit="1" customWidth="1"/>
    <col min="10204" max="10204" width="20" style="111" customWidth="1"/>
    <col min="10205" max="10205" width="21.5703125" style="111" customWidth="1"/>
    <col min="10206" max="10206" width="20.5703125" style="111" customWidth="1"/>
    <col min="10207" max="10207" width="22.28515625" style="111" customWidth="1"/>
    <col min="10208" max="10215" width="0" style="111" hidden="1" customWidth="1"/>
    <col min="10216" max="10217" width="20" style="111" customWidth="1"/>
    <col min="10218" max="10220" width="21" style="111" customWidth="1"/>
    <col min="10221" max="10221" width="30.28515625" style="111" customWidth="1"/>
    <col min="10222" max="10222" width="22" style="111" customWidth="1"/>
    <col min="10223" max="10451" width="11.42578125" style="111"/>
    <col min="10452" max="10452" width="17.5703125" style="111" customWidth="1"/>
    <col min="10453" max="10453" width="13.5703125" style="111" customWidth="1"/>
    <col min="10454" max="10454" width="23.28515625" style="111" customWidth="1"/>
    <col min="10455" max="10455" width="21.28515625" style="111" customWidth="1"/>
    <col min="10456" max="10456" width="5.7109375" style="111" customWidth="1"/>
    <col min="10457" max="10457" width="20.7109375" style="111" customWidth="1"/>
    <col min="10458" max="10458" width="9" style="111" customWidth="1"/>
    <col min="10459" max="10459" width="16.7109375" style="111" bestFit="1" customWidth="1"/>
    <col min="10460" max="10460" width="20" style="111" customWidth="1"/>
    <col min="10461" max="10461" width="21.5703125" style="111" customWidth="1"/>
    <col min="10462" max="10462" width="20.5703125" style="111" customWidth="1"/>
    <col min="10463" max="10463" width="22.28515625" style="111" customWidth="1"/>
    <col min="10464" max="10471" width="0" style="111" hidden="1" customWidth="1"/>
    <col min="10472" max="10473" width="20" style="111" customWidth="1"/>
    <col min="10474" max="10476" width="21" style="111" customWidth="1"/>
    <col min="10477" max="10477" width="30.28515625" style="111" customWidth="1"/>
    <col min="10478" max="10478" width="22" style="111" customWidth="1"/>
    <col min="10479" max="10707" width="11.42578125" style="111"/>
    <col min="10708" max="10708" width="17.5703125" style="111" customWidth="1"/>
    <col min="10709" max="10709" width="13.5703125" style="111" customWidth="1"/>
    <col min="10710" max="10710" width="23.28515625" style="111" customWidth="1"/>
    <col min="10711" max="10711" width="21.28515625" style="111" customWidth="1"/>
    <col min="10712" max="10712" width="5.7109375" style="111" customWidth="1"/>
    <col min="10713" max="10713" width="20.7109375" style="111" customWidth="1"/>
    <col min="10714" max="10714" width="9" style="111" customWidth="1"/>
    <col min="10715" max="10715" width="16.7109375" style="111" bestFit="1" customWidth="1"/>
    <col min="10716" max="10716" width="20" style="111" customWidth="1"/>
    <col min="10717" max="10717" width="21.5703125" style="111" customWidth="1"/>
    <col min="10718" max="10718" width="20.5703125" style="111" customWidth="1"/>
    <col min="10719" max="10719" width="22.28515625" style="111" customWidth="1"/>
    <col min="10720" max="10727" width="0" style="111" hidden="1" customWidth="1"/>
    <col min="10728" max="10729" width="20" style="111" customWidth="1"/>
    <col min="10730" max="10732" width="21" style="111" customWidth="1"/>
    <col min="10733" max="10733" width="30.28515625" style="111" customWidth="1"/>
    <col min="10734" max="10734" width="22" style="111" customWidth="1"/>
    <col min="10735" max="10963" width="11.42578125" style="111"/>
    <col min="10964" max="10964" width="17.5703125" style="111" customWidth="1"/>
    <col min="10965" max="10965" width="13.5703125" style="111" customWidth="1"/>
    <col min="10966" max="10966" width="23.28515625" style="111" customWidth="1"/>
    <col min="10967" max="10967" width="21.28515625" style="111" customWidth="1"/>
    <col min="10968" max="10968" width="5.7109375" style="111" customWidth="1"/>
    <col min="10969" max="10969" width="20.7109375" style="111" customWidth="1"/>
    <col min="10970" max="10970" width="9" style="111" customWidth="1"/>
    <col min="10971" max="10971" width="16.7109375" style="111" bestFit="1" customWidth="1"/>
    <col min="10972" max="10972" width="20" style="111" customWidth="1"/>
    <col min="10973" max="10973" width="21.5703125" style="111" customWidth="1"/>
    <col min="10974" max="10974" width="20.5703125" style="111" customWidth="1"/>
    <col min="10975" max="10975" width="22.28515625" style="111" customWidth="1"/>
    <col min="10976" max="10983" width="0" style="111" hidden="1" customWidth="1"/>
    <col min="10984" max="10985" width="20" style="111" customWidth="1"/>
    <col min="10986" max="10988" width="21" style="111" customWidth="1"/>
    <col min="10989" max="10989" width="30.28515625" style="111" customWidth="1"/>
    <col min="10990" max="10990" width="22" style="111" customWidth="1"/>
    <col min="10991" max="11219" width="11.42578125" style="111"/>
    <col min="11220" max="11220" width="17.5703125" style="111" customWidth="1"/>
    <col min="11221" max="11221" width="13.5703125" style="111" customWidth="1"/>
    <col min="11222" max="11222" width="23.28515625" style="111" customWidth="1"/>
    <col min="11223" max="11223" width="21.28515625" style="111" customWidth="1"/>
    <col min="11224" max="11224" width="5.7109375" style="111" customWidth="1"/>
    <col min="11225" max="11225" width="20.7109375" style="111" customWidth="1"/>
    <col min="11226" max="11226" width="9" style="111" customWidth="1"/>
    <col min="11227" max="11227" width="16.7109375" style="111" bestFit="1" customWidth="1"/>
    <col min="11228" max="11228" width="20" style="111" customWidth="1"/>
    <col min="11229" max="11229" width="21.5703125" style="111" customWidth="1"/>
    <col min="11230" max="11230" width="20.5703125" style="111" customWidth="1"/>
    <col min="11231" max="11231" width="22.28515625" style="111" customWidth="1"/>
    <col min="11232" max="11239" width="0" style="111" hidden="1" customWidth="1"/>
    <col min="11240" max="11241" width="20" style="111" customWidth="1"/>
    <col min="11242" max="11244" width="21" style="111" customWidth="1"/>
    <col min="11245" max="11245" width="30.28515625" style="111" customWidth="1"/>
    <col min="11246" max="11246" width="22" style="111" customWidth="1"/>
    <col min="11247" max="11475" width="11.42578125" style="111"/>
    <col min="11476" max="11476" width="17.5703125" style="111" customWidth="1"/>
    <col min="11477" max="11477" width="13.5703125" style="111" customWidth="1"/>
    <col min="11478" max="11478" width="23.28515625" style="111" customWidth="1"/>
    <col min="11479" max="11479" width="21.28515625" style="111" customWidth="1"/>
    <col min="11480" max="11480" width="5.7109375" style="111" customWidth="1"/>
    <col min="11481" max="11481" width="20.7109375" style="111" customWidth="1"/>
    <col min="11482" max="11482" width="9" style="111" customWidth="1"/>
    <col min="11483" max="11483" width="16.7109375" style="111" bestFit="1" customWidth="1"/>
    <col min="11484" max="11484" width="20" style="111" customWidth="1"/>
    <col min="11485" max="11485" width="21.5703125" style="111" customWidth="1"/>
    <col min="11486" max="11486" width="20.5703125" style="111" customWidth="1"/>
    <col min="11487" max="11487" width="22.28515625" style="111" customWidth="1"/>
    <col min="11488" max="11495" width="0" style="111" hidden="1" customWidth="1"/>
    <col min="11496" max="11497" width="20" style="111" customWidth="1"/>
    <col min="11498" max="11500" width="21" style="111" customWidth="1"/>
    <col min="11501" max="11501" width="30.28515625" style="111" customWidth="1"/>
    <col min="11502" max="11502" width="22" style="111" customWidth="1"/>
    <col min="11503" max="11731" width="11.42578125" style="111"/>
    <col min="11732" max="11732" width="17.5703125" style="111" customWidth="1"/>
    <col min="11733" max="11733" width="13.5703125" style="111" customWidth="1"/>
    <col min="11734" max="11734" width="23.28515625" style="111" customWidth="1"/>
    <col min="11735" max="11735" width="21.28515625" style="111" customWidth="1"/>
    <col min="11736" max="11736" width="5.7109375" style="111" customWidth="1"/>
    <col min="11737" max="11737" width="20.7109375" style="111" customWidth="1"/>
    <col min="11738" max="11738" width="9" style="111" customWidth="1"/>
    <col min="11739" max="11739" width="16.7109375" style="111" bestFit="1" customWidth="1"/>
    <col min="11740" max="11740" width="20" style="111" customWidth="1"/>
    <col min="11741" max="11741" width="21.5703125" style="111" customWidth="1"/>
    <col min="11742" max="11742" width="20.5703125" style="111" customWidth="1"/>
    <col min="11743" max="11743" width="22.28515625" style="111" customWidth="1"/>
    <col min="11744" max="11751" width="0" style="111" hidden="1" customWidth="1"/>
    <col min="11752" max="11753" width="20" style="111" customWidth="1"/>
    <col min="11754" max="11756" width="21" style="111" customWidth="1"/>
    <col min="11757" max="11757" width="30.28515625" style="111" customWidth="1"/>
    <col min="11758" max="11758" width="22" style="111" customWidth="1"/>
    <col min="11759" max="11987" width="11.42578125" style="111"/>
    <col min="11988" max="11988" width="17.5703125" style="111" customWidth="1"/>
    <col min="11989" max="11989" width="13.5703125" style="111" customWidth="1"/>
    <col min="11990" max="11990" width="23.28515625" style="111" customWidth="1"/>
    <col min="11991" max="11991" width="21.28515625" style="111" customWidth="1"/>
    <col min="11992" max="11992" width="5.7109375" style="111" customWidth="1"/>
    <col min="11993" max="11993" width="20.7109375" style="111" customWidth="1"/>
    <col min="11994" max="11994" width="9" style="111" customWidth="1"/>
    <col min="11995" max="11995" width="16.7109375" style="111" bestFit="1" customWidth="1"/>
    <col min="11996" max="11996" width="20" style="111" customWidth="1"/>
    <col min="11997" max="11997" width="21.5703125" style="111" customWidth="1"/>
    <col min="11998" max="11998" width="20.5703125" style="111" customWidth="1"/>
    <col min="11999" max="11999" width="22.28515625" style="111" customWidth="1"/>
    <col min="12000" max="12007" width="0" style="111" hidden="1" customWidth="1"/>
    <col min="12008" max="12009" width="20" style="111" customWidth="1"/>
    <col min="12010" max="12012" width="21" style="111" customWidth="1"/>
    <col min="12013" max="12013" width="30.28515625" style="111" customWidth="1"/>
    <col min="12014" max="12014" width="22" style="111" customWidth="1"/>
    <col min="12015" max="12243" width="11.42578125" style="111"/>
    <col min="12244" max="12244" width="17.5703125" style="111" customWidth="1"/>
    <col min="12245" max="12245" width="13.5703125" style="111" customWidth="1"/>
    <col min="12246" max="12246" width="23.28515625" style="111" customWidth="1"/>
    <col min="12247" max="12247" width="21.28515625" style="111" customWidth="1"/>
    <col min="12248" max="12248" width="5.7109375" style="111" customWidth="1"/>
    <col min="12249" max="12249" width="20.7109375" style="111" customWidth="1"/>
    <col min="12250" max="12250" width="9" style="111" customWidth="1"/>
    <col min="12251" max="12251" width="16.7109375" style="111" bestFit="1" customWidth="1"/>
    <col min="12252" max="12252" width="20" style="111" customWidth="1"/>
    <col min="12253" max="12253" width="21.5703125" style="111" customWidth="1"/>
    <col min="12254" max="12254" width="20.5703125" style="111" customWidth="1"/>
    <col min="12255" max="12255" width="22.28515625" style="111" customWidth="1"/>
    <col min="12256" max="12263" width="0" style="111" hidden="1" customWidth="1"/>
    <col min="12264" max="12265" width="20" style="111" customWidth="1"/>
    <col min="12266" max="12268" width="21" style="111" customWidth="1"/>
    <col min="12269" max="12269" width="30.28515625" style="111" customWidth="1"/>
    <col min="12270" max="12270" width="22" style="111" customWidth="1"/>
    <col min="12271" max="12499" width="11.42578125" style="111"/>
    <col min="12500" max="12500" width="17.5703125" style="111" customWidth="1"/>
    <col min="12501" max="12501" width="13.5703125" style="111" customWidth="1"/>
    <col min="12502" max="12502" width="23.28515625" style="111" customWidth="1"/>
    <col min="12503" max="12503" width="21.28515625" style="111" customWidth="1"/>
    <col min="12504" max="12504" width="5.7109375" style="111" customWidth="1"/>
    <col min="12505" max="12505" width="20.7109375" style="111" customWidth="1"/>
    <col min="12506" max="12506" width="9" style="111" customWidth="1"/>
    <col min="12507" max="12507" width="16.7109375" style="111" bestFit="1" customWidth="1"/>
    <col min="12508" max="12508" width="20" style="111" customWidth="1"/>
    <col min="12509" max="12509" width="21.5703125" style="111" customWidth="1"/>
    <col min="12510" max="12510" width="20.5703125" style="111" customWidth="1"/>
    <col min="12511" max="12511" width="22.28515625" style="111" customWidth="1"/>
    <col min="12512" max="12519" width="0" style="111" hidden="1" customWidth="1"/>
    <col min="12520" max="12521" width="20" style="111" customWidth="1"/>
    <col min="12522" max="12524" width="21" style="111" customWidth="1"/>
    <col min="12525" max="12525" width="30.28515625" style="111" customWidth="1"/>
    <col min="12526" max="12526" width="22" style="111" customWidth="1"/>
    <col min="12527" max="12755" width="11.42578125" style="111"/>
    <col min="12756" max="12756" width="17.5703125" style="111" customWidth="1"/>
    <col min="12757" max="12757" width="13.5703125" style="111" customWidth="1"/>
    <col min="12758" max="12758" width="23.28515625" style="111" customWidth="1"/>
    <col min="12759" max="12759" width="21.28515625" style="111" customWidth="1"/>
    <col min="12760" max="12760" width="5.7109375" style="111" customWidth="1"/>
    <col min="12761" max="12761" width="20.7109375" style="111" customWidth="1"/>
    <col min="12762" max="12762" width="9" style="111" customWidth="1"/>
    <col min="12763" max="12763" width="16.7109375" style="111" bestFit="1" customWidth="1"/>
    <col min="12764" max="12764" width="20" style="111" customWidth="1"/>
    <col min="12765" max="12765" width="21.5703125" style="111" customWidth="1"/>
    <col min="12766" max="12766" width="20.5703125" style="111" customWidth="1"/>
    <col min="12767" max="12767" width="22.28515625" style="111" customWidth="1"/>
    <col min="12768" max="12775" width="0" style="111" hidden="1" customWidth="1"/>
    <col min="12776" max="12777" width="20" style="111" customWidth="1"/>
    <col min="12778" max="12780" width="21" style="111" customWidth="1"/>
    <col min="12781" max="12781" width="30.28515625" style="111" customWidth="1"/>
    <col min="12782" max="12782" width="22" style="111" customWidth="1"/>
    <col min="12783" max="13011" width="11.42578125" style="111"/>
    <col min="13012" max="13012" width="17.5703125" style="111" customWidth="1"/>
    <col min="13013" max="13013" width="13.5703125" style="111" customWidth="1"/>
    <col min="13014" max="13014" width="23.28515625" style="111" customWidth="1"/>
    <col min="13015" max="13015" width="21.28515625" style="111" customWidth="1"/>
    <col min="13016" max="13016" width="5.7109375" style="111" customWidth="1"/>
    <col min="13017" max="13017" width="20.7109375" style="111" customWidth="1"/>
    <col min="13018" max="13018" width="9" style="111" customWidth="1"/>
    <col min="13019" max="13019" width="16.7109375" style="111" bestFit="1" customWidth="1"/>
    <col min="13020" max="13020" width="20" style="111" customWidth="1"/>
    <col min="13021" max="13021" width="21.5703125" style="111" customWidth="1"/>
    <col min="13022" max="13022" width="20.5703125" style="111" customWidth="1"/>
    <col min="13023" max="13023" width="22.28515625" style="111" customWidth="1"/>
    <col min="13024" max="13031" width="0" style="111" hidden="1" customWidth="1"/>
    <col min="13032" max="13033" width="20" style="111" customWidth="1"/>
    <col min="13034" max="13036" width="21" style="111" customWidth="1"/>
    <col min="13037" max="13037" width="30.28515625" style="111" customWidth="1"/>
    <col min="13038" max="13038" width="22" style="111" customWidth="1"/>
    <col min="13039" max="13267" width="11.42578125" style="111"/>
    <col min="13268" max="13268" width="17.5703125" style="111" customWidth="1"/>
    <col min="13269" max="13269" width="13.5703125" style="111" customWidth="1"/>
    <col min="13270" max="13270" width="23.28515625" style="111" customWidth="1"/>
    <col min="13271" max="13271" width="21.28515625" style="111" customWidth="1"/>
    <col min="13272" max="13272" width="5.7109375" style="111" customWidth="1"/>
    <col min="13273" max="13273" width="20.7109375" style="111" customWidth="1"/>
    <col min="13274" max="13274" width="9" style="111" customWidth="1"/>
    <col min="13275" max="13275" width="16.7109375" style="111" bestFit="1" customWidth="1"/>
    <col min="13276" max="13276" width="20" style="111" customWidth="1"/>
    <col min="13277" max="13277" width="21.5703125" style="111" customWidth="1"/>
    <col min="13278" max="13278" width="20.5703125" style="111" customWidth="1"/>
    <col min="13279" max="13279" width="22.28515625" style="111" customWidth="1"/>
    <col min="13280" max="13287" width="0" style="111" hidden="1" customWidth="1"/>
    <col min="13288" max="13289" width="20" style="111" customWidth="1"/>
    <col min="13290" max="13292" width="21" style="111" customWidth="1"/>
    <col min="13293" max="13293" width="30.28515625" style="111" customWidth="1"/>
    <col min="13294" max="13294" width="22" style="111" customWidth="1"/>
    <col min="13295" max="13523" width="11.42578125" style="111"/>
    <col min="13524" max="13524" width="17.5703125" style="111" customWidth="1"/>
    <col min="13525" max="13525" width="13.5703125" style="111" customWidth="1"/>
    <col min="13526" max="13526" width="23.28515625" style="111" customWidth="1"/>
    <col min="13527" max="13527" width="21.28515625" style="111" customWidth="1"/>
    <col min="13528" max="13528" width="5.7109375" style="111" customWidth="1"/>
    <col min="13529" max="13529" width="20.7109375" style="111" customWidth="1"/>
    <col min="13530" max="13530" width="9" style="111" customWidth="1"/>
    <col min="13531" max="13531" width="16.7109375" style="111" bestFit="1" customWidth="1"/>
    <col min="13532" max="13532" width="20" style="111" customWidth="1"/>
    <col min="13533" max="13533" width="21.5703125" style="111" customWidth="1"/>
    <col min="13534" max="13534" width="20.5703125" style="111" customWidth="1"/>
    <col min="13535" max="13535" width="22.28515625" style="111" customWidth="1"/>
    <col min="13536" max="13543" width="0" style="111" hidden="1" customWidth="1"/>
    <col min="13544" max="13545" width="20" style="111" customWidth="1"/>
    <col min="13546" max="13548" width="21" style="111" customWidth="1"/>
    <col min="13549" max="13549" width="30.28515625" style="111" customWidth="1"/>
    <col min="13550" max="13550" width="22" style="111" customWidth="1"/>
    <col min="13551" max="13779" width="11.42578125" style="111"/>
    <col min="13780" max="13780" width="17.5703125" style="111" customWidth="1"/>
    <col min="13781" max="13781" width="13.5703125" style="111" customWidth="1"/>
    <col min="13782" max="13782" width="23.28515625" style="111" customWidth="1"/>
    <col min="13783" max="13783" width="21.28515625" style="111" customWidth="1"/>
    <col min="13784" max="13784" width="5.7109375" style="111" customWidth="1"/>
    <col min="13785" max="13785" width="20.7109375" style="111" customWidth="1"/>
    <col min="13786" max="13786" width="9" style="111" customWidth="1"/>
    <col min="13787" max="13787" width="16.7109375" style="111" bestFit="1" customWidth="1"/>
    <col min="13788" max="13788" width="20" style="111" customWidth="1"/>
    <col min="13789" max="13789" width="21.5703125" style="111" customWidth="1"/>
    <col min="13790" max="13790" width="20.5703125" style="111" customWidth="1"/>
    <col min="13791" max="13791" width="22.28515625" style="111" customWidth="1"/>
    <col min="13792" max="13799" width="0" style="111" hidden="1" customWidth="1"/>
    <col min="13800" max="13801" width="20" style="111" customWidth="1"/>
    <col min="13802" max="13804" width="21" style="111" customWidth="1"/>
    <col min="13805" max="13805" width="30.28515625" style="111" customWidth="1"/>
    <col min="13806" max="13806" width="22" style="111" customWidth="1"/>
    <col min="13807" max="14035" width="11.42578125" style="111"/>
    <col min="14036" max="14036" width="17.5703125" style="111" customWidth="1"/>
    <col min="14037" max="14037" width="13.5703125" style="111" customWidth="1"/>
    <col min="14038" max="14038" width="23.28515625" style="111" customWidth="1"/>
    <col min="14039" max="14039" width="21.28515625" style="111" customWidth="1"/>
    <col min="14040" max="14040" width="5.7109375" style="111" customWidth="1"/>
    <col min="14041" max="14041" width="20.7109375" style="111" customWidth="1"/>
    <col min="14042" max="14042" width="9" style="111" customWidth="1"/>
    <col min="14043" max="14043" width="16.7109375" style="111" bestFit="1" customWidth="1"/>
    <col min="14044" max="14044" width="20" style="111" customWidth="1"/>
    <col min="14045" max="14045" width="21.5703125" style="111" customWidth="1"/>
    <col min="14046" max="14046" width="20.5703125" style="111" customWidth="1"/>
    <col min="14047" max="14047" width="22.28515625" style="111" customWidth="1"/>
    <col min="14048" max="14055" width="0" style="111" hidden="1" customWidth="1"/>
    <col min="14056" max="14057" width="20" style="111" customWidth="1"/>
    <col min="14058" max="14060" width="21" style="111" customWidth="1"/>
    <col min="14061" max="14061" width="30.28515625" style="111" customWidth="1"/>
    <col min="14062" max="14062" width="22" style="111" customWidth="1"/>
    <col min="14063" max="14291" width="11.42578125" style="111"/>
    <col min="14292" max="14292" width="17.5703125" style="111" customWidth="1"/>
    <col min="14293" max="14293" width="13.5703125" style="111" customWidth="1"/>
    <col min="14294" max="14294" width="23.28515625" style="111" customWidth="1"/>
    <col min="14295" max="14295" width="21.28515625" style="111" customWidth="1"/>
    <col min="14296" max="14296" width="5.7109375" style="111" customWidth="1"/>
    <col min="14297" max="14297" width="20.7109375" style="111" customWidth="1"/>
    <col min="14298" max="14298" width="9" style="111" customWidth="1"/>
    <col min="14299" max="14299" width="16.7109375" style="111" bestFit="1" customWidth="1"/>
    <col min="14300" max="14300" width="20" style="111" customWidth="1"/>
    <col min="14301" max="14301" width="21.5703125" style="111" customWidth="1"/>
    <col min="14302" max="14302" width="20.5703125" style="111" customWidth="1"/>
    <col min="14303" max="14303" width="22.28515625" style="111" customWidth="1"/>
    <col min="14304" max="14311" width="0" style="111" hidden="1" customWidth="1"/>
    <col min="14312" max="14313" width="20" style="111" customWidth="1"/>
    <col min="14314" max="14316" width="21" style="111" customWidth="1"/>
    <col min="14317" max="14317" width="30.28515625" style="111" customWidth="1"/>
    <col min="14318" max="14318" width="22" style="111" customWidth="1"/>
    <col min="14319" max="14547" width="11.42578125" style="111"/>
    <col min="14548" max="14548" width="17.5703125" style="111" customWidth="1"/>
    <col min="14549" max="14549" width="13.5703125" style="111" customWidth="1"/>
    <col min="14550" max="14550" width="23.28515625" style="111" customWidth="1"/>
    <col min="14551" max="14551" width="21.28515625" style="111" customWidth="1"/>
    <col min="14552" max="14552" width="5.7109375" style="111" customWidth="1"/>
    <col min="14553" max="14553" width="20.7109375" style="111" customWidth="1"/>
    <col min="14554" max="14554" width="9" style="111" customWidth="1"/>
    <col min="14555" max="14555" width="16.7109375" style="111" bestFit="1" customWidth="1"/>
    <col min="14556" max="14556" width="20" style="111" customWidth="1"/>
    <col min="14557" max="14557" width="21.5703125" style="111" customWidth="1"/>
    <col min="14558" max="14558" width="20.5703125" style="111" customWidth="1"/>
    <col min="14559" max="14559" width="22.28515625" style="111" customWidth="1"/>
    <col min="14560" max="14567" width="0" style="111" hidden="1" customWidth="1"/>
    <col min="14568" max="14569" width="20" style="111" customWidth="1"/>
    <col min="14570" max="14572" width="21" style="111" customWidth="1"/>
    <col min="14573" max="14573" width="30.28515625" style="111" customWidth="1"/>
    <col min="14574" max="14574" width="22" style="111" customWidth="1"/>
    <col min="14575" max="14803" width="11.42578125" style="111"/>
    <col min="14804" max="14804" width="17.5703125" style="111" customWidth="1"/>
    <col min="14805" max="14805" width="13.5703125" style="111" customWidth="1"/>
    <col min="14806" max="14806" width="23.28515625" style="111" customWidth="1"/>
    <col min="14807" max="14807" width="21.28515625" style="111" customWidth="1"/>
    <col min="14808" max="14808" width="5.7109375" style="111" customWidth="1"/>
    <col min="14809" max="14809" width="20.7109375" style="111" customWidth="1"/>
    <col min="14810" max="14810" width="9" style="111" customWidth="1"/>
    <col min="14811" max="14811" width="16.7109375" style="111" bestFit="1" customWidth="1"/>
    <col min="14812" max="14812" width="20" style="111" customWidth="1"/>
    <col min="14813" max="14813" width="21.5703125" style="111" customWidth="1"/>
    <col min="14814" max="14814" width="20.5703125" style="111" customWidth="1"/>
    <col min="14815" max="14815" width="22.28515625" style="111" customWidth="1"/>
    <col min="14816" max="14823" width="0" style="111" hidden="1" customWidth="1"/>
    <col min="14824" max="14825" width="20" style="111" customWidth="1"/>
    <col min="14826" max="14828" width="21" style="111" customWidth="1"/>
    <col min="14829" max="14829" width="30.28515625" style="111" customWidth="1"/>
    <col min="14830" max="14830" width="22" style="111" customWidth="1"/>
    <col min="14831" max="15059" width="11.42578125" style="111"/>
    <col min="15060" max="15060" width="17.5703125" style="111" customWidth="1"/>
    <col min="15061" max="15061" width="13.5703125" style="111" customWidth="1"/>
    <col min="15062" max="15062" width="23.28515625" style="111" customWidth="1"/>
    <col min="15063" max="15063" width="21.28515625" style="111" customWidth="1"/>
    <col min="15064" max="15064" width="5.7109375" style="111" customWidth="1"/>
    <col min="15065" max="15065" width="20.7109375" style="111" customWidth="1"/>
    <col min="15066" max="15066" width="9" style="111" customWidth="1"/>
    <col min="15067" max="15067" width="16.7109375" style="111" bestFit="1" customWidth="1"/>
    <col min="15068" max="15068" width="20" style="111" customWidth="1"/>
    <col min="15069" max="15069" width="21.5703125" style="111" customWidth="1"/>
    <col min="15070" max="15070" width="20.5703125" style="111" customWidth="1"/>
    <col min="15071" max="15071" width="22.28515625" style="111" customWidth="1"/>
    <col min="15072" max="15079" width="0" style="111" hidden="1" customWidth="1"/>
    <col min="15080" max="15081" width="20" style="111" customWidth="1"/>
    <col min="15082" max="15084" width="21" style="111" customWidth="1"/>
    <col min="15085" max="15085" width="30.28515625" style="111" customWidth="1"/>
    <col min="15086" max="15086" width="22" style="111" customWidth="1"/>
    <col min="15087" max="15315" width="11.42578125" style="111"/>
    <col min="15316" max="15316" width="17.5703125" style="111" customWidth="1"/>
    <col min="15317" max="15317" width="13.5703125" style="111" customWidth="1"/>
    <col min="15318" max="15318" width="23.28515625" style="111" customWidth="1"/>
    <col min="15319" max="15319" width="21.28515625" style="111" customWidth="1"/>
    <col min="15320" max="15320" width="5.7109375" style="111" customWidth="1"/>
    <col min="15321" max="15321" width="20.7109375" style="111" customWidth="1"/>
    <col min="15322" max="15322" width="9" style="111" customWidth="1"/>
    <col min="15323" max="15323" width="16.7109375" style="111" bestFit="1" customWidth="1"/>
    <col min="15324" max="15324" width="20" style="111" customWidth="1"/>
    <col min="15325" max="15325" width="21.5703125" style="111" customWidth="1"/>
    <col min="15326" max="15326" width="20.5703125" style="111" customWidth="1"/>
    <col min="15327" max="15327" width="22.28515625" style="111" customWidth="1"/>
    <col min="15328" max="15335" width="0" style="111" hidden="1" customWidth="1"/>
    <col min="15336" max="15337" width="20" style="111" customWidth="1"/>
    <col min="15338" max="15340" width="21" style="111" customWidth="1"/>
    <col min="15341" max="15341" width="30.28515625" style="111" customWidth="1"/>
    <col min="15342" max="15342" width="22" style="111" customWidth="1"/>
    <col min="15343" max="15571" width="11.42578125" style="111"/>
    <col min="15572" max="15572" width="17.5703125" style="111" customWidth="1"/>
    <col min="15573" max="15573" width="13.5703125" style="111" customWidth="1"/>
    <col min="15574" max="15574" width="23.28515625" style="111" customWidth="1"/>
    <col min="15575" max="15575" width="21.28515625" style="111" customWidth="1"/>
    <col min="15576" max="15576" width="5.7109375" style="111" customWidth="1"/>
    <col min="15577" max="15577" width="20.7109375" style="111" customWidth="1"/>
    <col min="15578" max="15578" width="9" style="111" customWidth="1"/>
    <col min="15579" max="15579" width="16.7109375" style="111" bestFit="1" customWidth="1"/>
    <col min="15580" max="15580" width="20" style="111" customWidth="1"/>
    <col min="15581" max="15581" width="21.5703125" style="111" customWidth="1"/>
    <col min="15582" max="15582" width="20.5703125" style="111" customWidth="1"/>
    <col min="15583" max="15583" width="22.28515625" style="111" customWidth="1"/>
    <col min="15584" max="15591" width="0" style="111" hidden="1" customWidth="1"/>
    <col min="15592" max="15593" width="20" style="111" customWidth="1"/>
    <col min="15594" max="15596" width="21" style="111" customWidth="1"/>
    <col min="15597" max="15597" width="30.28515625" style="111" customWidth="1"/>
    <col min="15598" max="15598" width="22" style="111" customWidth="1"/>
    <col min="15599" max="15827" width="11.42578125" style="111"/>
    <col min="15828" max="15828" width="17.5703125" style="111" customWidth="1"/>
    <col min="15829" max="15829" width="13.5703125" style="111" customWidth="1"/>
    <col min="15830" max="15830" width="23.28515625" style="111" customWidth="1"/>
    <col min="15831" max="15831" width="21.28515625" style="111" customWidth="1"/>
    <col min="15832" max="15832" width="5.7109375" style="111" customWidth="1"/>
    <col min="15833" max="15833" width="20.7109375" style="111" customWidth="1"/>
    <col min="15834" max="15834" width="9" style="111" customWidth="1"/>
    <col min="15835" max="15835" width="16.7109375" style="111" bestFit="1" customWidth="1"/>
    <col min="15836" max="15836" width="20" style="111" customWidth="1"/>
    <col min="15837" max="15837" width="21.5703125" style="111" customWidth="1"/>
    <col min="15838" max="15838" width="20.5703125" style="111" customWidth="1"/>
    <col min="15839" max="15839" width="22.28515625" style="111" customWidth="1"/>
    <col min="15840" max="15847" width="0" style="111" hidden="1" customWidth="1"/>
    <col min="15848" max="15849" width="20" style="111" customWidth="1"/>
    <col min="15850" max="15852" width="21" style="111" customWidth="1"/>
    <col min="15853" max="15853" width="30.28515625" style="111" customWidth="1"/>
    <col min="15854" max="15854" width="22" style="111" customWidth="1"/>
    <col min="15855" max="16083" width="11.42578125" style="111"/>
    <col min="16084" max="16084" width="17.5703125" style="111" customWidth="1"/>
    <col min="16085" max="16085" width="13.5703125" style="111" customWidth="1"/>
    <col min="16086" max="16086" width="23.28515625" style="111" customWidth="1"/>
    <col min="16087" max="16087" width="21.28515625" style="111" customWidth="1"/>
    <col min="16088" max="16088" width="5.7109375" style="111" customWidth="1"/>
    <col min="16089" max="16089" width="20.7109375" style="111" customWidth="1"/>
    <col min="16090" max="16090" width="9" style="111" customWidth="1"/>
    <col min="16091" max="16091" width="16.7109375" style="111" bestFit="1" customWidth="1"/>
    <col min="16092" max="16092" width="20" style="111" customWidth="1"/>
    <col min="16093" max="16093" width="21.5703125" style="111" customWidth="1"/>
    <col min="16094" max="16094" width="20.5703125" style="111" customWidth="1"/>
    <col min="16095" max="16095" width="22.28515625" style="111" customWidth="1"/>
    <col min="16096" max="16103" width="0" style="111" hidden="1" customWidth="1"/>
    <col min="16104" max="16105" width="20" style="111" customWidth="1"/>
    <col min="16106" max="16108" width="21" style="111" customWidth="1"/>
    <col min="16109" max="16109" width="30.28515625" style="111" customWidth="1"/>
    <col min="16110" max="16110" width="22" style="111" customWidth="1"/>
    <col min="16111" max="16384" width="11.42578125" style="111"/>
  </cols>
  <sheetData>
    <row r="1" spans="2:22" ht="95.25" customHeight="1" thickBot="1">
      <c r="B1" s="849" t="s">
        <v>382</v>
      </c>
      <c r="C1" s="850"/>
      <c r="D1" s="850"/>
      <c r="E1" s="850"/>
      <c r="F1" s="850"/>
      <c r="G1" s="851"/>
      <c r="H1" s="852"/>
      <c r="I1" s="705"/>
      <c r="J1" s="705"/>
      <c r="K1" s="705"/>
      <c r="L1" s="706"/>
    </row>
    <row r="2" spans="2:22" ht="24" customHeight="1" thickBot="1">
      <c r="B2" s="900"/>
      <c r="C2" s="901"/>
      <c r="D2" s="901"/>
      <c r="E2" s="901"/>
      <c r="F2" s="901"/>
      <c r="G2" s="901"/>
      <c r="H2" s="901"/>
      <c r="I2" s="901"/>
      <c r="J2" s="901"/>
      <c r="K2" s="901"/>
      <c r="L2" s="902"/>
    </row>
    <row r="3" spans="2:22" ht="24" customHeight="1" thickBot="1">
      <c r="B3" s="862" t="s">
        <v>1</v>
      </c>
      <c r="C3" s="863"/>
      <c r="D3" s="863"/>
      <c r="E3" s="863"/>
      <c r="F3" s="863"/>
      <c r="G3" s="863"/>
      <c r="H3" s="863"/>
      <c r="I3" s="863"/>
      <c r="J3" s="863"/>
      <c r="K3" s="863"/>
      <c r="L3" s="864"/>
    </row>
    <row r="4" spans="2:22" ht="58.15" customHeight="1" thickBot="1">
      <c r="B4" s="903" t="s">
        <v>523</v>
      </c>
      <c r="C4" s="904"/>
      <c r="D4" s="904"/>
      <c r="E4" s="904"/>
      <c r="F4" s="904"/>
      <c r="G4" s="904"/>
      <c r="H4" s="904"/>
      <c r="I4" s="904"/>
      <c r="J4" s="904"/>
      <c r="K4" s="904"/>
      <c r="L4" s="905"/>
    </row>
    <row r="5" spans="2:22" ht="15.75" thickBot="1">
      <c r="B5" s="552"/>
      <c r="L5" s="553"/>
    </row>
    <row r="6" spans="2:22" s="112" customFormat="1" ht="33" customHeight="1" thickBot="1">
      <c r="B6" s="897" t="s">
        <v>323</v>
      </c>
      <c r="C6" s="898"/>
      <c r="D6" s="898"/>
      <c r="E6" s="898"/>
      <c r="F6" s="898"/>
      <c r="G6" s="898"/>
      <c r="H6" s="898"/>
      <c r="I6" s="898"/>
      <c r="J6" s="898"/>
      <c r="K6" s="898"/>
      <c r="L6" s="899"/>
    </row>
    <row r="7" spans="2:22" ht="15" customHeight="1">
      <c r="B7" s="906" t="s">
        <v>2</v>
      </c>
      <c r="C7" s="908" t="s">
        <v>3</v>
      </c>
      <c r="D7" s="908"/>
      <c r="E7" s="908"/>
      <c r="F7" s="908"/>
      <c r="G7" s="908"/>
      <c r="H7" s="910" t="s">
        <v>324</v>
      </c>
      <c r="I7" s="912" t="s">
        <v>325</v>
      </c>
      <c r="J7" s="912" t="s">
        <v>326</v>
      </c>
      <c r="K7" s="910" t="s">
        <v>327</v>
      </c>
      <c r="L7" s="914" t="s">
        <v>328</v>
      </c>
    </row>
    <row r="8" spans="2:22" ht="15.75" customHeight="1" thickBot="1">
      <c r="B8" s="907"/>
      <c r="C8" s="909"/>
      <c r="D8" s="909"/>
      <c r="E8" s="909"/>
      <c r="F8" s="909"/>
      <c r="G8" s="909"/>
      <c r="H8" s="911"/>
      <c r="I8" s="913"/>
      <c r="J8" s="913"/>
      <c r="K8" s="911"/>
      <c r="L8" s="915"/>
    </row>
    <row r="9" spans="2:22" s="112" customFormat="1" ht="22.9" customHeight="1">
      <c r="B9" s="817" t="s">
        <v>329</v>
      </c>
      <c r="C9" s="818"/>
      <c r="D9" s="818"/>
      <c r="E9" s="818"/>
      <c r="F9" s="818"/>
      <c r="G9" s="818"/>
      <c r="H9" s="818"/>
      <c r="I9" s="818"/>
      <c r="J9" s="818"/>
      <c r="K9" s="818"/>
      <c r="L9" s="819"/>
    </row>
    <row r="10" spans="2:22" s="112" customFormat="1" ht="71.25" customHeight="1">
      <c r="B10" s="532">
        <v>1.1000000000000001</v>
      </c>
      <c r="C10" s="834" t="s">
        <v>383</v>
      </c>
      <c r="D10" s="835"/>
      <c r="E10" s="835"/>
      <c r="F10" s="835"/>
      <c r="G10" s="836"/>
      <c r="H10" s="129" t="s">
        <v>331</v>
      </c>
      <c r="I10" s="130">
        <v>40</v>
      </c>
      <c r="J10" s="130">
        <v>2</v>
      </c>
      <c r="K10" s="131">
        <f>+'APU 1,1'!G46</f>
        <v>210173.43640018188</v>
      </c>
      <c r="L10" s="139">
        <f>K10*I10*J10</f>
        <v>16813874.912014551</v>
      </c>
      <c r="N10" s="428"/>
      <c r="P10" s="396"/>
      <c r="Q10" s="429"/>
      <c r="R10" s="429"/>
      <c r="S10" s="396"/>
      <c r="T10" s="396"/>
      <c r="U10" s="396"/>
      <c r="V10" s="396"/>
    </row>
    <row r="11" spans="2:22" s="112" customFormat="1" ht="71.25" customHeight="1">
      <c r="B11" s="532">
        <v>1.1000000000000001</v>
      </c>
      <c r="C11" s="879" t="s">
        <v>330</v>
      </c>
      <c r="D11" s="880"/>
      <c r="E11" s="880"/>
      <c r="F11" s="880"/>
      <c r="G11" s="881"/>
      <c r="H11" s="129" t="s">
        <v>331</v>
      </c>
      <c r="I11" s="130">
        <v>0</v>
      </c>
      <c r="J11" s="130">
        <v>0</v>
      </c>
      <c r="K11" s="131">
        <v>231324.38897510231</v>
      </c>
      <c r="L11" s="139">
        <f>K11*I11*J11</f>
        <v>0</v>
      </c>
      <c r="N11" s="428"/>
      <c r="P11" s="396"/>
      <c r="Q11" s="429"/>
      <c r="R11" s="429"/>
      <c r="S11" s="396"/>
      <c r="T11" s="396"/>
      <c r="U11" s="396"/>
      <c r="V11" s="396"/>
    </row>
    <row r="12" spans="2:22" s="112" customFormat="1" ht="81.599999999999994" customHeight="1">
      <c r="B12" s="532">
        <v>1.2</v>
      </c>
      <c r="C12" s="856" t="s">
        <v>332</v>
      </c>
      <c r="D12" s="857"/>
      <c r="E12" s="857"/>
      <c r="F12" s="857"/>
      <c r="G12" s="858"/>
      <c r="H12" s="129" t="s">
        <v>331</v>
      </c>
      <c r="I12" s="130">
        <v>8</v>
      </c>
      <c r="J12" s="130">
        <v>2</v>
      </c>
      <c r="K12" s="131">
        <f>+'APU 1,2'!G46</f>
        <v>174221.65039182582</v>
      </c>
      <c r="L12" s="139">
        <f t="shared" ref="L12:L24" si="0">K12*I12*J12</f>
        <v>2787546.4062692132</v>
      </c>
      <c r="N12" s="428"/>
      <c r="Q12" s="396"/>
      <c r="R12" s="396"/>
      <c r="S12" s="396"/>
      <c r="T12" s="396"/>
    </row>
    <row r="13" spans="2:22" s="112" customFormat="1" ht="83.45" customHeight="1">
      <c r="B13" s="532">
        <v>1.3</v>
      </c>
      <c r="C13" s="856" t="s">
        <v>333</v>
      </c>
      <c r="D13" s="857"/>
      <c r="E13" s="857"/>
      <c r="F13" s="857"/>
      <c r="G13" s="858"/>
      <c r="H13" s="129" t="s">
        <v>331</v>
      </c>
      <c r="I13" s="130">
        <v>3</v>
      </c>
      <c r="J13" s="130">
        <v>2</v>
      </c>
      <c r="K13" s="131">
        <f>+'APU 1,3'!G45</f>
        <v>181269.3851918258</v>
      </c>
      <c r="L13" s="139">
        <f t="shared" si="0"/>
        <v>1087616.3111509548</v>
      </c>
      <c r="N13" s="428"/>
      <c r="Q13" s="396"/>
      <c r="R13" s="396"/>
      <c r="S13" s="396"/>
      <c r="T13" s="396"/>
    </row>
    <row r="14" spans="2:22" s="112" customFormat="1" ht="84.6" customHeight="1">
      <c r="B14" s="532">
        <v>1.4</v>
      </c>
      <c r="C14" s="856" t="s">
        <v>334</v>
      </c>
      <c r="D14" s="857"/>
      <c r="E14" s="857"/>
      <c r="F14" s="857"/>
      <c r="G14" s="858"/>
      <c r="H14" s="129" t="s">
        <v>331</v>
      </c>
      <c r="I14" s="130">
        <v>2</v>
      </c>
      <c r="J14" s="130">
        <v>3</v>
      </c>
      <c r="K14" s="131">
        <f>+'APU 1,4'!G45</f>
        <v>196860.00086684857</v>
      </c>
      <c r="L14" s="139">
        <f t="shared" si="0"/>
        <v>1181160.0052010915</v>
      </c>
      <c r="N14" s="428"/>
      <c r="Q14" s="396"/>
      <c r="R14" s="396"/>
      <c r="S14" s="396"/>
      <c r="T14" s="396"/>
    </row>
    <row r="15" spans="2:22" s="112" customFormat="1" ht="82.9" customHeight="1">
      <c r="B15" s="532">
        <v>1.5</v>
      </c>
      <c r="C15" s="859" t="s">
        <v>335</v>
      </c>
      <c r="D15" s="860"/>
      <c r="E15" s="860"/>
      <c r="F15" s="860"/>
      <c r="G15" s="861"/>
      <c r="H15" s="129" t="s">
        <v>331</v>
      </c>
      <c r="I15" s="130">
        <v>0</v>
      </c>
      <c r="J15" s="130">
        <v>3</v>
      </c>
      <c r="K15" s="131">
        <f>+'APU 1,5'!G44</f>
        <v>152961.66005570712</v>
      </c>
      <c r="L15" s="139">
        <f t="shared" si="0"/>
        <v>0</v>
      </c>
      <c r="N15" s="428"/>
      <c r="Q15" s="396"/>
      <c r="R15" s="396"/>
      <c r="S15" s="396"/>
      <c r="T15" s="396"/>
    </row>
    <row r="16" spans="2:22" s="112" customFormat="1" ht="88.15" customHeight="1">
      <c r="B16" s="532">
        <v>1.6</v>
      </c>
      <c r="C16" s="837" t="s">
        <v>336</v>
      </c>
      <c r="D16" s="838"/>
      <c r="E16" s="838"/>
      <c r="F16" s="838"/>
      <c r="G16" s="839"/>
      <c r="H16" s="129" t="s">
        <v>331</v>
      </c>
      <c r="I16" s="130">
        <v>43</v>
      </c>
      <c r="J16" s="130">
        <v>6</v>
      </c>
      <c r="K16" s="131">
        <f>+'APU 1,6'!G46</f>
        <v>104191.29970009094</v>
      </c>
      <c r="L16" s="139">
        <f t="shared" si="0"/>
        <v>26881355.322623461</v>
      </c>
      <c r="N16" s="428"/>
    </row>
    <row r="17" spans="2:14" s="112" customFormat="1" ht="82.15" customHeight="1">
      <c r="B17" s="532">
        <v>1.7</v>
      </c>
      <c r="C17" s="837" t="s">
        <v>337</v>
      </c>
      <c r="D17" s="838"/>
      <c r="E17" s="838"/>
      <c r="F17" s="838"/>
      <c r="G17" s="839"/>
      <c r="H17" s="129" t="s">
        <v>331</v>
      </c>
      <c r="I17" s="130">
        <v>43</v>
      </c>
      <c r="J17" s="130">
        <v>6</v>
      </c>
      <c r="K17" s="131">
        <f>+'APU 1,7'!G46</f>
        <v>128489.81904178034</v>
      </c>
      <c r="L17" s="139">
        <f t="shared" si="0"/>
        <v>33150373.31277933</v>
      </c>
      <c r="N17" s="428"/>
    </row>
    <row r="18" spans="2:14" s="112" customFormat="1" ht="64.150000000000006" customHeight="1">
      <c r="B18" s="532">
        <v>1.8</v>
      </c>
      <c r="C18" s="837" t="s">
        <v>502</v>
      </c>
      <c r="D18" s="838"/>
      <c r="E18" s="838"/>
      <c r="F18" s="838"/>
      <c r="G18" s="839"/>
      <c r="H18" s="129" t="s">
        <v>331</v>
      </c>
      <c r="I18" s="130">
        <v>15</v>
      </c>
      <c r="J18" s="130">
        <v>1</v>
      </c>
      <c r="K18" s="131">
        <f>+'APU 1,8'!G45</f>
        <v>634047.40536834928</v>
      </c>
      <c r="L18" s="139">
        <f t="shared" si="0"/>
        <v>9510711.0805252399</v>
      </c>
      <c r="N18" s="428"/>
    </row>
    <row r="19" spans="2:14" s="659" customFormat="1" ht="64.900000000000006" customHeight="1">
      <c r="B19" s="656">
        <v>1.9</v>
      </c>
      <c r="C19" s="828" t="s">
        <v>505</v>
      </c>
      <c r="D19" s="829"/>
      <c r="E19" s="829"/>
      <c r="F19" s="829"/>
      <c r="G19" s="830"/>
      <c r="H19" s="657" t="s">
        <v>331</v>
      </c>
      <c r="I19" s="658">
        <v>2</v>
      </c>
      <c r="J19" s="658">
        <v>2</v>
      </c>
      <c r="K19" s="563">
        <f>+'APU 1,9'!G44</f>
        <v>175499.6940501364</v>
      </c>
      <c r="L19" s="655">
        <f t="shared" si="0"/>
        <v>701998.7762005456</v>
      </c>
      <c r="N19" s="660"/>
    </row>
    <row r="20" spans="2:14" s="112" customFormat="1" ht="82.9" customHeight="1">
      <c r="B20" s="542">
        <v>1.1000000000000001</v>
      </c>
      <c r="C20" s="882" t="s">
        <v>338</v>
      </c>
      <c r="D20" s="883"/>
      <c r="E20" s="883"/>
      <c r="F20" s="883"/>
      <c r="G20" s="884"/>
      <c r="H20" s="129" t="s">
        <v>331</v>
      </c>
      <c r="I20" s="130">
        <v>0</v>
      </c>
      <c r="J20" s="130">
        <v>0</v>
      </c>
      <c r="K20" s="131">
        <f>+'APU 1.10'!G46</f>
        <v>309082.84259492945</v>
      </c>
      <c r="L20" s="139">
        <f t="shared" si="0"/>
        <v>0</v>
      </c>
      <c r="N20" s="428"/>
    </row>
    <row r="21" spans="2:14" s="112" customFormat="1" ht="92.45" customHeight="1">
      <c r="B21" s="542">
        <v>1.1100000000000001</v>
      </c>
      <c r="C21" s="882" t="s">
        <v>339</v>
      </c>
      <c r="D21" s="883"/>
      <c r="E21" s="883"/>
      <c r="F21" s="883"/>
      <c r="G21" s="884"/>
      <c r="H21" s="129" t="s">
        <v>340</v>
      </c>
      <c r="I21" s="130">
        <v>0</v>
      </c>
      <c r="J21" s="130">
        <v>0</v>
      </c>
      <c r="K21" s="131">
        <f>'APU 1,11'!G46</f>
        <v>104191.29970009094</v>
      </c>
      <c r="L21" s="139">
        <f t="shared" si="0"/>
        <v>0</v>
      </c>
      <c r="N21" s="428"/>
    </row>
    <row r="22" spans="2:14" s="112" customFormat="1" ht="59.45" hidden="1" customHeight="1">
      <c r="B22" s="542">
        <v>1.1200000000000001</v>
      </c>
      <c r="C22" s="894" t="s">
        <v>384</v>
      </c>
      <c r="D22" s="895"/>
      <c r="E22" s="895"/>
      <c r="F22" s="895"/>
      <c r="G22" s="896"/>
      <c r="H22" s="129" t="s">
        <v>340</v>
      </c>
      <c r="I22" s="130"/>
      <c r="J22" s="130"/>
      <c r="K22" s="632">
        <f>5625000/2</f>
        <v>2812500</v>
      </c>
      <c r="L22" s="139">
        <f t="shared" si="0"/>
        <v>0</v>
      </c>
      <c r="N22" s="428"/>
    </row>
    <row r="23" spans="2:14" s="112" customFormat="1" ht="59.45" customHeight="1">
      <c r="B23" s="542" t="s">
        <v>342</v>
      </c>
      <c r="C23" s="894" t="s">
        <v>343</v>
      </c>
      <c r="D23" s="895"/>
      <c r="E23" s="895"/>
      <c r="F23" s="895"/>
      <c r="G23" s="896"/>
      <c r="H23" s="129" t="s">
        <v>340</v>
      </c>
      <c r="I23" s="130">
        <v>6</v>
      </c>
      <c r="J23" s="130">
        <v>6</v>
      </c>
      <c r="K23" s="632">
        <f>+'APU 1,12.1'!G47</f>
        <v>687233.40561039094</v>
      </c>
      <c r="L23" s="139">
        <f t="shared" si="0"/>
        <v>24740402.601974074</v>
      </c>
      <c r="N23" s="428"/>
    </row>
    <row r="24" spans="2:14" s="112" customFormat="1" ht="63.75" customHeight="1">
      <c r="B24" s="542">
        <v>1.1299999999999999</v>
      </c>
      <c r="C24" s="891" t="s">
        <v>344</v>
      </c>
      <c r="D24" s="892"/>
      <c r="E24" s="892"/>
      <c r="F24" s="892"/>
      <c r="G24" s="893"/>
      <c r="H24" s="129" t="s">
        <v>340</v>
      </c>
      <c r="I24" s="130">
        <v>0</v>
      </c>
      <c r="J24" s="130">
        <v>5</v>
      </c>
      <c r="K24" s="563">
        <f>'APU 1,13'!G46</f>
        <v>138817.6940501364</v>
      </c>
      <c r="L24" s="139">
        <f t="shared" si="0"/>
        <v>0</v>
      </c>
      <c r="N24" s="428"/>
    </row>
    <row r="25" spans="2:14" s="112" customFormat="1" ht="22.15" customHeight="1">
      <c r="B25" s="128" t="s">
        <v>345</v>
      </c>
      <c r="C25" s="132"/>
      <c r="D25" s="133"/>
      <c r="E25" s="133"/>
      <c r="F25" s="133"/>
      <c r="G25" s="134"/>
      <c r="H25" s="135"/>
      <c r="I25" s="130"/>
      <c r="J25" s="130"/>
      <c r="K25" s="136"/>
      <c r="L25" s="140">
        <f>SUM(L10:L24)</f>
        <v>116855038.72873846</v>
      </c>
      <c r="N25" s="428"/>
    </row>
    <row r="26" spans="2:14" s="112" customFormat="1" ht="22.15" customHeight="1">
      <c r="B26" s="817" t="s">
        <v>346</v>
      </c>
      <c r="C26" s="818"/>
      <c r="D26" s="818"/>
      <c r="E26" s="818"/>
      <c r="F26" s="818"/>
      <c r="G26" s="818"/>
      <c r="H26" s="818"/>
      <c r="I26" s="818"/>
      <c r="J26" s="818"/>
      <c r="K26" s="818"/>
      <c r="L26" s="819"/>
    </row>
    <row r="27" spans="2:14" s="112" customFormat="1" ht="49.9" customHeight="1">
      <c r="B27" s="533">
        <v>2.1</v>
      </c>
      <c r="C27" s="888" t="s">
        <v>347</v>
      </c>
      <c r="D27" s="889"/>
      <c r="E27" s="889"/>
      <c r="F27" s="889"/>
      <c r="G27" s="890"/>
      <c r="H27" s="129" t="s">
        <v>340</v>
      </c>
      <c r="I27" s="130">
        <v>13</v>
      </c>
      <c r="J27" s="114">
        <v>2</v>
      </c>
      <c r="K27" s="115">
        <f>+'APU 2,1'!G45</f>
        <v>312527.28652916668</v>
      </c>
      <c r="L27" s="137">
        <f>K27*I27*J27</f>
        <v>8125709.4497583341</v>
      </c>
    </row>
    <row r="28" spans="2:14" s="112" customFormat="1" ht="53.45" customHeight="1">
      <c r="B28" s="533">
        <v>2.2000000000000002</v>
      </c>
      <c r="C28" s="885" t="s">
        <v>348</v>
      </c>
      <c r="D28" s="886"/>
      <c r="E28" s="886"/>
      <c r="F28" s="886"/>
      <c r="G28" s="887"/>
      <c r="H28" s="113" t="s">
        <v>14</v>
      </c>
      <c r="I28" s="114">
        <v>1000</v>
      </c>
      <c r="J28" s="114">
        <v>1</v>
      </c>
      <c r="K28" s="410">
        <f>+'APU 2,2'!G45</f>
        <v>13849.96940501364</v>
      </c>
      <c r="L28" s="137">
        <f>K28*I28*J28</f>
        <v>13849969.405013641</v>
      </c>
    </row>
    <row r="29" spans="2:14" s="112" customFormat="1" ht="21.6" customHeight="1">
      <c r="B29" s="128" t="s">
        <v>349</v>
      </c>
      <c r="C29" s="132"/>
      <c r="D29" s="133"/>
      <c r="E29" s="133"/>
      <c r="F29" s="133"/>
      <c r="G29" s="134"/>
      <c r="H29" s="135"/>
      <c r="I29" s="130"/>
      <c r="J29" s="130"/>
      <c r="K29" s="136"/>
      <c r="L29" s="138">
        <f>SUM(L27:L28)</f>
        <v>21975678.854771975</v>
      </c>
      <c r="N29" s="549"/>
    </row>
    <row r="30" spans="2:14" s="112" customFormat="1" ht="22.15" customHeight="1">
      <c r="B30" s="817" t="s">
        <v>350</v>
      </c>
      <c r="C30" s="818"/>
      <c r="D30" s="818"/>
      <c r="E30" s="818"/>
      <c r="F30" s="818"/>
      <c r="G30" s="818"/>
      <c r="H30" s="818"/>
      <c r="I30" s="818"/>
      <c r="J30" s="818"/>
      <c r="K30" s="818"/>
      <c r="L30" s="819" t="e">
        <f>K30/I30</f>
        <v>#DIV/0!</v>
      </c>
    </row>
    <row r="31" spans="2:14" s="112" customFormat="1" ht="78" customHeight="1">
      <c r="B31" s="534">
        <v>3.1</v>
      </c>
      <c r="C31" s="814" t="s">
        <v>351</v>
      </c>
      <c r="D31" s="815"/>
      <c r="E31" s="815"/>
      <c r="F31" s="815"/>
      <c r="G31" s="816"/>
      <c r="H31" s="129" t="s">
        <v>331</v>
      </c>
      <c r="I31" s="130">
        <v>2</v>
      </c>
      <c r="J31" s="130">
        <v>2</v>
      </c>
      <c r="K31" s="131">
        <f>+'APU 3,1'!$G$45</f>
        <v>141695.02738346974</v>
      </c>
      <c r="L31" s="399">
        <f>K31*I31*J31</f>
        <v>566780.10953387897</v>
      </c>
    </row>
    <row r="32" spans="2:14" s="112" customFormat="1" ht="87" customHeight="1">
      <c r="B32" s="534">
        <v>3.2</v>
      </c>
      <c r="C32" s="814" t="s">
        <v>352</v>
      </c>
      <c r="D32" s="815"/>
      <c r="E32" s="815"/>
      <c r="F32" s="815"/>
      <c r="G32" s="816"/>
      <c r="H32" s="129" t="s">
        <v>331</v>
      </c>
      <c r="I32" s="130">
        <v>6</v>
      </c>
      <c r="J32" s="130">
        <v>2</v>
      </c>
      <c r="K32" s="131">
        <f>+'APU 3,2'!G45</f>
        <v>233647.40536834925</v>
      </c>
      <c r="L32" s="399">
        <f t="shared" ref="L32:L36" si="1">K32*I32*J32</f>
        <v>2803768.8644201909</v>
      </c>
    </row>
    <row r="33" spans="2:14" s="112" customFormat="1" ht="79.900000000000006" customHeight="1">
      <c r="B33" s="534">
        <v>3.3</v>
      </c>
      <c r="C33" s="814" t="s">
        <v>353</v>
      </c>
      <c r="D33" s="815"/>
      <c r="E33" s="815"/>
      <c r="F33" s="815"/>
      <c r="G33" s="816"/>
      <c r="H33" s="129" t="s">
        <v>331</v>
      </c>
      <c r="I33" s="130">
        <v>28</v>
      </c>
      <c r="J33" s="130">
        <v>2</v>
      </c>
      <c r="K33" s="131">
        <f>+'APU 3,3'!G45</f>
        <v>90139.796033424282</v>
      </c>
      <c r="L33" s="399">
        <f t="shared" si="1"/>
        <v>5047828.5778717594</v>
      </c>
    </row>
    <row r="34" spans="2:14" s="112" customFormat="1" ht="76.900000000000006" customHeight="1">
      <c r="B34" s="534">
        <v>3.4</v>
      </c>
      <c r="C34" s="814" t="s">
        <v>354</v>
      </c>
      <c r="D34" s="815"/>
      <c r="E34" s="815"/>
      <c r="F34" s="815"/>
      <c r="G34" s="816"/>
      <c r="H34" s="129" t="s">
        <v>331</v>
      </c>
      <c r="I34" s="130">
        <v>8</v>
      </c>
      <c r="J34" s="130">
        <v>4</v>
      </c>
      <c r="K34" s="131">
        <f>+'APU 3,4'!G45</f>
        <v>120309.74504178035</v>
      </c>
      <c r="L34" s="399">
        <f t="shared" si="1"/>
        <v>3849911.8413369711</v>
      </c>
    </row>
    <row r="35" spans="2:14" s="112" customFormat="1" ht="52.5" customHeight="1">
      <c r="B35" s="534">
        <v>3.5</v>
      </c>
      <c r="C35" s="823" t="s">
        <v>355</v>
      </c>
      <c r="D35" s="824"/>
      <c r="E35" s="824"/>
      <c r="F35" s="824"/>
      <c r="G35" s="825"/>
      <c r="H35" s="540" t="s">
        <v>340</v>
      </c>
      <c r="I35" s="541">
        <v>0</v>
      </c>
      <c r="J35" s="541">
        <v>0</v>
      </c>
      <c r="K35" s="585">
        <f>'APU 3,5'!G45</f>
        <v>264673.29701909958</v>
      </c>
      <c r="L35" s="399">
        <f t="shared" si="1"/>
        <v>0</v>
      </c>
    </row>
    <row r="36" spans="2:14" s="112" customFormat="1" ht="64.5" customHeight="1">
      <c r="B36" s="534">
        <v>3.6</v>
      </c>
      <c r="C36" s="814" t="s">
        <v>356</v>
      </c>
      <c r="D36" s="815"/>
      <c r="E36" s="815"/>
      <c r="F36" s="815"/>
      <c r="G36" s="816"/>
      <c r="H36" s="540" t="s">
        <v>340</v>
      </c>
      <c r="I36" s="541">
        <v>1</v>
      </c>
      <c r="J36" s="541">
        <v>2</v>
      </c>
      <c r="K36" s="585">
        <f>'APU 3,6'!G45</f>
        <v>134279.6940501364</v>
      </c>
      <c r="L36" s="399">
        <f t="shared" si="1"/>
        <v>268559.3881002728</v>
      </c>
    </row>
    <row r="37" spans="2:14" s="112" customFormat="1" ht="21.6" customHeight="1">
      <c r="B37" s="400" t="s">
        <v>357</v>
      </c>
      <c r="C37" s="401"/>
      <c r="D37" s="402"/>
      <c r="E37" s="402"/>
      <c r="F37" s="402"/>
      <c r="G37" s="403"/>
      <c r="H37" s="404"/>
      <c r="I37" s="405"/>
      <c r="J37" s="405"/>
      <c r="K37" s="406"/>
      <c r="L37" s="407">
        <f>SUM(L31:L36)</f>
        <v>12536848.781263072</v>
      </c>
      <c r="N37" s="549"/>
    </row>
    <row r="38" spans="2:14" s="112" customFormat="1" ht="22.15" customHeight="1">
      <c r="B38" s="817" t="s">
        <v>358</v>
      </c>
      <c r="C38" s="818"/>
      <c r="D38" s="818"/>
      <c r="E38" s="818"/>
      <c r="F38" s="818"/>
      <c r="G38" s="818"/>
      <c r="H38" s="818"/>
      <c r="I38" s="818"/>
      <c r="J38" s="818"/>
      <c r="K38" s="818"/>
      <c r="L38" s="819" t="e">
        <f>K38/I38</f>
        <v>#DIV/0!</v>
      </c>
    </row>
    <row r="39" spans="2:14" s="112" customFormat="1" ht="63.6" hidden="1" customHeight="1">
      <c r="B39" s="647">
        <v>4.0999999999999996</v>
      </c>
      <c r="C39" s="820" t="s">
        <v>359</v>
      </c>
      <c r="D39" s="821"/>
      <c r="E39" s="821"/>
      <c r="F39" s="821"/>
      <c r="G39" s="822"/>
      <c r="H39" s="644" t="s">
        <v>331</v>
      </c>
      <c r="I39" s="645">
        <v>0</v>
      </c>
      <c r="J39" s="648">
        <v>1</v>
      </c>
      <c r="K39" s="646">
        <f>'APU 4.1'!G45</f>
        <v>936547.40536834928</v>
      </c>
      <c r="L39" s="649">
        <f>K39*I39*J39</f>
        <v>0</v>
      </c>
      <c r="M39" s="643"/>
    </row>
    <row r="40" spans="2:14" s="112" customFormat="1" ht="51.6" hidden="1" customHeight="1">
      <c r="B40" s="647">
        <v>4.2</v>
      </c>
      <c r="C40" s="820" t="s">
        <v>360</v>
      </c>
      <c r="D40" s="821"/>
      <c r="E40" s="821"/>
      <c r="F40" s="821"/>
      <c r="G40" s="822"/>
      <c r="H40" s="644" t="s">
        <v>331</v>
      </c>
      <c r="I40" s="645">
        <v>0</v>
      </c>
      <c r="J40" s="648">
        <v>1</v>
      </c>
      <c r="K40" s="646">
        <f>'APU 4.2'!G45</f>
        <v>729047.40536834928</v>
      </c>
      <c r="L40" s="649">
        <f t="shared" ref="L40:L50" si="2">K40*I40*J40</f>
        <v>0</v>
      </c>
    </row>
    <row r="41" spans="2:14" s="112" customFormat="1" ht="79.900000000000006" customHeight="1">
      <c r="B41" s="534" t="s">
        <v>30</v>
      </c>
      <c r="C41" s="823" t="s">
        <v>361</v>
      </c>
      <c r="D41" s="824"/>
      <c r="E41" s="824"/>
      <c r="F41" s="824"/>
      <c r="G41" s="825"/>
      <c r="H41" s="129" t="s">
        <v>229</v>
      </c>
      <c r="I41" s="130">
        <v>1942.2531800000002</v>
      </c>
      <c r="J41" s="538">
        <v>1</v>
      </c>
      <c r="K41" s="131">
        <f>'APU 4.1.'!G45</f>
        <v>112955.40901671213</v>
      </c>
      <c r="L41" s="399">
        <f t="shared" si="2"/>
        <v>219388002.36090982</v>
      </c>
    </row>
    <row r="42" spans="2:14" s="112" customFormat="1" ht="76.900000000000006" customHeight="1">
      <c r="B42" s="534" t="s">
        <v>506</v>
      </c>
      <c r="C42" s="814" t="s">
        <v>362</v>
      </c>
      <c r="D42" s="815"/>
      <c r="E42" s="815"/>
      <c r="F42" s="815"/>
      <c r="G42" s="816"/>
      <c r="H42" s="129" t="s">
        <v>331</v>
      </c>
      <c r="I42" s="130">
        <v>1</v>
      </c>
      <c r="J42" s="130">
        <v>1</v>
      </c>
      <c r="K42" s="550">
        <f>'APU 4.2.'!G45</f>
        <v>2737203.4900835608</v>
      </c>
      <c r="L42" s="399">
        <f t="shared" si="2"/>
        <v>2737203.4900835608</v>
      </c>
    </row>
    <row r="43" spans="2:14" s="643" customFormat="1" ht="64.900000000000006" hidden="1" customHeight="1">
      <c r="B43" s="647">
        <v>4.5</v>
      </c>
      <c r="C43" s="820" t="s">
        <v>363</v>
      </c>
      <c r="D43" s="821"/>
      <c r="E43" s="821"/>
      <c r="F43" s="821"/>
      <c r="G43" s="822"/>
      <c r="H43" s="650" t="s">
        <v>331</v>
      </c>
      <c r="I43" s="651">
        <v>0</v>
      </c>
      <c r="J43" s="651">
        <v>1</v>
      </c>
      <c r="K43" s="652">
        <f>'APU 4.5'!G45</f>
        <v>150999.79603342427</v>
      </c>
      <c r="L43" s="649">
        <f t="shared" si="2"/>
        <v>0</v>
      </c>
    </row>
    <row r="44" spans="2:14" s="112" customFormat="1" ht="64.900000000000006" customHeight="1">
      <c r="B44" s="534" t="s">
        <v>507</v>
      </c>
      <c r="C44" s="814" t="s">
        <v>364</v>
      </c>
      <c r="D44" s="815"/>
      <c r="E44" s="815"/>
      <c r="F44" s="815"/>
      <c r="G44" s="816"/>
      <c r="H44" s="540" t="s">
        <v>331</v>
      </c>
      <c r="I44" s="541">
        <v>6</v>
      </c>
      <c r="J44" s="541">
        <v>1</v>
      </c>
      <c r="K44" s="551">
        <f>'APU 4.3.'!G45</f>
        <v>141655.23135004548</v>
      </c>
      <c r="L44" s="399">
        <f t="shared" si="2"/>
        <v>849931.38810027286</v>
      </c>
    </row>
    <row r="45" spans="2:14" s="112" customFormat="1" ht="60" customHeight="1">
      <c r="B45" s="534" t="s">
        <v>508</v>
      </c>
      <c r="C45" s="814" t="s">
        <v>365</v>
      </c>
      <c r="D45" s="815"/>
      <c r="E45" s="815"/>
      <c r="F45" s="815"/>
      <c r="G45" s="816"/>
      <c r="H45" s="540" t="s">
        <v>340</v>
      </c>
      <c r="I45" s="541">
        <v>6</v>
      </c>
      <c r="J45" s="541">
        <v>1</v>
      </c>
      <c r="K45" s="551">
        <f>'APU 4.4.'!G45</f>
        <v>92055.231350045477</v>
      </c>
      <c r="L45" s="399">
        <f t="shared" si="2"/>
        <v>552331.38810027286</v>
      </c>
    </row>
    <row r="46" spans="2:14" s="112" customFormat="1" ht="60" customHeight="1">
      <c r="B46" s="534" t="s">
        <v>509</v>
      </c>
      <c r="C46" s="814" t="s">
        <v>366</v>
      </c>
      <c r="D46" s="815"/>
      <c r="E46" s="815"/>
      <c r="F46" s="815"/>
      <c r="G46" s="816"/>
      <c r="H46" s="540" t="s">
        <v>340</v>
      </c>
      <c r="I46" s="541">
        <v>5</v>
      </c>
      <c r="J46" s="541">
        <v>1</v>
      </c>
      <c r="K46" s="551">
        <f>'APU 4.5. '!G45</f>
        <v>121079.03601750795</v>
      </c>
      <c r="L46" s="399">
        <f t="shared" si="2"/>
        <v>605395.18008753983</v>
      </c>
    </row>
    <row r="47" spans="2:14" s="112" customFormat="1" ht="64.900000000000006" customHeight="1">
      <c r="B47" s="568" t="s">
        <v>510</v>
      </c>
      <c r="C47" s="814" t="s">
        <v>367</v>
      </c>
      <c r="D47" s="815"/>
      <c r="E47" s="815"/>
      <c r="F47" s="815"/>
      <c r="G47" s="816"/>
      <c r="H47" s="540" t="s">
        <v>340</v>
      </c>
      <c r="I47" s="541">
        <v>5</v>
      </c>
      <c r="J47" s="541">
        <v>1</v>
      </c>
      <c r="K47" s="551">
        <f>'APU 4.6.'!G45</f>
        <v>301150.14407003182</v>
      </c>
      <c r="L47" s="399">
        <f t="shared" si="2"/>
        <v>1505750.7203501591</v>
      </c>
    </row>
    <row r="48" spans="2:14" s="112" customFormat="1" ht="80.45" customHeight="1">
      <c r="B48" s="559" t="s">
        <v>511</v>
      </c>
      <c r="C48" s="814" t="s">
        <v>368</v>
      </c>
      <c r="D48" s="815"/>
      <c r="E48" s="815"/>
      <c r="F48" s="815"/>
      <c r="G48" s="816"/>
      <c r="H48" s="540" t="s">
        <v>340</v>
      </c>
      <c r="I48" s="541">
        <v>5</v>
      </c>
      <c r="J48" s="541">
        <v>1</v>
      </c>
      <c r="K48" s="551">
        <f>'APU 4.7.'!G45</f>
        <v>327715.73870168254</v>
      </c>
      <c r="L48" s="399">
        <f t="shared" si="2"/>
        <v>1638578.6935084127</v>
      </c>
    </row>
    <row r="49" spans="2:14" s="112" customFormat="1" ht="73.5" customHeight="1">
      <c r="B49" s="559" t="s">
        <v>512</v>
      </c>
      <c r="C49" s="823" t="s">
        <v>369</v>
      </c>
      <c r="D49" s="824"/>
      <c r="E49" s="824"/>
      <c r="F49" s="824"/>
      <c r="G49" s="825"/>
      <c r="H49" s="540" t="s">
        <v>340</v>
      </c>
      <c r="I49" s="541">
        <v>0</v>
      </c>
      <c r="J49" s="541">
        <v>1</v>
      </c>
      <c r="K49" s="582">
        <f>'APU 4.8.'!G45</f>
        <v>337889.94900835608</v>
      </c>
      <c r="L49" s="399">
        <f t="shared" si="2"/>
        <v>0</v>
      </c>
    </row>
    <row r="50" spans="2:14" s="112" customFormat="1" ht="66.75" customHeight="1">
      <c r="B50" s="559" t="s">
        <v>513</v>
      </c>
      <c r="C50" s="814" t="s">
        <v>370</v>
      </c>
      <c r="D50" s="815"/>
      <c r="E50" s="815"/>
      <c r="F50" s="815"/>
      <c r="G50" s="816"/>
      <c r="H50" s="540" t="s">
        <v>340</v>
      </c>
      <c r="I50" s="541">
        <v>5</v>
      </c>
      <c r="J50" s="541">
        <v>1</v>
      </c>
      <c r="K50" s="582">
        <f>'APU 4.9.'!G45</f>
        <v>179392.46270009095</v>
      </c>
      <c r="L50" s="399">
        <f t="shared" si="2"/>
        <v>896962.31350045477</v>
      </c>
    </row>
    <row r="51" spans="2:14" s="112" customFormat="1" ht="21.6" customHeight="1">
      <c r="B51" s="400" t="s">
        <v>371</v>
      </c>
      <c r="C51" s="401"/>
      <c r="D51" s="402"/>
      <c r="E51" s="402"/>
      <c r="F51" s="402"/>
      <c r="G51" s="403"/>
      <c r="H51" s="404"/>
      <c r="I51" s="405"/>
      <c r="J51" s="405"/>
      <c r="K51" s="406"/>
      <c r="L51" s="407">
        <f>SUM(L39:L50)</f>
        <v>228174155.53464049</v>
      </c>
      <c r="N51" s="111"/>
    </row>
    <row r="52" spans="2:14" s="112" customFormat="1" ht="22.15" customHeight="1">
      <c r="B52" s="817" t="s">
        <v>372</v>
      </c>
      <c r="C52" s="818"/>
      <c r="D52" s="818"/>
      <c r="E52" s="818"/>
      <c r="F52" s="818"/>
      <c r="G52" s="818"/>
      <c r="H52" s="818"/>
      <c r="I52" s="818"/>
      <c r="J52" s="818"/>
      <c r="K52" s="818"/>
      <c r="L52" s="819" t="e">
        <f>K52/I52</f>
        <v>#DIV/0!</v>
      </c>
    </row>
    <row r="53" spans="2:14" s="112" customFormat="1" ht="72.75" customHeight="1">
      <c r="B53" s="560">
        <v>5.0999999999999996</v>
      </c>
      <c r="C53" s="814" t="s">
        <v>385</v>
      </c>
      <c r="D53" s="815"/>
      <c r="E53" s="815"/>
      <c r="F53" s="815"/>
      <c r="G53" s="816"/>
      <c r="H53" s="540" t="s">
        <v>340</v>
      </c>
      <c r="I53" s="541">
        <v>1</v>
      </c>
      <c r="J53" s="541">
        <v>1</v>
      </c>
      <c r="K53" s="551">
        <v>20000000</v>
      </c>
      <c r="L53" s="141">
        <f>K53*I53*J53</f>
        <v>20000000</v>
      </c>
    </row>
    <row r="54" spans="2:14" s="112" customFormat="1" ht="21.6" customHeight="1">
      <c r="B54" s="400" t="s">
        <v>374</v>
      </c>
      <c r="C54" s="401"/>
      <c r="D54" s="402"/>
      <c r="E54" s="402"/>
      <c r="F54" s="402"/>
      <c r="G54" s="403"/>
      <c r="H54" s="404"/>
      <c r="I54" s="405"/>
      <c r="J54" s="405"/>
      <c r="K54" s="406"/>
      <c r="L54" s="407">
        <f>SUM(L53)</f>
        <v>20000000</v>
      </c>
      <c r="N54" s="111"/>
    </row>
    <row r="55" spans="2:14" ht="15" customHeight="1">
      <c r="B55" s="117"/>
      <c r="C55" s="118"/>
      <c r="D55" s="119"/>
      <c r="E55" s="119"/>
      <c r="F55" s="119"/>
      <c r="G55" s="120"/>
      <c r="H55" s="121"/>
      <c r="I55" s="114"/>
      <c r="J55" s="114"/>
      <c r="K55" s="116"/>
      <c r="L55" s="141"/>
    </row>
    <row r="56" spans="2:14" ht="18">
      <c r="B56" s="845" t="s">
        <v>375</v>
      </c>
      <c r="C56" s="846"/>
      <c r="D56" s="846"/>
      <c r="E56" s="846"/>
      <c r="F56" s="846"/>
      <c r="G56" s="846"/>
      <c r="H56" s="564"/>
      <c r="I56" s="565"/>
      <c r="J56" s="142"/>
      <c r="K56" s="143" t="s">
        <v>376</v>
      </c>
      <c r="L56" s="144">
        <f>+L37+L29+L25+L51+L54</f>
        <v>399541721.899414</v>
      </c>
    </row>
    <row r="57" spans="2:14" ht="17.45" customHeight="1">
      <c r="B57" s="847" t="s">
        <v>377</v>
      </c>
      <c r="C57" s="848"/>
      <c r="D57" s="848"/>
      <c r="E57" s="848"/>
      <c r="F57" s="848"/>
      <c r="G57" s="848"/>
      <c r="H57" s="566"/>
      <c r="I57" s="567"/>
      <c r="J57" s="145"/>
      <c r="K57" s="146">
        <f>+'AU  Consul P2'!H25</f>
        <v>0.13674807545143486</v>
      </c>
      <c r="L57" s="329">
        <f>+L56*K57</f>
        <v>54636561.532297269</v>
      </c>
    </row>
    <row r="58" spans="2:14" ht="18">
      <c r="B58" s="847" t="s">
        <v>378</v>
      </c>
      <c r="C58" s="848"/>
      <c r="D58" s="848"/>
      <c r="E58" s="848"/>
      <c r="F58" s="848"/>
      <c r="G58" s="848"/>
      <c r="H58" s="566"/>
      <c r="I58" s="567"/>
      <c r="J58" s="145"/>
      <c r="K58" s="146">
        <v>0.05</v>
      </c>
      <c r="L58" s="329">
        <f>+L56*K58</f>
        <v>19977086.094970699</v>
      </c>
    </row>
    <row r="59" spans="2:14" ht="18">
      <c r="B59" s="845" t="s">
        <v>379</v>
      </c>
      <c r="C59" s="846"/>
      <c r="D59" s="846"/>
      <c r="E59" s="846"/>
      <c r="F59" s="846"/>
      <c r="G59" s="846"/>
      <c r="H59" s="564"/>
      <c r="I59" s="565"/>
      <c r="J59" s="142"/>
      <c r="K59" s="570">
        <f>+K57+K58</f>
        <v>0.18674807545143485</v>
      </c>
      <c r="L59" s="144">
        <f>ROUND(SUM(L56:L58),0)</f>
        <v>474155370</v>
      </c>
    </row>
    <row r="60" spans="2:14" ht="22.5" customHeight="1">
      <c r="B60" s="842" t="s">
        <v>380</v>
      </c>
      <c r="C60" s="843"/>
      <c r="D60" s="843"/>
      <c r="E60" s="843"/>
      <c r="F60" s="843"/>
      <c r="G60" s="843"/>
      <c r="H60" s="843"/>
      <c r="I60" s="843"/>
      <c r="J60" s="843"/>
      <c r="K60" s="844"/>
      <c r="L60" s="329">
        <f>+Pólizas!O20</f>
        <v>2342111.2304243837</v>
      </c>
    </row>
    <row r="61" spans="2:14" ht="18.75" thickBot="1">
      <c r="B61" s="840" t="s">
        <v>381</v>
      </c>
      <c r="C61" s="841"/>
      <c r="D61" s="841"/>
      <c r="E61" s="841"/>
      <c r="F61" s="841"/>
      <c r="G61" s="841"/>
      <c r="H61" s="554"/>
      <c r="I61" s="555"/>
      <c r="J61" s="555"/>
      <c r="K61" s="556"/>
      <c r="L61" s="557">
        <f>+L59+L60</f>
        <v>476497481.2304244</v>
      </c>
    </row>
    <row r="64" spans="2:14">
      <c r="K64" s="398"/>
      <c r="L64" s="397"/>
    </row>
    <row r="65" spans="10:12">
      <c r="L65" s="397"/>
    </row>
    <row r="68" spans="10:12">
      <c r="L68" s="397"/>
    </row>
    <row r="69" spans="10:12">
      <c r="J69" s="126">
        <f>+L61+'PRESUPUESTO OFICIAL 2026 SALUD'!L61</f>
        <v>694911604.88036764</v>
      </c>
    </row>
  </sheetData>
  <mergeCells count="60">
    <mergeCell ref="B58:G58"/>
    <mergeCell ref="B59:G59"/>
    <mergeCell ref="B60:K60"/>
    <mergeCell ref="B61:G61"/>
    <mergeCell ref="C49:G49"/>
    <mergeCell ref="C50:G50"/>
    <mergeCell ref="B52:L52"/>
    <mergeCell ref="C53:G53"/>
    <mergeCell ref="B56:G56"/>
    <mergeCell ref="B57:G57"/>
    <mergeCell ref="C48:G48"/>
    <mergeCell ref="C36:G36"/>
    <mergeCell ref="B38:L38"/>
    <mergeCell ref="C39:G39"/>
    <mergeCell ref="C40:G40"/>
    <mergeCell ref="C41:G41"/>
    <mergeCell ref="C42:G42"/>
    <mergeCell ref="C43:G43"/>
    <mergeCell ref="C44:G44"/>
    <mergeCell ref="C45:G45"/>
    <mergeCell ref="C46:G46"/>
    <mergeCell ref="C47:G47"/>
    <mergeCell ref="C18:G18"/>
    <mergeCell ref="C19:G19"/>
    <mergeCell ref="C35:G35"/>
    <mergeCell ref="C21:G21"/>
    <mergeCell ref="C22:G22"/>
    <mergeCell ref="C24:G24"/>
    <mergeCell ref="B26:L26"/>
    <mergeCell ref="C27:G27"/>
    <mergeCell ref="C28:G28"/>
    <mergeCell ref="B30:L30"/>
    <mergeCell ref="C31:G31"/>
    <mergeCell ref="C32:G32"/>
    <mergeCell ref="C33:G33"/>
    <mergeCell ref="C34:G34"/>
    <mergeCell ref="C20:G20"/>
    <mergeCell ref="C23:G23"/>
    <mergeCell ref="C10:G10"/>
    <mergeCell ref="C12:G12"/>
    <mergeCell ref="C13:G13"/>
    <mergeCell ref="J7:J8"/>
    <mergeCell ref="K7:K8"/>
    <mergeCell ref="C11:G11"/>
    <mergeCell ref="C15:G15"/>
    <mergeCell ref="C16:G16"/>
    <mergeCell ref="C17:G17"/>
    <mergeCell ref="B6:L6"/>
    <mergeCell ref="B1:G1"/>
    <mergeCell ref="H1:L1"/>
    <mergeCell ref="B2:L2"/>
    <mergeCell ref="B3:L3"/>
    <mergeCell ref="B4:L4"/>
    <mergeCell ref="C14:G14"/>
    <mergeCell ref="B7:B8"/>
    <mergeCell ref="C7:G8"/>
    <mergeCell ref="H7:H8"/>
    <mergeCell ref="I7:I8"/>
    <mergeCell ref="L7:L8"/>
    <mergeCell ref="B9:L9"/>
  </mergeCells>
  <conditionalFormatting sqref="K12:K15">
    <cfRule type="cellIs" dxfId="29" priority="12" operator="between">
      <formula>0</formula>
      <formula>10000000</formula>
    </cfRule>
    <cfRule type="cellIs" dxfId="28" priority="15" operator="equal">
      <formula>0</formula>
    </cfRule>
  </conditionalFormatting>
  <conditionalFormatting sqref="K12:K24">
    <cfRule type="cellIs" dxfId="27" priority="1" operator="lessThan">
      <formula>0</formula>
    </cfRule>
    <cfRule type="cellIs" dxfId="26" priority="2" operator="greaterThan">
      <formula>0</formula>
    </cfRule>
  </conditionalFormatting>
  <conditionalFormatting sqref="K17">
    <cfRule type="cellIs" dxfId="25" priority="17" operator="equal">
      <formula>0</formula>
    </cfRule>
  </conditionalFormatting>
  <conditionalFormatting sqref="K17:K24">
    <cfRule type="cellIs" dxfId="24" priority="3" operator="between">
      <formula>0</formula>
      <formula>10000000</formula>
    </cfRule>
  </conditionalFormatting>
  <conditionalFormatting sqref="K20:K24">
    <cfRule type="cellIs" dxfId="23" priority="18" operator="equal">
      <formula>0</formula>
    </cfRule>
  </conditionalFormatting>
  <conditionalFormatting sqref="K27:K28 K32:K36">
    <cfRule type="cellIs" dxfId="22" priority="8" operator="between">
      <formula>0</formula>
      <formula>10000000</formula>
    </cfRule>
    <cfRule type="cellIs" dxfId="21" priority="9" operator="lessThan">
      <formula>0</formula>
    </cfRule>
    <cfRule type="cellIs" dxfId="20" priority="10" operator="greaterThan">
      <formula>0</formula>
    </cfRule>
    <cfRule type="cellIs" dxfId="19" priority="11" operator="equal">
      <formula>0</formula>
    </cfRule>
  </conditionalFormatting>
  <conditionalFormatting sqref="K41">
    <cfRule type="cellIs" dxfId="18" priority="4" operator="between">
      <formula>0</formula>
      <formula>10000000</formula>
    </cfRule>
    <cfRule type="cellIs" dxfId="17" priority="5" operator="lessThan">
      <formula>0</formula>
    </cfRule>
    <cfRule type="cellIs" dxfId="16" priority="6" operator="greaterThan">
      <formula>0</formula>
    </cfRule>
    <cfRule type="cellIs" dxfId="15" priority="7" operator="equal">
      <formula>0</formula>
    </cfRule>
  </conditionalFormatting>
  <pageMargins left="0.70866141732283472" right="0.70866141732283472" top="0.74803149606299213" bottom="0.74803149606299213" header="0.31496062992125984" footer="0.31496062992125984"/>
  <pageSetup scale="60"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F0B8B-8BEB-44D0-8272-41307872B046}">
  <sheetPr>
    <tabColor rgb="FF00B0F0"/>
  </sheetPr>
  <dimension ref="A1:T74"/>
  <sheetViews>
    <sheetView tabSelected="1" topLeftCell="A52" zoomScaleNormal="100" workbookViewId="0">
      <selection activeCell="J76" sqref="J76"/>
    </sheetView>
  </sheetViews>
  <sheetFormatPr baseColWidth="10" defaultColWidth="11.42578125" defaultRowHeight="15"/>
  <cols>
    <col min="1" max="1" width="1.42578125" style="111" customWidth="1"/>
    <col min="2" max="2" width="8.140625" style="122" customWidth="1"/>
    <col min="3" max="3" width="17.7109375" style="123" customWidth="1"/>
    <col min="4" max="4" width="20.85546875" style="123" customWidth="1"/>
    <col min="5" max="5" width="23.28515625" style="123" customWidth="1"/>
    <col min="6" max="6" width="7.5703125" style="123" customWidth="1"/>
    <col min="7" max="7" width="22.28515625" style="124" customWidth="1"/>
    <col min="8" max="8" width="10.28515625" style="125" customWidth="1"/>
    <col min="9" max="9" width="14.28515625" style="126" customWidth="1"/>
    <col min="10" max="10" width="16.28515625" style="126" bestFit="1" customWidth="1"/>
    <col min="11" max="11" width="17.7109375" style="126" customWidth="1"/>
    <col min="12" max="12" width="23.140625" style="127" customWidth="1"/>
    <col min="13" max="13" width="3.140625" style="111" customWidth="1"/>
    <col min="14" max="14" width="11.42578125" style="111"/>
    <col min="15" max="15" width="14.7109375" style="111" bestFit="1" customWidth="1"/>
    <col min="16" max="16" width="16.42578125" style="111" bestFit="1" customWidth="1"/>
    <col min="17" max="209" width="11.42578125" style="111"/>
    <col min="210" max="210" width="17.5703125" style="111" customWidth="1"/>
    <col min="211" max="211" width="13.5703125" style="111" customWidth="1"/>
    <col min="212" max="212" width="23.28515625" style="111" customWidth="1"/>
    <col min="213" max="213" width="21.28515625" style="111" customWidth="1"/>
    <col min="214" max="214" width="5.7109375" style="111" customWidth="1"/>
    <col min="215" max="215" width="20.7109375" style="111" customWidth="1"/>
    <col min="216" max="216" width="9" style="111" customWidth="1"/>
    <col min="217" max="217" width="16.7109375" style="111" bestFit="1" customWidth="1"/>
    <col min="218" max="218" width="20" style="111" customWidth="1"/>
    <col min="219" max="219" width="21.5703125" style="111" customWidth="1"/>
    <col min="220" max="220" width="20.5703125" style="111" customWidth="1"/>
    <col min="221" max="221" width="22.28515625" style="111" customWidth="1"/>
    <col min="222" max="229" width="0" style="111" hidden="1" customWidth="1"/>
    <col min="230" max="231" width="20" style="111" customWidth="1"/>
    <col min="232" max="234" width="21" style="111" customWidth="1"/>
    <col min="235" max="235" width="30.28515625" style="111" customWidth="1"/>
    <col min="236" max="236" width="22" style="111" customWidth="1"/>
    <col min="237" max="465" width="11.42578125" style="111"/>
    <col min="466" max="466" width="17.5703125" style="111" customWidth="1"/>
    <col min="467" max="467" width="13.5703125" style="111" customWidth="1"/>
    <col min="468" max="468" width="23.28515625" style="111" customWidth="1"/>
    <col min="469" max="469" width="21.28515625" style="111" customWidth="1"/>
    <col min="470" max="470" width="5.7109375" style="111" customWidth="1"/>
    <col min="471" max="471" width="20.7109375" style="111" customWidth="1"/>
    <col min="472" max="472" width="9" style="111" customWidth="1"/>
    <col min="473" max="473" width="16.7109375" style="111" bestFit="1" customWidth="1"/>
    <col min="474" max="474" width="20" style="111" customWidth="1"/>
    <col min="475" max="475" width="21.5703125" style="111" customWidth="1"/>
    <col min="476" max="476" width="20.5703125" style="111" customWidth="1"/>
    <col min="477" max="477" width="22.28515625" style="111" customWidth="1"/>
    <col min="478" max="485" width="0" style="111" hidden="1" customWidth="1"/>
    <col min="486" max="487" width="20" style="111" customWidth="1"/>
    <col min="488" max="490" width="21" style="111" customWidth="1"/>
    <col min="491" max="491" width="30.28515625" style="111" customWidth="1"/>
    <col min="492" max="492" width="22" style="111" customWidth="1"/>
    <col min="493" max="721" width="11.42578125" style="111"/>
    <col min="722" max="722" width="17.5703125" style="111" customWidth="1"/>
    <col min="723" max="723" width="13.5703125" style="111" customWidth="1"/>
    <col min="724" max="724" width="23.28515625" style="111" customWidth="1"/>
    <col min="725" max="725" width="21.28515625" style="111" customWidth="1"/>
    <col min="726" max="726" width="5.7109375" style="111" customWidth="1"/>
    <col min="727" max="727" width="20.7109375" style="111" customWidth="1"/>
    <col min="728" max="728" width="9" style="111" customWidth="1"/>
    <col min="729" max="729" width="16.7109375" style="111" bestFit="1" customWidth="1"/>
    <col min="730" max="730" width="20" style="111" customWidth="1"/>
    <col min="731" max="731" width="21.5703125" style="111" customWidth="1"/>
    <col min="732" max="732" width="20.5703125" style="111" customWidth="1"/>
    <col min="733" max="733" width="22.28515625" style="111" customWidth="1"/>
    <col min="734" max="741" width="0" style="111" hidden="1" customWidth="1"/>
    <col min="742" max="743" width="20" style="111" customWidth="1"/>
    <col min="744" max="746" width="21" style="111" customWidth="1"/>
    <col min="747" max="747" width="30.28515625" style="111" customWidth="1"/>
    <col min="748" max="748" width="22" style="111" customWidth="1"/>
    <col min="749" max="977" width="11.42578125" style="111"/>
    <col min="978" max="978" width="17.5703125" style="111" customWidth="1"/>
    <col min="979" max="979" width="13.5703125" style="111" customWidth="1"/>
    <col min="980" max="980" width="23.28515625" style="111" customWidth="1"/>
    <col min="981" max="981" width="21.28515625" style="111" customWidth="1"/>
    <col min="982" max="982" width="5.7109375" style="111" customWidth="1"/>
    <col min="983" max="983" width="20.7109375" style="111" customWidth="1"/>
    <col min="984" max="984" width="9" style="111" customWidth="1"/>
    <col min="985" max="985" width="16.7109375" style="111" bestFit="1" customWidth="1"/>
    <col min="986" max="986" width="20" style="111" customWidth="1"/>
    <col min="987" max="987" width="21.5703125" style="111" customWidth="1"/>
    <col min="988" max="988" width="20.5703125" style="111" customWidth="1"/>
    <col min="989" max="989" width="22.28515625" style="111" customWidth="1"/>
    <col min="990" max="997" width="0" style="111" hidden="1" customWidth="1"/>
    <col min="998" max="999" width="20" style="111" customWidth="1"/>
    <col min="1000" max="1002" width="21" style="111" customWidth="1"/>
    <col min="1003" max="1003" width="30.28515625" style="111" customWidth="1"/>
    <col min="1004" max="1004" width="22" style="111" customWidth="1"/>
    <col min="1005" max="1233" width="11.42578125" style="111"/>
    <col min="1234" max="1234" width="17.5703125" style="111" customWidth="1"/>
    <col min="1235" max="1235" width="13.5703125" style="111" customWidth="1"/>
    <col min="1236" max="1236" width="23.28515625" style="111" customWidth="1"/>
    <col min="1237" max="1237" width="21.28515625" style="111" customWidth="1"/>
    <col min="1238" max="1238" width="5.7109375" style="111" customWidth="1"/>
    <col min="1239" max="1239" width="20.7109375" style="111" customWidth="1"/>
    <col min="1240" max="1240" width="9" style="111" customWidth="1"/>
    <col min="1241" max="1241" width="16.7109375" style="111" bestFit="1" customWidth="1"/>
    <col min="1242" max="1242" width="20" style="111" customWidth="1"/>
    <col min="1243" max="1243" width="21.5703125" style="111" customWidth="1"/>
    <col min="1244" max="1244" width="20.5703125" style="111" customWidth="1"/>
    <col min="1245" max="1245" width="22.28515625" style="111" customWidth="1"/>
    <col min="1246" max="1253" width="0" style="111" hidden="1" customWidth="1"/>
    <col min="1254" max="1255" width="20" style="111" customWidth="1"/>
    <col min="1256" max="1258" width="21" style="111" customWidth="1"/>
    <col min="1259" max="1259" width="30.28515625" style="111" customWidth="1"/>
    <col min="1260" max="1260" width="22" style="111" customWidth="1"/>
    <col min="1261" max="1489" width="11.42578125" style="111"/>
    <col min="1490" max="1490" width="17.5703125" style="111" customWidth="1"/>
    <col min="1491" max="1491" width="13.5703125" style="111" customWidth="1"/>
    <col min="1492" max="1492" width="23.28515625" style="111" customWidth="1"/>
    <col min="1493" max="1493" width="21.28515625" style="111" customWidth="1"/>
    <col min="1494" max="1494" width="5.7109375" style="111" customWidth="1"/>
    <col min="1495" max="1495" width="20.7109375" style="111" customWidth="1"/>
    <col min="1496" max="1496" width="9" style="111" customWidth="1"/>
    <col min="1497" max="1497" width="16.7109375" style="111" bestFit="1" customWidth="1"/>
    <col min="1498" max="1498" width="20" style="111" customWidth="1"/>
    <col min="1499" max="1499" width="21.5703125" style="111" customWidth="1"/>
    <col min="1500" max="1500" width="20.5703125" style="111" customWidth="1"/>
    <col min="1501" max="1501" width="22.28515625" style="111" customWidth="1"/>
    <col min="1502" max="1509" width="0" style="111" hidden="1" customWidth="1"/>
    <col min="1510" max="1511" width="20" style="111" customWidth="1"/>
    <col min="1512" max="1514" width="21" style="111" customWidth="1"/>
    <col min="1515" max="1515" width="30.28515625" style="111" customWidth="1"/>
    <col min="1516" max="1516" width="22" style="111" customWidth="1"/>
    <col min="1517" max="1745" width="11.42578125" style="111"/>
    <col min="1746" max="1746" width="17.5703125" style="111" customWidth="1"/>
    <col min="1747" max="1747" width="13.5703125" style="111" customWidth="1"/>
    <col min="1748" max="1748" width="23.28515625" style="111" customWidth="1"/>
    <col min="1749" max="1749" width="21.28515625" style="111" customWidth="1"/>
    <col min="1750" max="1750" width="5.7109375" style="111" customWidth="1"/>
    <col min="1751" max="1751" width="20.7109375" style="111" customWidth="1"/>
    <col min="1752" max="1752" width="9" style="111" customWidth="1"/>
    <col min="1753" max="1753" width="16.7109375" style="111" bestFit="1" customWidth="1"/>
    <col min="1754" max="1754" width="20" style="111" customWidth="1"/>
    <col min="1755" max="1755" width="21.5703125" style="111" customWidth="1"/>
    <col min="1756" max="1756" width="20.5703125" style="111" customWidth="1"/>
    <col min="1757" max="1757" width="22.28515625" style="111" customWidth="1"/>
    <col min="1758" max="1765" width="0" style="111" hidden="1" customWidth="1"/>
    <col min="1766" max="1767" width="20" style="111" customWidth="1"/>
    <col min="1768" max="1770" width="21" style="111" customWidth="1"/>
    <col min="1771" max="1771" width="30.28515625" style="111" customWidth="1"/>
    <col min="1772" max="1772" width="22" style="111" customWidth="1"/>
    <col min="1773" max="2001" width="11.42578125" style="111"/>
    <col min="2002" max="2002" width="17.5703125" style="111" customWidth="1"/>
    <col min="2003" max="2003" width="13.5703125" style="111" customWidth="1"/>
    <col min="2004" max="2004" width="23.28515625" style="111" customWidth="1"/>
    <col min="2005" max="2005" width="21.28515625" style="111" customWidth="1"/>
    <col min="2006" max="2006" width="5.7109375" style="111" customWidth="1"/>
    <col min="2007" max="2007" width="20.7109375" style="111" customWidth="1"/>
    <col min="2008" max="2008" width="9" style="111" customWidth="1"/>
    <col min="2009" max="2009" width="16.7109375" style="111" bestFit="1" customWidth="1"/>
    <col min="2010" max="2010" width="20" style="111" customWidth="1"/>
    <col min="2011" max="2011" width="21.5703125" style="111" customWidth="1"/>
    <col min="2012" max="2012" width="20.5703125" style="111" customWidth="1"/>
    <col min="2013" max="2013" width="22.28515625" style="111" customWidth="1"/>
    <col min="2014" max="2021" width="0" style="111" hidden="1" customWidth="1"/>
    <col min="2022" max="2023" width="20" style="111" customWidth="1"/>
    <col min="2024" max="2026" width="21" style="111" customWidth="1"/>
    <col min="2027" max="2027" width="30.28515625" style="111" customWidth="1"/>
    <col min="2028" max="2028" width="22" style="111" customWidth="1"/>
    <col min="2029" max="2257" width="11.42578125" style="111"/>
    <col min="2258" max="2258" width="17.5703125" style="111" customWidth="1"/>
    <col min="2259" max="2259" width="13.5703125" style="111" customWidth="1"/>
    <col min="2260" max="2260" width="23.28515625" style="111" customWidth="1"/>
    <col min="2261" max="2261" width="21.28515625" style="111" customWidth="1"/>
    <col min="2262" max="2262" width="5.7109375" style="111" customWidth="1"/>
    <col min="2263" max="2263" width="20.7109375" style="111" customWidth="1"/>
    <col min="2264" max="2264" width="9" style="111" customWidth="1"/>
    <col min="2265" max="2265" width="16.7109375" style="111" bestFit="1" customWidth="1"/>
    <col min="2266" max="2266" width="20" style="111" customWidth="1"/>
    <col min="2267" max="2267" width="21.5703125" style="111" customWidth="1"/>
    <col min="2268" max="2268" width="20.5703125" style="111" customWidth="1"/>
    <col min="2269" max="2269" width="22.28515625" style="111" customWidth="1"/>
    <col min="2270" max="2277" width="0" style="111" hidden="1" customWidth="1"/>
    <col min="2278" max="2279" width="20" style="111" customWidth="1"/>
    <col min="2280" max="2282" width="21" style="111" customWidth="1"/>
    <col min="2283" max="2283" width="30.28515625" style="111" customWidth="1"/>
    <col min="2284" max="2284" width="22" style="111" customWidth="1"/>
    <col min="2285" max="2513" width="11.42578125" style="111"/>
    <col min="2514" max="2514" width="17.5703125" style="111" customWidth="1"/>
    <col min="2515" max="2515" width="13.5703125" style="111" customWidth="1"/>
    <col min="2516" max="2516" width="23.28515625" style="111" customWidth="1"/>
    <col min="2517" max="2517" width="21.28515625" style="111" customWidth="1"/>
    <col min="2518" max="2518" width="5.7109375" style="111" customWidth="1"/>
    <col min="2519" max="2519" width="20.7109375" style="111" customWidth="1"/>
    <col min="2520" max="2520" width="9" style="111" customWidth="1"/>
    <col min="2521" max="2521" width="16.7109375" style="111" bestFit="1" customWidth="1"/>
    <col min="2522" max="2522" width="20" style="111" customWidth="1"/>
    <col min="2523" max="2523" width="21.5703125" style="111" customWidth="1"/>
    <col min="2524" max="2524" width="20.5703125" style="111" customWidth="1"/>
    <col min="2525" max="2525" width="22.28515625" style="111" customWidth="1"/>
    <col min="2526" max="2533" width="0" style="111" hidden="1" customWidth="1"/>
    <col min="2534" max="2535" width="20" style="111" customWidth="1"/>
    <col min="2536" max="2538" width="21" style="111" customWidth="1"/>
    <col min="2539" max="2539" width="30.28515625" style="111" customWidth="1"/>
    <col min="2540" max="2540" width="22" style="111" customWidth="1"/>
    <col min="2541" max="2769" width="11.42578125" style="111"/>
    <col min="2770" max="2770" width="17.5703125" style="111" customWidth="1"/>
    <col min="2771" max="2771" width="13.5703125" style="111" customWidth="1"/>
    <col min="2772" max="2772" width="23.28515625" style="111" customWidth="1"/>
    <col min="2773" max="2773" width="21.28515625" style="111" customWidth="1"/>
    <col min="2774" max="2774" width="5.7109375" style="111" customWidth="1"/>
    <col min="2775" max="2775" width="20.7109375" style="111" customWidth="1"/>
    <col min="2776" max="2776" width="9" style="111" customWidth="1"/>
    <col min="2777" max="2777" width="16.7109375" style="111" bestFit="1" customWidth="1"/>
    <col min="2778" max="2778" width="20" style="111" customWidth="1"/>
    <col min="2779" max="2779" width="21.5703125" style="111" customWidth="1"/>
    <col min="2780" max="2780" width="20.5703125" style="111" customWidth="1"/>
    <col min="2781" max="2781" width="22.28515625" style="111" customWidth="1"/>
    <col min="2782" max="2789" width="0" style="111" hidden="1" customWidth="1"/>
    <col min="2790" max="2791" width="20" style="111" customWidth="1"/>
    <col min="2792" max="2794" width="21" style="111" customWidth="1"/>
    <col min="2795" max="2795" width="30.28515625" style="111" customWidth="1"/>
    <col min="2796" max="2796" width="22" style="111" customWidth="1"/>
    <col min="2797" max="3025" width="11.42578125" style="111"/>
    <col min="3026" max="3026" width="17.5703125" style="111" customWidth="1"/>
    <col min="3027" max="3027" width="13.5703125" style="111" customWidth="1"/>
    <col min="3028" max="3028" width="23.28515625" style="111" customWidth="1"/>
    <col min="3029" max="3029" width="21.28515625" style="111" customWidth="1"/>
    <col min="3030" max="3030" width="5.7109375" style="111" customWidth="1"/>
    <col min="3031" max="3031" width="20.7109375" style="111" customWidth="1"/>
    <col min="3032" max="3032" width="9" style="111" customWidth="1"/>
    <col min="3033" max="3033" width="16.7109375" style="111" bestFit="1" customWidth="1"/>
    <col min="3034" max="3034" width="20" style="111" customWidth="1"/>
    <col min="3035" max="3035" width="21.5703125" style="111" customWidth="1"/>
    <col min="3036" max="3036" width="20.5703125" style="111" customWidth="1"/>
    <col min="3037" max="3037" width="22.28515625" style="111" customWidth="1"/>
    <col min="3038" max="3045" width="0" style="111" hidden="1" customWidth="1"/>
    <col min="3046" max="3047" width="20" style="111" customWidth="1"/>
    <col min="3048" max="3050" width="21" style="111" customWidth="1"/>
    <col min="3051" max="3051" width="30.28515625" style="111" customWidth="1"/>
    <col min="3052" max="3052" width="22" style="111" customWidth="1"/>
    <col min="3053" max="3281" width="11.42578125" style="111"/>
    <col min="3282" max="3282" width="17.5703125" style="111" customWidth="1"/>
    <col min="3283" max="3283" width="13.5703125" style="111" customWidth="1"/>
    <col min="3284" max="3284" width="23.28515625" style="111" customWidth="1"/>
    <col min="3285" max="3285" width="21.28515625" style="111" customWidth="1"/>
    <col min="3286" max="3286" width="5.7109375" style="111" customWidth="1"/>
    <col min="3287" max="3287" width="20.7109375" style="111" customWidth="1"/>
    <col min="3288" max="3288" width="9" style="111" customWidth="1"/>
    <col min="3289" max="3289" width="16.7109375" style="111" bestFit="1" customWidth="1"/>
    <col min="3290" max="3290" width="20" style="111" customWidth="1"/>
    <col min="3291" max="3291" width="21.5703125" style="111" customWidth="1"/>
    <col min="3292" max="3292" width="20.5703125" style="111" customWidth="1"/>
    <col min="3293" max="3293" width="22.28515625" style="111" customWidth="1"/>
    <col min="3294" max="3301" width="0" style="111" hidden="1" customWidth="1"/>
    <col min="3302" max="3303" width="20" style="111" customWidth="1"/>
    <col min="3304" max="3306" width="21" style="111" customWidth="1"/>
    <col min="3307" max="3307" width="30.28515625" style="111" customWidth="1"/>
    <col min="3308" max="3308" width="22" style="111" customWidth="1"/>
    <col min="3309" max="3537" width="11.42578125" style="111"/>
    <col min="3538" max="3538" width="17.5703125" style="111" customWidth="1"/>
    <col min="3539" max="3539" width="13.5703125" style="111" customWidth="1"/>
    <col min="3540" max="3540" width="23.28515625" style="111" customWidth="1"/>
    <col min="3541" max="3541" width="21.28515625" style="111" customWidth="1"/>
    <col min="3542" max="3542" width="5.7109375" style="111" customWidth="1"/>
    <col min="3543" max="3543" width="20.7109375" style="111" customWidth="1"/>
    <col min="3544" max="3544" width="9" style="111" customWidth="1"/>
    <col min="3545" max="3545" width="16.7109375" style="111" bestFit="1" customWidth="1"/>
    <col min="3546" max="3546" width="20" style="111" customWidth="1"/>
    <col min="3547" max="3547" width="21.5703125" style="111" customWidth="1"/>
    <col min="3548" max="3548" width="20.5703125" style="111" customWidth="1"/>
    <col min="3549" max="3549" width="22.28515625" style="111" customWidth="1"/>
    <col min="3550" max="3557" width="0" style="111" hidden="1" customWidth="1"/>
    <col min="3558" max="3559" width="20" style="111" customWidth="1"/>
    <col min="3560" max="3562" width="21" style="111" customWidth="1"/>
    <col min="3563" max="3563" width="30.28515625" style="111" customWidth="1"/>
    <col min="3564" max="3564" width="22" style="111" customWidth="1"/>
    <col min="3565" max="3793" width="11.42578125" style="111"/>
    <col min="3794" max="3794" width="17.5703125" style="111" customWidth="1"/>
    <col min="3795" max="3795" width="13.5703125" style="111" customWidth="1"/>
    <col min="3796" max="3796" width="23.28515625" style="111" customWidth="1"/>
    <col min="3797" max="3797" width="21.28515625" style="111" customWidth="1"/>
    <col min="3798" max="3798" width="5.7109375" style="111" customWidth="1"/>
    <col min="3799" max="3799" width="20.7109375" style="111" customWidth="1"/>
    <col min="3800" max="3800" width="9" style="111" customWidth="1"/>
    <col min="3801" max="3801" width="16.7109375" style="111" bestFit="1" customWidth="1"/>
    <col min="3802" max="3802" width="20" style="111" customWidth="1"/>
    <col min="3803" max="3803" width="21.5703125" style="111" customWidth="1"/>
    <col min="3804" max="3804" width="20.5703125" style="111" customWidth="1"/>
    <col min="3805" max="3805" width="22.28515625" style="111" customWidth="1"/>
    <col min="3806" max="3813" width="0" style="111" hidden="1" customWidth="1"/>
    <col min="3814" max="3815" width="20" style="111" customWidth="1"/>
    <col min="3816" max="3818" width="21" style="111" customWidth="1"/>
    <col min="3819" max="3819" width="30.28515625" style="111" customWidth="1"/>
    <col min="3820" max="3820" width="22" style="111" customWidth="1"/>
    <col min="3821" max="4049" width="11.42578125" style="111"/>
    <col min="4050" max="4050" width="17.5703125" style="111" customWidth="1"/>
    <col min="4051" max="4051" width="13.5703125" style="111" customWidth="1"/>
    <col min="4052" max="4052" width="23.28515625" style="111" customWidth="1"/>
    <col min="4053" max="4053" width="21.28515625" style="111" customWidth="1"/>
    <col min="4054" max="4054" width="5.7109375" style="111" customWidth="1"/>
    <col min="4055" max="4055" width="20.7109375" style="111" customWidth="1"/>
    <col min="4056" max="4056" width="9" style="111" customWidth="1"/>
    <col min="4057" max="4057" width="16.7109375" style="111" bestFit="1" customWidth="1"/>
    <col min="4058" max="4058" width="20" style="111" customWidth="1"/>
    <col min="4059" max="4059" width="21.5703125" style="111" customWidth="1"/>
    <col min="4060" max="4060" width="20.5703125" style="111" customWidth="1"/>
    <col min="4061" max="4061" width="22.28515625" style="111" customWidth="1"/>
    <col min="4062" max="4069" width="0" style="111" hidden="1" customWidth="1"/>
    <col min="4070" max="4071" width="20" style="111" customWidth="1"/>
    <col min="4072" max="4074" width="21" style="111" customWidth="1"/>
    <col min="4075" max="4075" width="30.28515625" style="111" customWidth="1"/>
    <col min="4076" max="4076" width="22" style="111" customWidth="1"/>
    <col min="4077" max="4305" width="11.42578125" style="111"/>
    <col min="4306" max="4306" width="17.5703125" style="111" customWidth="1"/>
    <col min="4307" max="4307" width="13.5703125" style="111" customWidth="1"/>
    <col min="4308" max="4308" width="23.28515625" style="111" customWidth="1"/>
    <col min="4309" max="4309" width="21.28515625" style="111" customWidth="1"/>
    <col min="4310" max="4310" width="5.7109375" style="111" customWidth="1"/>
    <col min="4311" max="4311" width="20.7109375" style="111" customWidth="1"/>
    <col min="4312" max="4312" width="9" style="111" customWidth="1"/>
    <col min="4313" max="4313" width="16.7109375" style="111" bestFit="1" customWidth="1"/>
    <col min="4314" max="4314" width="20" style="111" customWidth="1"/>
    <col min="4315" max="4315" width="21.5703125" style="111" customWidth="1"/>
    <col min="4316" max="4316" width="20.5703125" style="111" customWidth="1"/>
    <col min="4317" max="4317" width="22.28515625" style="111" customWidth="1"/>
    <col min="4318" max="4325" width="0" style="111" hidden="1" customWidth="1"/>
    <col min="4326" max="4327" width="20" style="111" customWidth="1"/>
    <col min="4328" max="4330" width="21" style="111" customWidth="1"/>
    <col min="4331" max="4331" width="30.28515625" style="111" customWidth="1"/>
    <col min="4332" max="4332" width="22" style="111" customWidth="1"/>
    <col min="4333" max="4561" width="11.42578125" style="111"/>
    <col min="4562" max="4562" width="17.5703125" style="111" customWidth="1"/>
    <col min="4563" max="4563" width="13.5703125" style="111" customWidth="1"/>
    <col min="4564" max="4564" width="23.28515625" style="111" customWidth="1"/>
    <col min="4565" max="4565" width="21.28515625" style="111" customWidth="1"/>
    <col min="4566" max="4566" width="5.7109375" style="111" customWidth="1"/>
    <col min="4567" max="4567" width="20.7109375" style="111" customWidth="1"/>
    <col min="4568" max="4568" width="9" style="111" customWidth="1"/>
    <col min="4569" max="4569" width="16.7109375" style="111" bestFit="1" customWidth="1"/>
    <col min="4570" max="4570" width="20" style="111" customWidth="1"/>
    <col min="4571" max="4571" width="21.5703125" style="111" customWidth="1"/>
    <col min="4572" max="4572" width="20.5703125" style="111" customWidth="1"/>
    <col min="4573" max="4573" width="22.28515625" style="111" customWidth="1"/>
    <col min="4574" max="4581" width="0" style="111" hidden="1" customWidth="1"/>
    <col min="4582" max="4583" width="20" style="111" customWidth="1"/>
    <col min="4584" max="4586" width="21" style="111" customWidth="1"/>
    <col min="4587" max="4587" width="30.28515625" style="111" customWidth="1"/>
    <col min="4588" max="4588" width="22" style="111" customWidth="1"/>
    <col min="4589" max="4817" width="11.42578125" style="111"/>
    <col min="4818" max="4818" width="17.5703125" style="111" customWidth="1"/>
    <col min="4819" max="4819" width="13.5703125" style="111" customWidth="1"/>
    <col min="4820" max="4820" width="23.28515625" style="111" customWidth="1"/>
    <col min="4821" max="4821" width="21.28515625" style="111" customWidth="1"/>
    <col min="4822" max="4822" width="5.7109375" style="111" customWidth="1"/>
    <col min="4823" max="4823" width="20.7109375" style="111" customWidth="1"/>
    <col min="4824" max="4824" width="9" style="111" customWidth="1"/>
    <col min="4825" max="4825" width="16.7109375" style="111" bestFit="1" customWidth="1"/>
    <col min="4826" max="4826" width="20" style="111" customWidth="1"/>
    <col min="4827" max="4827" width="21.5703125" style="111" customWidth="1"/>
    <col min="4828" max="4828" width="20.5703125" style="111" customWidth="1"/>
    <col min="4829" max="4829" width="22.28515625" style="111" customWidth="1"/>
    <col min="4830" max="4837" width="0" style="111" hidden="1" customWidth="1"/>
    <col min="4838" max="4839" width="20" style="111" customWidth="1"/>
    <col min="4840" max="4842" width="21" style="111" customWidth="1"/>
    <col min="4843" max="4843" width="30.28515625" style="111" customWidth="1"/>
    <col min="4844" max="4844" width="22" style="111" customWidth="1"/>
    <col min="4845" max="5073" width="11.42578125" style="111"/>
    <col min="5074" max="5074" width="17.5703125" style="111" customWidth="1"/>
    <col min="5075" max="5075" width="13.5703125" style="111" customWidth="1"/>
    <col min="5076" max="5076" width="23.28515625" style="111" customWidth="1"/>
    <col min="5077" max="5077" width="21.28515625" style="111" customWidth="1"/>
    <col min="5078" max="5078" width="5.7109375" style="111" customWidth="1"/>
    <col min="5079" max="5079" width="20.7109375" style="111" customWidth="1"/>
    <col min="5080" max="5080" width="9" style="111" customWidth="1"/>
    <col min="5081" max="5081" width="16.7109375" style="111" bestFit="1" customWidth="1"/>
    <col min="5082" max="5082" width="20" style="111" customWidth="1"/>
    <col min="5083" max="5083" width="21.5703125" style="111" customWidth="1"/>
    <col min="5084" max="5084" width="20.5703125" style="111" customWidth="1"/>
    <col min="5085" max="5085" width="22.28515625" style="111" customWidth="1"/>
    <col min="5086" max="5093" width="0" style="111" hidden="1" customWidth="1"/>
    <col min="5094" max="5095" width="20" style="111" customWidth="1"/>
    <col min="5096" max="5098" width="21" style="111" customWidth="1"/>
    <col min="5099" max="5099" width="30.28515625" style="111" customWidth="1"/>
    <col min="5100" max="5100" width="22" style="111" customWidth="1"/>
    <col min="5101" max="5329" width="11.42578125" style="111"/>
    <col min="5330" max="5330" width="17.5703125" style="111" customWidth="1"/>
    <col min="5331" max="5331" width="13.5703125" style="111" customWidth="1"/>
    <col min="5332" max="5332" width="23.28515625" style="111" customWidth="1"/>
    <col min="5333" max="5333" width="21.28515625" style="111" customWidth="1"/>
    <col min="5334" max="5334" width="5.7109375" style="111" customWidth="1"/>
    <col min="5335" max="5335" width="20.7109375" style="111" customWidth="1"/>
    <col min="5336" max="5336" width="9" style="111" customWidth="1"/>
    <col min="5337" max="5337" width="16.7109375" style="111" bestFit="1" customWidth="1"/>
    <col min="5338" max="5338" width="20" style="111" customWidth="1"/>
    <col min="5339" max="5339" width="21.5703125" style="111" customWidth="1"/>
    <col min="5340" max="5340" width="20.5703125" style="111" customWidth="1"/>
    <col min="5341" max="5341" width="22.28515625" style="111" customWidth="1"/>
    <col min="5342" max="5349" width="0" style="111" hidden="1" customWidth="1"/>
    <col min="5350" max="5351" width="20" style="111" customWidth="1"/>
    <col min="5352" max="5354" width="21" style="111" customWidth="1"/>
    <col min="5355" max="5355" width="30.28515625" style="111" customWidth="1"/>
    <col min="5356" max="5356" width="22" style="111" customWidth="1"/>
    <col min="5357" max="5585" width="11.42578125" style="111"/>
    <col min="5586" max="5586" width="17.5703125" style="111" customWidth="1"/>
    <col min="5587" max="5587" width="13.5703125" style="111" customWidth="1"/>
    <col min="5588" max="5588" width="23.28515625" style="111" customWidth="1"/>
    <col min="5589" max="5589" width="21.28515625" style="111" customWidth="1"/>
    <col min="5590" max="5590" width="5.7109375" style="111" customWidth="1"/>
    <col min="5591" max="5591" width="20.7109375" style="111" customWidth="1"/>
    <col min="5592" max="5592" width="9" style="111" customWidth="1"/>
    <col min="5593" max="5593" width="16.7109375" style="111" bestFit="1" customWidth="1"/>
    <col min="5594" max="5594" width="20" style="111" customWidth="1"/>
    <col min="5595" max="5595" width="21.5703125" style="111" customWidth="1"/>
    <col min="5596" max="5596" width="20.5703125" style="111" customWidth="1"/>
    <col min="5597" max="5597" width="22.28515625" style="111" customWidth="1"/>
    <col min="5598" max="5605" width="0" style="111" hidden="1" customWidth="1"/>
    <col min="5606" max="5607" width="20" style="111" customWidth="1"/>
    <col min="5608" max="5610" width="21" style="111" customWidth="1"/>
    <col min="5611" max="5611" width="30.28515625" style="111" customWidth="1"/>
    <col min="5612" max="5612" width="22" style="111" customWidth="1"/>
    <col min="5613" max="5841" width="11.42578125" style="111"/>
    <col min="5842" max="5842" width="17.5703125" style="111" customWidth="1"/>
    <col min="5843" max="5843" width="13.5703125" style="111" customWidth="1"/>
    <col min="5844" max="5844" width="23.28515625" style="111" customWidth="1"/>
    <col min="5845" max="5845" width="21.28515625" style="111" customWidth="1"/>
    <col min="5846" max="5846" width="5.7109375" style="111" customWidth="1"/>
    <col min="5847" max="5847" width="20.7109375" style="111" customWidth="1"/>
    <col min="5848" max="5848" width="9" style="111" customWidth="1"/>
    <col min="5849" max="5849" width="16.7109375" style="111" bestFit="1" customWidth="1"/>
    <col min="5850" max="5850" width="20" style="111" customWidth="1"/>
    <col min="5851" max="5851" width="21.5703125" style="111" customWidth="1"/>
    <col min="5852" max="5852" width="20.5703125" style="111" customWidth="1"/>
    <col min="5853" max="5853" width="22.28515625" style="111" customWidth="1"/>
    <col min="5854" max="5861" width="0" style="111" hidden="1" customWidth="1"/>
    <col min="5862" max="5863" width="20" style="111" customWidth="1"/>
    <col min="5864" max="5866" width="21" style="111" customWidth="1"/>
    <col min="5867" max="5867" width="30.28515625" style="111" customWidth="1"/>
    <col min="5868" max="5868" width="22" style="111" customWidth="1"/>
    <col min="5869" max="6097" width="11.42578125" style="111"/>
    <col min="6098" max="6098" width="17.5703125" style="111" customWidth="1"/>
    <col min="6099" max="6099" width="13.5703125" style="111" customWidth="1"/>
    <col min="6100" max="6100" width="23.28515625" style="111" customWidth="1"/>
    <col min="6101" max="6101" width="21.28515625" style="111" customWidth="1"/>
    <col min="6102" max="6102" width="5.7109375" style="111" customWidth="1"/>
    <col min="6103" max="6103" width="20.7109375" style="111" customWidth="1"/>
    <col min="6104" max="6104" width="9" style="111" customWidth="1"/>
    <col min="6105" max="6105" width="16.7109375" style="111" bestFit="1" customWidth="1"/>
    <col min="6106" max="6106" width="20" style="111" customWidth="1"/>
    <col min="6107" max="6107" width="21.5703125" style="111" customWidth="1"/>
    <col min="6108" max="6108" width="20.5703125" style="111" customWidth="1"/>
    <col min="6109" max="6109" width="22.28515625" style="111" customWidth="1"/>
    <col min="6110" max="6117" width="0" style="111" hidden="1" customWidth="1"/>
    <col min="6118" max="6119" width="20" style="111" customWidth="1"/>
    <col min="6120" max="6122" width="21" style="111" customWidth="1"/>
    <col min="6123" max="6123" width="30.28515625" style="111" customWidth="1"/>
    <col min="6124" max="6124" width="22" style="111" customWidth="1"/>
    <col min="6125" max="6353" width="11.42578125" style="111"/>
    <col min="6354" max="6354" width="17.5703125" style="111" customWidth="1"/>
    <col min="6355" max="6355" width="13.5703125" style="111" customWidth="1"/>
    <col min="6356" max="6356" width="23.28515625" style="111" customWidth="1"/>
    <col min="6357" max="6357" width="21.28515625" style="111" customWidth="1"/>
    <col min="6358" max="6358" width="5.7109375" style="111" customWidth="1"/>
    <col min="6359" max="6359" width="20.7109375" style="111" customWidth="1"/>
    <col min="6360" max="6360" width="9" style="111" customWidth="1"/>
    <col min="6361" max="6361" width="16.7109375" style="111" bestFit="1" customWidth="1"/>
    <col min="6362" max="6362" width="20" style="111" customWidth="1"/>
    <col min="6363" max="6363" width="21.5703125" style="111" customWidth="1"/>
    <col min="6364" max="6364" width="20.5703125" style="111" customWidth="1"/>
    <col min="6365" max="6365" width="22.28515625" style="111" customWidth="1"/>
    <col min="6366" max="6373" width="0" style="111" hidden="1" customWidth="1"/>
    <col min="6374" max="6375" width="20" style="111" customWidth="1"/>
    <col min="6376" max="6378" width="21" style="111" customWidth="1"/>
    <col min="6379" max="6379" width="30.28515625" style="111" customWidth="1"/>
    <col min="6380" max="6380" width="22" style="111" customWidth="1"/>
    <col min="6381" max="6609" width="11.42578125" style="111"/>
    <col min="6610" max="6610" width="17.5703125" style="111" customWidth="1"/>
    <col min="6611" max="6611" width="13.5703125" style="111" customWidth="1"/>
    <col min="6612" max="6612" width="23.28515625" style="111" customWidth="1"/>
    <col min="6613" max="6613" width="21.28515625" style="111" customWidth="1"/>
    <col min="6614" max="6614" width="5.7109375" style="111" customWidth="1"/>
    <col min="6615" max="6615" width="20.7109375" style="111" customWidth="1"/>
    <col min="6616" max="6616" width="9" style="111" customWidth="1"/>
    <col min="6617" max="6617" width="16.7109375" style="111" bestFit="1" customWidth="1"/>
    <col min="6618" max="6618" width="20" style="111" customWidth="1"/>
    <col min="6619" max="6619" width="21.5703125" style="111" customWidth="1"/>
    <col min="6620" max="6620" width="20.5703125" style="111" customWidth="1"/>
    <col min="6621" max="6621" width="22.28515625" style="111" customWidth="1"/>
    <col min="6622" max="6629" width="0" style="111" hidden="1" customWidth="1"/>
    <col min="6630" max="6631" width="20" style="111" customWidth="1"/>
    <col min="6632" max="6634" width="21" style="111" customWidth="1"/>
    <col min="6635" max="6635" width="30.28515625" style="111" customWidth="1"/>
    <col min="6636" max="6636" width="22" style="111" customWidth="1"/>
    <col min="6637" max="6865" width="11.42578125" style="111"/>
    <col min="6866" max="6866" width="17.5703125" style="111" customWidth="1"/>
    <col min="6867" max="6867" width="13.5703125" style="111" customWidth="1"/>
    <col min="6868" max="6868" width="23.28515625" style="111" customWidth="1"/>
    <col min="6869" max="6869" width="21.28515625" style="111" customWidth="1"/>
    <col min="6870" max="6870" width="5.7109375" style="111" customWidth="1"/>
    <col min="6871" max="6871" width="20.7109375" style="111" customWidth="1"/>
    <col min="6872" max="6872" width="9" style="111" customWidth="1"/>
    <col min="6873" max="6873" width="16.7109375" style="111" bestFit="1" customWidth="1"/>
    <col min="6874" max="6874" width="20" style="111" customWidth="1"/>
    <col min="6875" max="6875" width="21.5703125" style="111" customWidth="1"/>
    <col min="6876" max="6876" width="20.5703125" style="111" customWidth="1"/>
    <col min="6877" max="6877" width="22.28515625" style="111" customWidth="1"/>
    <col min="6878" max="6885" width="0" style="111" hidden="1" customWidth="1"/>
    <col min="6886" max="6887" width="20" style="111" customWidth="1"/>
    <col min="6888" max="6890" width="21" style="111" customWidth="1"/>
    <col min="6891" max="6891" width="30.28515625" style="111" customWidth="1"/>
    <col min="6892" max="6892" width="22" style="111" customWidth="1"/>
    <col min="6893" max="7121" width="11.42578125" style="111"/>
    <col min="7122" max="7122" width="17.5703125" style="111" customWidth="1"/>
    <col min="7123" max="7123" width="13.5703125" style="111" customWidth="1"/>
    <col min="7124" max="7124" width="23.28515625" style="111" customWidth="1"/>
    <col min="7125" max="7125" width="21.28515625" style="111" customWidth="1"/>
    <col min="7126" max="7126" width="5.7109375" style="111" customWidth="1"/>
    <col min="7127" max="7127" width="20.7109375" style="111" customWidth="1"/>
    <col min="7128" max="7128" width="9" style="111" customWidth="1"/>
    <col min="7129" max="7129" width="16.7109375" style="111" bestFit="1" customWidth="1"/>
    <col min="7130" max="7130" width="20" style="111" customWidth="1"/>
    <col min="7131" max="7131" width="21.5703125" style="111" customWidth="1"/>
    <col min="7132" max="7132" width="20.5703125" style="111" customWidth="1"/>
    <col min="7133" max="7133" width="22.28515625" style="111" customWidth="1"/>
    <col min="7134" max="7141" width="0" style="111" hidden="1" customWidth="1"/>
    <col min="7142" max="7143" width="20" style="111" customWidth="1"/>
    <col min="7144" max="7146" width="21" style="111" customWidth="1"/>
    <col min="7147" max="7147" width="30.28515625" style="111" customWidth="1"/>
    <col min="7148" max="7148" width="22" style="111" customWidth="1"/>
    <col min="7149" max="7377" width="11.42578125" style="111"/>
    <col min="7378" max="7378" width="17.5703125" style="111" customWidth="1"/>
    <col min="7379" max="7379" width="13.5703125" style="111" customWidth="1"/>
    <col min="7380" max="7380" width="23.28515625" style="111" customWidth="1"/>
    <col min="7381" max="7381" width="21.28515625" style="111" customWidth="1"/>
    <col min="7382" max="7382" width="5.7109375" style="111" customWidth="1"/>
    <col min="7383" max="7383" width="20.7109375" style="111" customWidth="1"/>
    <col min="7384" max="7384" width="9" style="111" customWidth="1"/>
    <col min="7385" max="7385" width="16.7109375" style="111" bestFit="1" customWidth="1"/>
    <col min="7386" max="7386" width="20" style="111" customWidth="1"/>
    <col min="7387" max="7387" width="21.5703125" style="111" customWidth="1"/>
    <col min="7388" max="7388" width="20.5703125" style="111" customWidth="1"/>
    <col min="7389" max="7389" width="22.28515625" style="111" customWidth="1"/>
    <col min="7390" max="7397" width="0" style="111" hidden="1" customWidth="1"/>
    <col min="7398" max="7399" width="20" style="111" customWidth="1"/>
    <col min="7400" max="7402" width="21" style="111" customWidth="1"/>
    <col min="7403" max="7403" width="30.28515625" style="111" customWidth="1"/>
    <col min="7404" max="7404" width="22" style="111" customWidth="1"/>
    <col min="7405" max="7633" width="11.42578125" style="111"/>
    <col min="7634" max="7634" width="17.5703125" style="111" customWidth="1"/>
    <col min="7635" max="7635" width="13.5703125" style="111" customWidth="1"/>
    <col min="7636" max="7636" width="23.28515625" style="111" customWidth="1"/>
    <col min="7637" max="7637" width="21.28515625" style="111" customWidth="1"/>
    <col min="7638" max="7638" width="5.7109375" style="111" customWidth="1"/>
    <col min="7639" max="7639" width="20.7109375" style="111" customWidth="1"/>
    <col min="7640" max="7640" width="9" style="111" customWidth="1"/>
    <col min="7641" max="7641" width="16.7109375" style="111" bestFit="1" customWidth="1"/>
    <col min="7642" max="7642" width="20" style="111" customWidth="1"/>
    <col min="7643" max="7643" width="21.5703125" style="111" customWidth="1"/>
    <col min="7644" max="7644" width="20.5703125" style="111" customWidth="1"/>
    <col min="7645" max="7645" width="22.28515625" style="111" customWidth="1"/>
    <col min="7646" max="7653" width="0" style="111" hidden="1" customWidth="1"/>
    <col min="7654" max="7655" width="20" style="111" customWidth="1"/>
    <col min="7656" max="7658" width="21" style="111" customWidth="1"/>
    <col min="7659" max="7659" width="30.28515625" style="111" customWidth="1"/>
    <col min="7660" max="7660" width="22" style="111" customWidth="1"/>
    <col min="7661" max="7889" width="11.42578125" style="111"/>
    <col min="7890" max="7890" width="17.5703125" style="111" customWidth="1"/>
    <col min="7891" max="7891" width="13.5703125" style="111" customWidth="1"/>
    <col min="7892" max="7892" width="23.28515625" style="111" customWidth="1"/>
    <col min="7893" max="7893" width="21.28515625" style="111" customWidth="1"/>
    <col min="7894" max="7894" width="5.7109375" style="111" customWidth="1"/>
    <col min="7895" max="7895" width="20.7109375" style="111" customWidth="1"/>
    <col min="7896" max="7896" width="9" style="111" customWidth="1"/>
    <col min="7897" max="7897" width="16.7109375" style="111" bestFit="1" customWidth="1"/>
    <col min="7898" max="7898" width="20" style="111" customWidth="1"/>
    <col min="7899" max="7899" width="21.5703125" style="111" customWidth="1"/>
    <col min="7900" max="7900" width="20.5703125" style="111" customWidth="1"/>
    <col min="7901" max="7901" width="22.28515625" style="111" customWidth="1"/>
    <col min="7902" max="7909" width="0" style="111" hidden="1" customWidth="1"/>
    <col min="7910" max="7911" width="20" style="111" customWidth="1"/>
    <col min="7912" max="7914" width="21" style="111" customWidth="1"/>
    <col min="7915" max="7915" width="30.28515625" style="111" customWidth="1"/>
    <col min="7916" max="7916" width="22" style="111" customWidth="1"/>
    <col min="7917" max="8145" width="11.42578125" style="111"/>
    <col min="8146" max="8146" width="17.5703125" style="111" customWidth="1"/>
    <col min="8147" max="8147" width="13.5703125" style="111" customWidth="1"/>
    <col min="8148" max="8148" width="23.28515625" style="111" customWidth="1"/>
    <col min="8149" max="8149" width="21.28515625" style="111" customWidth="1"/>
    <col min="8150" max="8150" width="5.7109375" style="111" customWidth="1"/>
    <col min="8151" max="8151" width="20.7109375" style="111" customWidth="1"/>
    <col min="8152" max="8152" width="9" style="111" customWidth="1"/>
    <col min="8153" max="8153" width="16.7109375" style="111" bestFit="1" customWidth="1"/>
    <col min="8154" max="8154" width="20" style="111" customWidth="1"/>
    <col min="8155" max="8155" width="21.5703125" style="111" customWidth="1"/>
    <col min="8156" max="8156" width="20.5703125" style="111" customWidth="1"/>
    <col min="8157" max="8157" width="22.28515625" style="111" customWidth="1"/>
    <col min="8158" max="8165" width="0" style="111" hidden="1" customWidth="1"/>
    <col min="8166" max="8167" width="20" style="111" customWidth="1"/>
    <col min="8168" max="8170" width="21" style="111" customWidth="1"/>
    <col min="8171" max="8171" width="30.28515625" style="111" customWidth="1"/>
    <col min="8172" max="8172" width="22" style="111" customWidth="1"/>
    <col min="8173" max="8401" width="11.42578125" style="111"/>
    <col min="8402" max="8402" width="17.5703125" style="111" customWidth="1"/>
    <col min="8403" max="8403" width="13.5703125" style="111" customWidth="1"/>
    <col min="8404" max="8404" width="23.28515625" style="111" customWidth="1"/>
    <col min="8405" max="8405" width="21.28515625" style="111" customWidth="1"/>
    <col min="8406" max="8406" width="5.7109375" style="111" customWidth="1"/>
    <col min="8407" max="8407" width="20.7109375" style="111" customWidth="1"/>
    <col min="8408" max="8408" width="9" style="111" customWidth="1"/>
    <col min="8409" max="8409" width="16.7109375" style="111" bestFit="1" customWidth="1"/>
    <col min="8410" max="8410" width="20" style="111" customWidth="1"/>
    <col min="8411" max="8411" width="21.5703125" style="111" customWidth="1"/>
    <col min="8412" max="8412" width="20.5703125" style="111" customWidth="1"/>
    <col min="8413" max="8413" width="22.28515625" style="111" customWidth="1"/>
    <col min="8414" max="8421" width="0" style="111" hidden="1" customWidth="1"/>
    <col min="8422" max="8423" width="20" style="111" customWidth="1"/>
    <col min="8424" max="8426" width="21" style="111" customWidth="1"/>
    <col min="8427" max="8427" width="30.28515625" style="111" customWidth="1"/>
    <col min="8428" max="8428" width="22" style="111" customWidth="1"/>
    <col min="8429" max="8657" width="11.42578125" style="111"/>
    <col min="8658" max="8658" width="17.5703125" style="111" customWidth="1"/>
    <col min="8659" max="8659" width="13.5703125" style="111" customWidth="1"/>
    <col min="8660" max="8660" width="23.28515625" style="111" customWidth="1"/>
    <col min="8661" max="8661" width="21.28515625" style="111" customWidth="1"/>
    <col min="8662" max="8662" width="5.7109375" style="111" customWidth="1"/>
    <col min="8663" max="8663" width="20.7109375" style="111" customWidth="1"/>
    <col min="8664" max="8664" width="9" style="111" customWidth="1"/>
    <col min="8665" max="8665" width="16.7109375" style="111" bestFit="1" customWidth="1"/>
    <col min="8666" max="8666" width="20" style="111" customWidth="1"/>
    <col min="8667" max="8667" width="21.5703125" style="111" customWidth="1"/>
    <col min="8668" max="8668" width="20.5703125" style="111" customWidth="1"/>
    <col min="8669" max="8669" width="22.28515625" style="111" customWidth="1"/>
    <col min="8670" max="8677" width="0" style="111" hidden="1" customWidth="1"/>
    <col min="8678" max="8679" width="20" style="111" customWidth="1"/>
    <col min="8680" max="8682" width="21" style="111" customWidth="1"/>
    <col min="8683" max="8683" width="30.28515625" style="111" customWidth="1"/>
    <col min="8684" max="8684" width="22" style="111" customWidth="1"/>
    <col min="8685" max="8913" width="11.42578125" style="111"/>
    <col min="8914" max="8914" width="17.5703125" style="111" customWidth="1"/>
    <col min="8915" max="8915" width="13.5703125" style="111" customWidth="1"/>
    <col min="8916" max="8916" width="23.28515625" style="111" customWidth="1"/>
    <col min="8917" max="8917" width="21.28515625" style="111" customWidth="1"/>
    <col min="8918" max="8918" width="5.7109375" style="111" customWidth="1"/>
    <col min="8919" max="8919" width="20.7109375" style="111" customWidth="1"/>
    <col min="8920" max="8920" width="9" style="111" customWidth="1"/>
    <col min="8921" max="8921" width="16.7109375" style="111" bestFit="1" customWidth="1"/>
    <col min="8922" max="8922" width="20" style="111" customWidth="1"/>
    <col min="8923" max="8923" width="21.5703125" style="111" customWidth="1"/>
    <col min="8924" max="8924" width="20.5703125" style="111" customWidth="1"/>
    <col min="8925" max="8925" width="22.28515625" style="111" customWidth="1"/>
    <col min="8926" max="8933" width="0" style="111" hidden="1" customWidth="1"/>
    <col min="8934" max="8935" width="20" style="111" customWidth="1"/>
    <col min="8936" max="8938" width="21" style="111" customWidth="1"/>
    <col min="8939" max="8939" width="30.28515625" style="111" customWidth="1"/>
    <col min="8940" max="8940" width="22" style="111" customWidth="1"/>
    <col min="8941" max="9169" width="11.42578125" style="111"/>
    <col min="9170" max="9170" width="17.5703125" style="111" customWidth="1"/>
    <col min="9171" max="9171" width="13.5703125" style="111" customWidth="1"/>
    <col min="9172" max="9172" width="23.28515625" style="111" customWidth="1"/>
    <col min="9173" max="9173" width="21.28515625" style="111" customWidth="1"/>
    <col min="9174" max="9174" width="5.7109375" style="111" customWidth="1"/>
    <col min="9175" max="9175" width="20.7109375" style="111" customWidth="1"/>
    <col min="9176" max="9176" width="9" style="111" customWidth="1"/>
    <col min="9177" max="9177" width="16.7109375" style="111" bestFit="1" customWidth="1"/>
    <col min="9178" max="9178" width="20" style="111" customWidth="1"/>
    <col min="9179" max="9179" width="21.5703125" style="111" customWidth="1"/>
    <col min="9180" max="9180" width="20.5703125" style="111" customWidth="1"/>
    <col min="9181" max="9181" width="22.28515625" style="111" customWidth="1"/>
    <col min="9182" max="9189" width="0" style="111" hidden="1" customWidth="1"/>
    <col min="9190" max="9191" width="20" style="111" customWidth="1"/>
    <col min="9192" max="9194" width="21" style="111" customWidth="1"/>
    <col min="9195" max="9195" width="30.28515625" style="111" customWidth="1"/>
    <col min="9196" max="9196" width="22" style="111" customWidth="1"/>
    <col min="9197" max="9425" width="11.42578125" style="111"/>
    <col min="9426" max="9426" width="17.5703125" style="111" customWidth="1"/>
    <col min="9427" max="9427" width="13.5703125" style="111" customWidth="1"/>
    <col min="9428" max="9428" width="23.28515625" style="111" customWidth="1"/>
    <col min="9429" max="9429" width="21.28515625" style="111" customWidth="1"/>
    <col min="9430" max="9430" width="5.7109375" style="111" customWidth="1"/>
    <col min="9431" max="9431" width="20.7109375" style="111" customWidth="1"/>
    <col min="9432" max="9432" width="9" style="111" customWidth="1"/>
    <col min="9433" max="9433" width="16.7109375" style="111" bestFit="1" customWidth="1"/>
    <col min="9434" max="9434" width="20" style="111" customWidth="1"/>
    <col min="9435" max="9435" width="21.5703125" style="111" customWidth="1"/>
    <col min="9436" max="9436" width="20.5703125" style="111" customWidth="1"/>
    <col min="9437" max="9437" width="22.28515625" style="111" customWidth="1"/>
    <col min="9438" max="9445" width="0" style="111" hidden="1" customWidth="1"/>
    <col min="9446" max="9447" width="20" style="111" customWidth="1"/>
    <col min="9448" max="9450" width="21" style="111" customWidth="1"/>
    <col min="9451" max="9451" width="30.28515625" style="111" customWidth="1"/>
    <col min="9452" max="9452" width="22" style="111" customWidth="1"/>
    <col min="9453" max="9681" width="11.42578125" style="111"/>
    <col min="9682" max="9682" width="17.5703125" style="111" customWidth="1"/>
    <col min="9683" max="9683" width="13.5703125" style="111" customWidth="1"/>
    <col min="9684" max="9684" width="23.28515625" style="111" customWidth="1"/>
    <col min="9685" max="9685" width="21.28515625" style="111" customWidth="1"/>
    <col min="9686" max="9686" width="5.7109375" style="111" customWidth="1"/>
    <col min="9687" max="9687" width="20.7109375" style="111" customWidth="1"/>
    <col min="9688" max="9688" width="9" style="111" customWidth="1"/>
    <col min="9689" max="9689" width="16.7109375" style="111" bestFit="1" customWidth="1"/>
    <col min="9690" max="9690" width="20" style="111" customWidth="1"/>
    <col min="9691" max="9691" width="21.5703125" style="111" customWidth="1"/>
    <col min="9692" max="9692" width="20.5703125" style="111" customWidth="1"/>
    <col min="9693" max="9693" width="22.28515625" style="111" customWidth="1"/>
    <col min="9694" max="9701" width="0" style="111" hidden="1" customWidth="1"/>
    <col min="9702" max="9703" width="20" style="111" customWidth="1"/>
    <col min="9704" max="9706" width="21" style="111" customWidth="1"/>
    <col min="9707" max="9707" width="30.28515625" style="111" customWidth="1"/>
    <col min="9708" max="9708" width="22" style="111" customWidth="1"/>
    <col min="9709" max="9937" width="11.42578125" style="111"/>
    <col min="9938" max="9938" width="17.5703125" style="111" customWidth="1"/>
    <col min="9939" max="9939" width="13.5703125" style="111" customWidth="1"/>
    <col min="9940" max="9940" width="23.28515625" style="111" customWidth="1"/>
    <col min="9941" max="9941" width="21.28515625" style="111" customWidth="1"/>
    <col min="9942" max="9942" width="5.7109375" style="111" customWidth="1"/>
    <col min="9943" max="9943" width="20.7109375" style="111" customWidth="1"/>
    <col min="9944" max="9944" width="9" style="111" customWidth="1"/>
    <col min="9945" max="9945" width="16.7109375" style="111" bestFit="1" customWidth="1"/>
    <col min="9946" max="9946" width="20" style="111" customWidth="1"/>
    <col min="9947" max="9947" width="21.5703125" style="111" customWidth="1"/>
    <col min="9948" max="9948" width="20.5703125" style="111" customWidth="1"/>
    <col min="9949" max="9949" width="22.28515625" style="111" customWidth="1"/>
    <col min="9950" max="9957" width="0" style="111" hidden="1" customWidth="1"/>
    <col min="9958" max="9959" width="20" style="111" customWidth="1"/>
    <col min="9960" max="9962" width="21" style="111" customWidth="1"/>
    <col min="9963" max="9963" width="30.28515625" style="111" customWidth="1"/>
    <col min="9964" max="9964" width="22" style="111" customWidth="1"/>
    <col min="9965" max="10193" width="11.42578125" style="111"/>
    <col min="10194" max="10194" width="17.5703125" style="111" customWidth="1"/>
    <col min="10195" max="10195" width="13.5703125" style="111" customWidth="1"/>
    <col min="10196" max="10196" width="23.28515625" style="111" customWidth="1"/>
    <col min="10197" max="10197" width="21.28515625" style="111" customWidth="1"/>
    <col min="10198" max="10198" width="5.7109375" style="111" customWidth="1"/>
    <col min="10199" max="10199" width="20.7109375" style="111" customWidth="1"/>
    <col min="10200" max="10200" width="9" style="111" customWidth="1"/>
    <col min="10201" max="10201" width="16.7109375" style="111" bestFit="1" customWidth="1"/>
    <col min="10202" max="10202" width="20" style="111" customWidth="1"/>
    <col min="10203" max="10203" width="21.5703125" style="111" customWidth="1"/>
    <col min="10204" max="10204" width="20.5703125" style="111" customWidth="1"/>
    <col min="10205" max="10205" width="22.28515625" style="111" customWidth="1"/>
    <col min="10206" max="10213" width="0" style="111" hidden="1" customWidth="1"/>
    <col min="10214" max="10215" width="20" style="111" customWidth="1"/>
    <col min="10216" max="10218" width="21" style="111" customWidth="1"/>
    <col min="10219" max="10219" width="30.28515625" style="111" customWidth="1"/>
    <col min="10220" max="10220" width="22" style="111" customWidth="1"/>
    <col min="10221" max="10449" width="11.42578125" style="111"/>
    <col min="10450" max="10450" width="17.5703125" style="111" customWidth="1"/>
    <col min="10451" max="10451" width="13.5703125" style="111" customWidth="1"/>
    <col min="10452" max="10452" width="23.28515625" style="111" customWidth="1"/>
    <col min="10453" max="10453" width="21.28515625" style="111" customWidth="1"/>
    <col min="10454" max="10454" width="5.7109375" style="111" customWidth="1"/>
    <col min="10455" max="10455" width="20.7109375" style="111" customWidth="1"/>
    <col min="10456" max="10456" width="9" style="111" customWidth="1"/>
    <col min="10457" max="10457" width="16.7109375" style="111" bestFit="1" customWidth="1"/>
    <col min="10458" max="10458" width="20" style="111" customWidth="1"/>
    <col min="10459" max="10459" width="21.5703125" style="111" customWidth="1"/>
    <col min="10460" max="10460" width="20.5703125" style="111" customWidth="1"/>
    <col min="10461" max="10461" width="22.28515625" style="111" customWidth="1"/>
    <col min="10462" max="10469" width="0" style="111" hidden="1" customWidth="1"/>
    <col min="10470" max="10471" width="20" style="111" customWidth="1"/>
    <col min="10472" max="10474" width="21" style="111" customWidth="1"/>
    <col min="10475" max="10475" width="30.28515625" style="111" customWidth="1"/>
    <col min="10476" max="10476" width="22" style="111" customWidth="1"/>
    <col min="10477" max="10705" width="11.42578125" style="111"/>
    <col min="10706" max="10706" width="17.5703125" style="111" customWidth="1"/>
    <col min="10707" max="10707" width="13.5703125" style="111" customWidth="1"/>
    <col min="10708" max="10708" width="23.28515625" style="111" customWidth="1"/>
    <col min="10709" max="10709" width="21.28515625" style="111" customWidth="1"/>
    <col min="10710" max="10710" width="5.7109375" style="111" customWidth="1"/>
    <col min="10711" max="10711" width="20.7109375" style="111" customWidth="1"/>
    <col min="10712" max="10712" width="9" style="111" customWidth="1"/>
    <col min="10713" max="10713" width="16.7109375" style="111" bestFit="1" customWidth="1"/>
    <col min="10714" max="10714" width="20" style="111" customWidth="1"/>
    <col min="10715" max="10715" width="21.5703125" style="111" customWidth="1"/>
    <col min="10716" max="10716" width="20.5703125" style="111" customWidth="1"/>
    <col min="10717" max="10717" width="22.28515625" style="111" customWidth="1"/>
    <col min="10718" max="10725" width="0" style="111" hidden="1" customWidth="1"/>
    <col min="10726" max="10727" width="20" style="111" customWidth="1"/>
    <col min="10728" max="10730" width="21" style="111" customWidth="1"/>
    <col min="10731" max="10731" width="30.28515625" style="111" customWidth="1"/>
    <col min="10732" max="10732" width="22" style="111" customWidth="1"/>
    <col min="10733" max="10961" width="11.42578125" style="111"/>
    <col min="10962" max="10962" width="17.5703125" style="111" customWidth="1"/>
    <col min="10963" max="10963" width="13.5703125" style="111" customWidth="1"/>
    <col min="10964" max="10964" width="23.28515625" style="111" customWidth="1"/>
    <col min="10965" max="10965" width="21.28515625" style="111" customWidth="1"/>
    <col min="10966" max="10966" width="5.7109375" style="111" customWidth="1"/>
    <col min="10967" max="10967" width="20.7109375" style="111" customWidth="1"/>
    <col min="10968" max="10968" width="9" style="111" customWidth="1"/>
    <col min="10969" max="10969" width="16.7109375" style="111" bestFit="1" customWidth="1"/>
    <col min="10970" max="10970" width="20" style="111" customWidth="1"/>
    <col min="10971" max="10971" width="21.5703125" style="111" customWidth="1"/>
    <col min="10972" max="10972" width="20.5703125" style="111" customWidth="1"/>
    <col min="10973" max="10973" width="22.28515625" style="111" customWidth="1"/>
    <col min="10974" max="10981" width="0" style="111" hidden="1" customWidth="1"/>
    <col min="10982" max="10983" width="20" style="111" customWidth="1"/>
    <col min="10984" max="10986" width="21" style="111" customWidth="1"/>
    <col min="10987" max="10987" width="30.28515625" style="111" customWidth="1"/>
    <col min="10988" max="10988" width="22" style="111" customWidth="1"/>
    <col min="10989" max="11217" width="11.42578125" style="111"/>
    <col min="11218" max="11218" width="17.5703125" style="111" customWidth="1"/>
    <col min="11219" max="11219" width="13.5703125" style="111" customWidth="1"/>
    <col min="11220" max="11220" width="23.28515625" style="111" customWidth="1"/>
    <col min="11221" max="11221" width="21.28515625" style="111" customWidth="1"/>
    <col min="11222" max="11222" width="5.7109375" style="111" customWidth="1"/>
    <col min="11223" max="11223" width="20.7109375" style="111" customWidth="1"/>
    <col min="11224" max="11224" width="9" style="111" customWidth="1"/>
    <col min="11225" max="11225" width="16.7109375" style="111" bestFit="1" customWidth="1"/>
    <col min="11226" max="11226" width="20" style="111" customWidth="1"/>
    <col min="11227" max="11227" width="21.5703125" style="111" customWidth="1"/>
    <col min="11228" max="11228" width="20.5703125" style="111" customWidth="1"/>
    <col min="11229" max="11229" width="22.28515625" style="111" customWidth="1"/>
    <col min="11230" max="11237" width="0" style="111" hidden="1" customWidth="1"/>
    <col min="11238" max="11239" width="20" style="111" customWidth="1"/>
    <col min="11240" max="11242" width="21" style="111" customWidth="1"/>
    <col min="11243" max="11243" width="30.28515625" style="111" customWidth="1"/>
    <col min="11244" max="11244" width="22" style="111" customWidth="1"/>
    <col min="11245" max="11473" width="11.42578125" style="111"/>
    <col min="11474" max="11474" width="17.5703125" style="111" customWidth="1"/>
    <col min="11475" max="11475" width="13.5703125" style="111" customWidth="1"/>
    <col min="11476" max="11476" width="23.28515625" style="111" customWidth="1"/>
    <col min="11477" max="11477" width="21.28515625" style="111" customWidth="1"/>
    <col min="11478" max="11478" width="5.7109375" style="111" customWidth="1"/>
    <col min="11479" max="11479" width="20.7109375" style="111" customWidth="1"/>
    <col min="11480" max="11480" width="9" style="111" customWidth="1"/>
    <col min="11481" max="11481" width="16.7109375" style="111" bestFit="1" customWidth="1"/>
    <col min="11482" max="11482" width="20" style="111" customWidth="1"/>
    <col min="11483" max="11483" width="21.5703125" style="111" customWidth="1"/>
    <col min="11484" max="11484" width="20.5703125" style="111" customWidth="1"/>
    <col min="11485" max="11485" width="22.28515625" style="111" customWidth="1"/>
    <col min="11486" max="11493" width="0" style="111" hidden="1" customWidth="1"/>
    <col min="11494" max="11495" width="20" style="111" customWidth="1"/>
    <col min="11496" max="11498" width="21" style="111" customWidth="1"/>
    <col min="11499" max="11499" width="30.28515625" style="111" customWidth="1"/>
    <col min="11500" max="11500" width="22" style="111" customWidth="1"/>
    <col min="11501" max="11729" width="11.42578125" style="111"/>
    <col min="11730" max="11730" width="17.5703125" style="111" customWidth="1"/>
    <col min="11731" max="11731" width="13.5703125" style="111" customWidth="1"/>
    <col min="11732" max="11732" width="23.28515625" style="111" customWidth="1"/>
    <col min="11733" max="11733" width="21.28515625" style="111" customWidth="1"/>
    <col min="11734" max="11734" width="5.7109375" style="111" customWidth="1"/>
    <col min="11735" max="11735" width="20.7109375" style="111" customWidth="1"/>
    <col min="11736" max="11736" width="9" style="111" customWidth="1"/>
    <col min="11737" max="11737" width="16.7109375" style="111" bestFit="1" customWidth="1"/>
    <col min="11738" max="11738" width="20" style="111" customWidth="1"/>
    <col min="11739" max="11739" width="21.5703125" style="111" customWidth="1"/>
    <col min="11740" max="11740" width="20.5703125" style="111" customWidth="1"/>
    <col min="11741" max="11741" width="22.28515625" style="111" customWidth="1"/>
    <col min="11742" max="11749" width="0" style="111" hidden="1" customWidth="1"/>
    <col min="11750" max="11751" width="20" style="111" customWidth="1"/>
    <col min="11752" max="11754" width="21" style="111" customWidth="1"/>
    <col min="11755" max="11755" width="30.28515625" style="111" customWidth="1"/>
    <col min="11756" max="11756" width="22" style="111" customWidth="1"/>
    <col min="11757" max="11985" width="11.42578125" style="111"/>
    <col min="11986" max="11986" width="17.5703125" style="111" customWidth="1"/>
    <col min="11987" max="11987" width="13.5703125" style="111" customWidth="1"/>
    <col min="11988" max="11988" width="23.28515625" style="111" customWidth="1"/>
    <col min="11989" max="11989" width="21.28515625" style="111" customWidth="1"/>
    <col min="11990" max="11990" width="5.7109375" style="111" customWidth="1"/>
    <col min="11991" max="11991" width="20.7109375" style="111" customWidth="1"/>
    <col min="11992" max="11992" width="9" style="111" customWidth="1"/>
    <col min="11993" max="11993" width="16.7109375" style="111" bestFit="1" customWidth="1"/>
    <col min="11994" max="11994" width="20" style="111" customWidth="1"/>
    <col min="11995" max="11995" width="21.5703125" style="111" customWidth="1"/>
    <col min="11996" max="11996" width="20.5703125" style="111" customWidth="1"/>
    <col min="11997" max="11997" width="22.28515625" style="111" customWidth="1"/>
    <col min="11998" max="12005" width="0" style="111" hidden="1" customWidth="1"/>
    <col min="12006" max="12007" width="20" style="111" customWidth="1"/>
    <col min="12008" max="12010" width="21" style="111" customWidth="1"/>
    <col min="12011" max="12011" width="30.28515625" style="111" customWidth="1"/>
    <col min="12012" max="12012" width="22" style="111" customWidth="1"/>
    <col min="12013" max="12241" width="11.42578125" style="111"/>
    <col min="12242" max="12242" width="17.5703125" style="111" customWidth="1"/>
    <col min="12243" max="12243" width="13.5703125" style="111" customWidth="1"/>
    <col min="12244" max="12244" width="23.28515625" style="111" customWidth="1"/>
    <col min="12245" max="12245" width="21.28515625" style="111" customWidth="1"/>
    <col min="12246" max="12246" width="5.7109375" style="111" customWidth="1"/>
    <col min="12247" max="12247" width="20.7109375" style="111" customWidth="1"/>
    <col min="12248" max="12248" width="9" style="111" customWidth="1"/>
    <col min="12249" max="12249" width="16.7109375" style="111" bestFit="1" customWidth="1"/>
    <col min="12250" max="12250" width="20" style="111" customWidth="1"/>
    <col min="12251" max="12251" width="21.5703125" style="111" customWidth="1"/>
    <col min="12252" max="12252" width="20.5703125" style="111" customWidth="1"/>
    <col min="12253" max="12253" width="22.28515625" style="111" customWidth="1"/>
    <col min="12254" max="12261" width="0" style="111" hidden="1" customWidth="1"/>
    <col min="12262" max="12263" width="20" style="111" customWidth="1"/>
    <col min="12264" max="12266" width="21" style="111" customWidth="1"/>
    <col min="12267" max="12267" width="30.28515625" style="111" customWidth="1"/>
    <col min="12268" max="12268" width="22" style="111" customWidth="1"/>
    <col min="12269" max="12497" width="11.42578125" style="111"/>
    <col min="12498" max="12498" width="17.5703125" style="111" customWidth="1"/>
    <col min="12499" max="12499" width="13.5703125" style="111" customWidth="1"/>
    <col min="12500" max="12500" width="23.28515625" style="111" customWidth="1"/>
    <col min="12501" max="12501" width="21.28515625" style="111" customWidth="1"/>
    <col min="12502" max="12502" width="5.7109375" style="111" customWidth="1"/>
    <col min="12503" max="12503" width="20.7109375" style="111" customWidth="1"/>
    <col min="12504" max="12504" width="9" style="111" customWidth="1"/>
    <col min="12505" max="12505" width="16.7109375" style="111" bestFit="1" customWidth="1"/>
    <col min="12506" max="12506" width="20" style="111" customWidth="1"/>
    <col min="12507" max="12507" width="21.5703125" style="111" customWidth="1"/>
    <col min="12508" max="12508" width="20.5703125" style="111" customWidth="1"/>
    <col min="12509" max="12509" width="22.28515625" style="111" customWidth="1"/>
    <col min="12510" max="12517" width="0" style="111" hidden="1" customWidth="1"/>
    <col min="12518" max="12519" width="20" style="111" customWidth="1"/>
    <col min="12520" max="12522" width="21" style="111" customWidth="1"/>
    <col min="12523" max="12523" width="30.28515625" style="111" customWidth="1"/>
    <col min="12524" max="12524" width="22" style="111" customWidth="1"/>
    <col min="12525" max="12753" width="11.42578125" style="111"/>
    <col min="12754" max="12754" width="17.5703125" style="111" customWidth="1"/>
    <col min="12755" max="12755" width="13.5703125" style="111" customWidth="1"/>
    <col min="12756" max="12756" width="23.28515625" style="111" customWidth="1"/>
    <col min="12757" max="12757" width="21.28515625" style="111" customWidth="1"/>
    <col min="12758" max="12758" width="5.7109375" style="111" customWidth="1"/>
    <col min="12759" max="12759" width="20.7109375" style="111" customWidth="1"/>
    <col min="12760" max="12760" width="9" style="111" customWidth="1"/>
    <col min="12761" max="12761" width="16.7109375" style="111" bestFit="1" customWidth="1"/>
    <col min="12762" max="12762" width="20" style="111" customWidth="1"/>
    <col min="12763" max="12763" width="21.5703125" style="111" customWidth="1"/>
    <col min="12764" max="12764" width="20.5703125" style="111" customWidth="1"/>
    <col min="12765" max="12765" width="22.28515625" style="111" customWidth="1"/>
    <col min="12766" max="12773" width="0" style="111" hidden="1" customWidth="1"/>
    <col min="12774" max="12775" width="20" style="111" customWidth="1"/>
    <col min="12776" max="12778" width="21" style="111" customWidth="1"/>
    <col min="12779" max="12779" width="30.28515625" style="111" customWidth="1"/>
    <col min="12780" max="12780" width="22" style="111" customWidth="1"/>
    <col min="12781" max="13009" width="11.42578125" style="111"/>
    <col min="13010" max="13010" width="17.5703125" style="111" customWidth="1"/>
    <col min="13011" max="13011" width="13.5703125" style="111" customWidth="1"/>
    <col min="13012" max="13012" width="23.28515625" style="111" customWidth="1"/>
    <col min="13013" max="13013" width="21.28515625" style="111" customWidth="1"/>
    <col min="13014" max="13014" width="5.7109375" style="111" customWidth="1"/>
    <col min="13015" max="13015" width="20.7109375" style="111" customWidth="1"/>
    <col min="13016" max="13016" width="9" style="111" customWidth="1"/>
    <col min="13017" max="13017" width="16.7109375" style="111" bestFit="1" customWidth="1"/>
    <col min="13018" max="13018" width="20" style="111" customWidth="1"/>
    <col min="13019" max="13019" width="21.5703125" style="111" customWidth="1"/>
    <col min="13020" max="13020" width="20.5703125" style="111" customWidth="1"/>
    <col min="13021" max="13021" width="22.28515625" style="111" customWidth="1"/>
    <col min="13022" max="13029" width="0" style="111" hidden="1" customWidth="1"/>
    <col min="13030" max="13031" width="20" style="111" customWidth="1"/>
    <col min="13032" max="13034" width="21" style="111" customWidth="1"/>
    <col min="13035" max="13035" width="30.28515625" style="111" customWidth="1"/>
    <col min="13036" max="13036" width="22" style="111" customWidth="1"/>
    <col min="13037" max="13265" width="11.42578125" style="111"/>
    <col min="13266" max="13266" width="17.5703125" style="111" customWidth="1"/>
    <col min="13267" max="13267" width="13.5703125" style="111" customWidth="1"/>
    <col min="13268" max="13268" width="23.28515625" style="111" customWidth="1"/>
    <col min="13269" max="13269" width="21.28515625" style="111" customWidth="1"/>
    <col min="13270" max="13270" width="5.7109375" style="111" customWidth="1"/>
    <col min="13271" max="13271" width="20.7109375" style="111" customWidth="1"/>
    <col min="13272" max="13272" width="9" style="111" customWidth="1"/>
    <col min="13273" max="13273" width="16.7109375" style="111" bestFit="1" customWidth="1"/>
    <col min="13274" max="13274" width="20" style="111" customWidth="1"/>
    <col min="13275" max="13275" width="21.5703125" style="111" customWidth="1"/>
    <col min="13276" max="13276" width="20.5703125" style="111" customWidth="1"/>
    <col min="13277" max="13277" width="22.28515625" style="111" customWidth="1"/>
    <col min="13278" max="13285" width="0" style="111" hidden="1" customWidth="1"/>
    <col min="13286" max="13287" width="20" style="111" customWidth="1"/>
    <col min="13288" max="13290" width="21" style="111" customWidth="1"/>
    <col min="13291" max="13291" width="30.28515625" style="111" customWidth="1"/>
    <col min="13292" max="13292" width="22" style="111" customWidth="1"/>
    <col min="13293" max="13521" width="11.42578125" style="111"/>
    <col min="13522" max="13522" width="17.5703125" style="111" customWidth="1"/>
    <col min="13523" max="13523" width="13.5703125" style="111" customWidth="1"/>
    <col min="13524" max="13524" width="23.28515625" style="111" customWidth="1"/>
    <col min="13525" max="13525" width="21.28515625" style="111" customWidth="1"/>
    <col min="13526" max="13526" width="5.7109375" style="111" customWidth="1"/>
    <col min="13527" max="13527" width="20.7109375" style="111" customWidth="1"/>
    <col min="13528" max="13528" width="9" style="111" customWidth="1"/>
    <col min="13529" max="13529" width="16.7109375" style="111" bestFit="1" customWidth="1"/>
    <col min="13530" max="13530" width="20" style="111" customWidth="1"/>
    <col min="13531" max="13531" width="21.5703125" style="111" customWidth="1"/>
    <col min="13532" max="13532" width="20.5703125" style="111" customWidth="1"/>
    <col min="13533" max="13533" width="22.28515625" style="111" customWidth="1"/>
    <col min="13534" max="13541" width="0" style="111" hidden="1" customWidth="1"/>
    <col min="13542" max="13543" width="20" style="111" customWidth="1"/>
    <col min="13544" max="13546" width="21" style="111" customWidth="1"/>
    <col min="13547" max="13547" width="30.28515625" style="111" customWidth="1"/>
    <col min="13548" max="13548" width="22" style="111" customWidth="1"/>
    <col min="13549" max="13777" width="11.42578125" style="111"/>
    <col min="13778" max="13778" width="17.5703125" style="111" customWidth="1"/>
    <col min="13779" max="13779" width="13.5703125" style="111" customWidth="1"/>
    <col min="13780" max="13780" width="23.28515625" style="111" customWidth="1"/>
    <col min="13781" max="13781" width="21.28515625" style="111" customWidth="1"/>
    <col min="13782" max="13782" width="5.7109375" style="111" customWidth="1"/>
    <col min="13783" max="13783" width="20.7109375" style="111" customWidth="1"/>
    <col min="13784" max="13784" width="9" style="111" customWidth="1"/>
    <col min="13785" max="13785" width="16.7109375" style="111" bestFit="1" customWidth="1"/>
    <col min="13786" max="13786" width="20" style="111" customWidth="1"/>
    <col min="13787" max="13787" width="21.5703125" style="111" customWidth="1"/>
    <col min="13788" max="13788" width="20.5703125" style="111" customWidth="1"/>
    <col min="13789" max="13789" width="22.28515625" style="111" customWidth="1"/>
    <col min="13790" max="13797" width="0" style="111" hidden="1" customWidth="1"/>
    <col min="13798" max="13799" width="20" style="111" customWidth="1"/>
    <col min="13800" max="13802" width="21" style="111" customWidth="1"/>
    <col min="13803" max="13803" width="30.28515625" style="111" customWidth="1"/>
    <col min="13804" max="13804" width="22" style="111" customWidth="1"/>
    <col min="13805" max="14033" width="11.42578125" style="111"/>
    <col min="14034" max="14034" width="17.5703125" style="111" customWidth="1"/>
    <col min="14035" max="14035" width="13.5703125" style="111" customWidth="1"/>
    <col min="14036" max="14036" width="23.28515625" style="111" customWidth="1"/>
    <col min="14037" max="14037" width="21.28515625" style="111" customWidth="1"/>
    <col min="14038" max="14038" width="5.7109375" style="111" customWidth="1"/>
    <col min="14039" max="14039" width="20.7109375" style="111" customWidth="1"/>
    <col min="14040" max="14040" width="9" style="111" customWidth="1"/>
    <col min="14041" max="14041" width="16.7109375" style="111" bestFit="1" customWidth="1"/>
    <col min="14042" max="14042" width="20" style="111" customWidth="1"/>
    <col min="14043" max="14043" width="21.5703125" style="111" customWidth="1"/>
    <col min="14044" max="14044" width="20.5703125" style="111" customWidth="1"/>
    <col min="14045" max="14045" width="22.28515625" style="111" customWidth="1"/>
    <col min="14046" max="14053" width="0" style="111" hidden="1" customWidth="1"/>
    <col min="14054" max="14055" width="20" style="111" customWidth="1"/>
    <col min="14056" max="14058" width="21" style="111" customWidth="1"/>
    <col min="14059" max="14059" width="30.28515625" style="111" customWidth="1"/>
    <col min="14060" max="14060" width="22" style="111" customWidth="1"/>
    <col min="14061" max="14289" width="11.42578125" style="111"/>
    <col min="14290" max="14290" width="17.5703125" style="111" customWidth="1"/>
    <col min="14291" max="14291" width="13.5703125" style="111" customWidth="1"/>
    <col min="14292" max="14292" width="23.28515625" style="111" customWidth="1"/>
    <col min="14293" max="14293" width="21.28515625" style="111" customWidth="1"/>
    <col min="14294" max="14294" width="5.7109375" style="111" customWidth="1"/>
    <col min="14295" max="14295" width="20.7109375" style="111" customWidth="1"/>
    <col min="14296" max="14296" width="9" style="111" customWidth="1"/>
    <col min="14297" max="14297" width="16.7109375" style="111" bestFit="1" customWidth="1"/>
    <col min="14298" max="14298" width="20" style="111" customWidth="1"/>
    <col min="14299" max="14299" width="21.5703125" style="111" customWidth="1"/>
    <col min="14300" max="14300" width="20.5703125" style="111" customWidth="1"/>
    <col min="14301" max="14301" width="22.28515625" style="111" customWidth="1"/>
    <col min="14302" max="14309" width="0" style="111" hidden="1" customWidth="1"/>
    <col min="14310" max="14311" width="20" style="111" customWidth="1"/>
    <col min="14312" max="14314" width="21" style="111" customWidth="1"/>
    <col min="14315" max="14315" width="30.28515625" style="111" customWidth="1"/>
    <col min="14316" max="14316" width="22" style="111" customWidth="1"/>
    <col min="14317" max="14545" width="11.42578125" style="111"/>
    <col min="14546" max="14546" width="17.5703125" style="111" customWidth="1"/>
    <col min="14547" max="14547" width="13.5703125" style="111" customWidth="1"/>
    <col min="14548" max="14548" width="23.28515625" style="111" customWidth="1"/>
    <col min="14549" max="14549" width="21.28515625" style="111" customWidth="1"/>
    <col min="14550" max="14550" width="5.7109375" style="111" customWidth="1"/>
    <col min="14551" max="14551" width="20.7109375" style="111" customWidth="1"/>
    <col min="14552" max="14552" width="9" style="111" customWidth="1"/>
    <col min="14553" max="14553" width="16.7109375" style="111" bestFit="1" customWidth="1"/>
    <col min="14554" max="14554" width="20" style="111" customWidth="1"/>
    <col min="14555" max="14555" width="21.5703125" style="111" customWidth="1"/>
    <col min="14556" max="14556" width="20.5703125" style="111" customWidth="1"/>
    <col min="14557" max="14557" width="22.28515625" style="111" customWidth="1"/>
    <col min="14558" max="14565" width="0" style="111" hidden="1" customWidth="1"/>
    <col min="14566" max="14567" width="20" style="111" customWidth="1"/>
    <col min="14568" max="14570" width="21" style="111" customWidth="1"/>
    <col min="14571" max="14571" width="30.28515625" style="111" customWidth="1"/>
    <col min="14572" max="14572" width="22" style="111" customWidth="1"/>
    <col min="14573" max="14801" width="11.42578125" style="111"/>
    <col min="14802" max="14802" width="17.5703125" style="111" customWidth="1"/>
    <col min="14803" max="14803" width="13.5703125" style="111" customWidth="1"/>
    <col min="14804" max="14804" width="23.28515625" style="111" customWidth="1"/>
    <col min="14805" max="14805" width="21.28515625" style="111" customWidth="1"/>
    <col min="14806" max="14806" width="5.7109375" style="111" customWidth="1"/>
    <col min="14807" max="14807" width="20.7109375" style="111" customWidth="1"/>
    <col min="14808" max="14808" width="9" style="111" customWidth="1"/>
    <col min="14809" max="14809" width="16.7109375" style="111" bestFit="1" customWidth="1"/>
    <col min="14810" max="14810" width="20" style="111" customWidth="1"/>
    <col min="14811" max="14811" width="21.5703125" style="111" customWidth="1"/>
    <col min="14812" max="14812" width="20.5703125" style="111" customWidth="1"/>
    <col min="14813" max="14813" width="22.28515625" style="111" customWidth="1"/>
    <col min="14814" max="14821" width="0" style="111" hidden="1" customWidth="1"/>
    <col min="14822" max="14823" width="20" style="111" customWidth="1"/>
    <col min="14824" max="14826" width="21" style="111" customWidth="1"/>
    <col min="14827" max="14827" width="30.28515625" style="111" customWidth="1"/>
    <col min="14828" max="14828" width="22" style="111" customWidth="1"/>
    <col min="14829" max="15057" width="11.42578125" style="111"/>
    <col min="15058" max="15058" width="17.5703125" style="111" customWidth="1"/>
    <col min="15059" max="15059" width="13.5703125" style="111" customWidth="1"/>
    <col min="15060" max="15060" width="23.28515625" style="111" customWidth="1"/>
    <col min="15061" max="15061" width="21.28515625" style="111" customWidth="1"/>
    <col min="15062" max="15062" width="5.7109375" style="111" customWidth="1"/>
    <col min="15063" max="15063" width="20.7109375" style="111" customWidth="1"/>
    <col min="15064" max="15064" width="9" style="111" customWidth="1"/>
    <col min="15065" max="15065" width="16.7109375" style="111" bestFit="1" customWidth="1"/>
    <col min="15066" max="15066" width="20" style="111" customWidth="1"/>
    <col min="15067" max="15067" width="21.5703125" style="111" customWidth="1"/>
    <col min="15068" max="15068" width="20.5703125" style="111" customWidth="1"/>
    <col min="15069" max="15069" width="22.28515625" style="111" customWidth="1"/>
    <col min="15070" max="15077" width="0" style="111" hidden="1" customWidth="1"/>
    <col min="15078" max="15079" width="20" style="111" customWidth="1"/>
    <col min="15080" max="15082" width="21" style="111" customWidth="1"/>
    <col min="15083" max="15083" width="30.28515625" style="111" customWidth="1"/>
    <col min="15084" max="15084" width="22" style="111" customWidth="1"/>
    <col min="15085" max="15313" width="11.42578125" style="111"/>
    <col min="15314" max="15314" width="17.5703125" style="111" customWidth="1"/>
    <col min="15315" max="15315" width="13.5703125" style="111" customWidth="1"/>
    <col min="15316" max="15316" width="23.28515625" style="111" customWidth="1"/>
    <col min="15317" max="15317" width="21.28515625" style="111" customWidth="1"/>
    <col min="15318" max="15318" width="5.7109375" style="111" customWidth="1"/>
    <col min="15319" max="15319" width="20.7109375" style="111" customWidth="1"/>
    <col min="15320" max="15320" width="9" style="111" customWidth="1"/>
    <col min="15321" max="15321" width="16.7109375" style="111" bestFit="1" customWidth="1"/>
    <col min="15322" max="15322" width="20" style="111" customWidth="1"/>
    <col min="15323" max="15323" width="21.5703125" style="111" customWidth="1"/>
    <col min="15324" max="15324" width="20.5703125" style="111" customWidth="1"/>
    <col min="15325" max="15325" width="22.28515625" style="111" customWidth="1"/>
    <col min="15326" max="15333" width="0" style="111" hidden="1" customWidth="1"/>
    <col min="15334" max="15335" width="20" style="111" customWidth="1"/>
    <col min="15336" max="15338" width="21" style="111" customWidth="1"/>
    <col min="15339" max="15339" width="30.28515625" style="111" customWidth="1"/>
    <col min="15340" max="15340" width="22" style="111" customWidth="1"/>
    <col min="15341" max="15569" width="11.42578125" style="111"/>
    <col min="15570" max="15570" width="17.5703125" style="111" customWidth="1"/>
    <col min="15571" max="15571" width="13.5703125" style="111" customWidth="1"/>
    <col min="15572" max="15572" width="23.28515625" style="111" customWidth="1"/>
    <col min="15573" max="15573" width="21.28515625" style="111" customWidth="1"/>
    <col min="15574" max="15574" width="5.7109375" style="111" customWidth="1"/>
    <col min="15575" max="15575" width="20.7109375" style="111" customWidth="1"/>
    <col min="15576" max="15576" width="9" style="111" customWidth="1"/>
    <col min="15577" max="15577" width="16.7109375" style="111" bestFit="1" customWidth="1"/>
    <col min="15578" max="15578" width="20" style="111" customWidth="1"/>
    <col min="15579" max="15579" width="21.5703125" style="111" customWidth="1"/>
    <col min="15580" max="15580" width="20.5703125" style="111" customWidth="1"/>
    <col min="15581" max="15581" width="22.28515625" style="111" customWidth="1"/>
    <col min="15582" max="15589" width="0" style="111" hidden="1" customWidth="1"/>
    <col min="15590" max="15591" width="20" style="111" customWidth="1"/>
    <col min="15592" max="15594" width="21" style="111" customWidth="1"/>
    <col min="15595" max="15595" width="30.28515625" style="111" customWidth="1"/>
    <col min="15596" max="15596" width="22" style="111" customWidth="1"/>
    <col min="15597" max="15825" width="11.42578125" style="111"/>
    <col min="15826" max="15826" width="17.5703125" style="111" customWidth="1"/>
    <col min="15827" max="15827" width="13.5703125" style="111" customWidth="1"/>
    <col min="15828" max="15828" width="23.28515625" style="111" customWidth="1"/>
    <col min="15829" max="15829" width="21.28515625" style="111" customWidth="1"/>
    <col min="15830" max="15830" width="5.7109375" style="111" customWidth="1"/>
    <col min="15831" max="15831" width="20.7109375" style="111" customWidth="1"/>
    <col min="15832" max="15832" width="9" style="111" customWidth="1"/>
    <col min="15833" max="15833" width="16.7109375" style="111" bestFit="1" customWidth="1"/>
    <col min="15834" max="15834" width="20" style="111" customWidth="1"/>
    <col min="15835" max="15835" width="21.5703125" style="111" customWidth="1"/>
    <col min="15836" max="15836" width="20.5703125" style="111" customWidth="1"/>
    <col min="15837" max="15837" width="22.28515625" style="111" customWidth="1"/>
    <col min="15838" max="15845" width="0" style="111" hidden="1" customWidth="1"/>
    <col min="15846" max="15847" width="20" style="111" customWidth="1"/>
    <col min="15848" max="15850" width="21" style="111" customWidth="1"/>
    <col min="15851" max="15851" width="30.28515625" style="111" customWidth="1"/>
    <col min="15852" max="15852" width="22" style="111" customWidth="1"/>
    <col min="15853" max="16081" width="11.42578125" style="111"/>
    <col min="16082" max="16082" width="17.5703125" style="111" customWidth="1"/>
    <col min="16083" max="16083" width="13.5703125" style="111" customWidth="1"/>
    <col min="16084" max="16084" width="23.28515625" style="111" customWidth="1"/>
    <col min="16085" max="16085" width="21.28515625" style="111" customWidth="1"/>
    <col min="16086" max="16086" width="5.7109375" style="111" customWidth="1"/>
    <col min="16087" max="16087" width="20.7109375" style="111" customWidth="1"/>
    <col min="16088" max="16088" width="9" style="111" customWidth="1"/>
    <col min="16089" max="16089" width="16.7109375" style="111" bestFit="1" customWidth="1"/>
    <col min="16090" max="16090" width="20" style="111" customWidth="1"/>
    <col min="16091" max="16091" width="21.5703125" style="111" customWidth="1"/>
    <col min="16092" max="16092" width="20.5703125" style="111" customWidth="1"/>
    <col min="16093" max="16093" width="22.28515625" style="111" customWidth="1"/>
    <col min="16094" max="16101" width="0" style="111" hidden="1" customWidth="1"/>
    <col min="16102" max="16103" width="20" style="111" customWidth="1"/>
    <col min="16104" max="16106" width="21" style="111" customWidth="1"/>
    <col min="16107" max="16107" width="30.28515625" style="111" customWidth="1"/>
    <col min="16108" max="16108" width="22" style="111" customWidth="1"/>
    <col min="16109" max="16384" width="11.42578125" style="111"/>
  </cols>
  <sheetData>
    <row r="1" spans="2:20" ht="95.25" customHeight="1" thickBot="1">
      <c r="B1" s="849" t="s">
        <v>386</v>
      </c>
      <c r="C1" s="850"/>
      <c r="D1" s="850"/>
      <c r="E1" s="850"/>
      <c r="F1" s="850"/>
      <c r="G1" s="851"/>
      <c r="H1" s="852"/>
      <c r="I1" s="705"/>
      <c r="J1" s="705"/>
      <c r="K1" s="705"/>
      <c r="L1" s="706"/>
    </row>
    <row r="2" spans="2:20" ht="24" customHeight="1" thickBot="1">
      <c r="B2" s="900"/>
      <c r="C2" s="901"/>
      <c r="D2" s="901"/>
      <c r="E2" s="901"/>
      <c r="F2" s="901"/>
      <c r="G2" s="901"/>
      <c r="H2" s="901"/>
      <c r="I2" s="901"/>
      <c r="J2" s="901"/>
      <c r="K2" s="901"/>
      <c r="L2" s="902"/>
    </row>
    <row r="3" spans="2:20" ht="24" customHeight="1" thickBot="1">
      <c r="B3" s="862" t="s">
        <v>1</v>
      </c>
      <c r="C3" s="863"/>
      <c r="D3" s="863"/>
      <c r="E3" s="863"/>
      <c r="F3" s="863"/>
      <c r="G3" s="863"/>
      <c r="H3" s="863"/>
      <c r="I3" s="863"/>
      <c r="J3" s="863"/>
      <c r="K3" s="863"/>
      <c r="L3" s="864"/>
    </row>
    <row r="4" spans="2:20" ht="58.15" customHeight="1" thickBot="1">
      <c r="B4" s="903" t="s">
        <v>524</v>
      </c>
      <c r="C4" s="904"/>
      <c r="D4" s="904"/>
      <c r="E4" s="904"/>
      <c r="F4" s="904"/>
      <c r="G4" s="904"/>
      <c r="H4" s="904"/>
      <c r="I4" s="904"/>
      <c r="J4" s="904"/>
      <c r="K4" s="904"/>
      <c r="L4" s="905"/>
    </row>
    <row r="5" spans="2:20" ht="15.75" thickBot="1">
      <c r="B5" s="552"/>
      <c r="L5" s="553"/>
    </row>
    <row r="6" spans="2:20" s="112" customFormat="1" ht="33" customHeight="1" thickBot="1">
      <c r="B6" s="897" t="s">
        <v>323</v>
      </c>
      <c r="C6" s="898"/>
      <c r="D6" s="898"/>
      <c r="E6" s="898"/>
      <c r="F6" s="898"/>
      <c r="G6" s="898"/>
      <c r="H6" s="898"/>
      <c r="I6" s="898"/>
      <c r="J6" s="898"/>
      <c r="K6" s="898"/>
      <c r="L6" s="899"/>
    </row>
    <row r="7" spans="2:20" ht="15" customHeight="1">
      <c r="B7" s="906" t="s">
        <v>2</v>
      </c>
      <c r="C7" s="908" t="s">
        <v>3</v>
      </c>
      <c r="D7" s="908"/>
      <c r="E7" s="908"/>
      <c r="F7" s="908"/>
      <c r="G7" s="908"/>
      <c r="H7" s="910" t="s">
        <v>324</v>
      </c>
      <c r="I7" s="912" t="s">
        <v>325</v>
      </c>
      <c r="J7" s="912" t="s">
        <v>326</v>
      </c>
      <c r="K7" s="910" t="s">
        <v>327</v>
      </c>
      <c r="L7" s="914" t="s">
        <v>328</v>
      </c>
    </row>
    <row r="8" spans="2:20" ht="15.75" customHeight="1" thickBot="1">
      <c r="B8" s="907"/>
      <c r="C8" s="909"/>
      <c r="D8" s="909"/>
      <c r="E8" s="909"/>
      <c r="F8" s="909"/>
      <c r="G8" s="909"/>
      <c r="H8" s="911"/>
      <c r="I8" s="913"/>
      <c r="J8" s="913"/>
      <c r="K8" s="911"/>
      <c r="L8" s="915"/>
    </row>
    <row r="9" spans="2:20" s="112" customFormat="1" ht="22.9" customHeight="1">
      <c r="B9" s="817" t="s">
        <v>329</v>
      </c>
      <c r="C9" s="818"/>
      <c r="D9" s="818"/>
      <c r="E9" s="818"/>
      <c r="F9" s="818"/>
      <c r="G9" s="818"/>
      <c r="H9" s="818"/>
      <c r="I9" s="818"/>
      <c r="J9" s="818"/>
      <c r="K9" s="818"/>
      <c r="L9" s="819"/>
    </row>
    <row r="10" spans="2:20" s="112" customFormat="1" ht="71.25" customHeight="1">
      <c r="B10" s="532">
        <v>1.1000000000000001</v>
      </c>
      <c r="C10" s="834" t="s">
        <v>330</v>
      </c>
      <c r="D10" s="835"/>
      <c r="E10" s="835"/>
      <c r="F10" s="835"/>
      <c r="G10" s="836"/>
      <c r="H10" s="129" t="s">
        <v>331</v>
      </c>
      <c r="I10" s="130">
        <v>0</v>
      </c>
      <c r="J10" s="130">
        <v>0</v>
      </c>
      <c r="K10" s="131">
        <v>0</v>
      </c>
      <c r="L10" s="139">
        <f>+I10*J10*K10</f>
        <v>0</v>
      </c>
      <c r="N10" s="396"/>
      <c r="O10" s="429"/>
      <c r="P10" s="429"/>
      <c r="Q10" s="396"/>
      <c r="R10" s="396"/>
      <c r="S10" s="396"/>
      <c r="T10" s="396"/>
    </row>
    <row r="11" spans="2:20" s="112" customFormat="1" ht="71.25" customHeight="1">
      <c r="B11" s="532">
        <v>1.1000000000000001</v>
      </c>
      <c r="C11" s="879" t="s">
        <v>330</v>
      </c>
      <c r="D11" s="880"/>
      <c r="E11" s="880"/>
      <c r="F11" s="880"/>
      <c r="G11" s="881"/>
      <c r="H11" s="129" t="s">
        <v>331</v>
      </c>
      <c r="I11" s="130">
        <v>3</v>
      </c>
      <c r="J11" s="130">
        <v>10</v>
      </c>
      <c r="K11" s="131">
        <f>+'APU 1,1'!G46</f>
        <v>210173.43640018188</v>
      </c>
      <c r="L11" s="139">
        <f>+I11*J11*K11</f>
        <v>6305203.0920054559</v>
      </c>
      <c r="N11" s="396"/>
      <c r="O11" s="429"/>
      <c r="P11" s="429"/>
      <c r="Q11" s="396"/>
      <c r="R11" s="396"/>
      <c r="S11" s="396"/>
      <c r="T11" s="396"/>
    </row>
    <row r="12" spans="2:20" s="112" customFormat="1" ht="81.599999999999994" customHeight="1">
      <c r="B12" s="532">
        <v>1.2</v>
      </c>
      <c r="C12" s="856" t="s">
        <v>332</v>
      </c>
      <c r="D12" s="857"/>
      <c r="E12" s="857"/>
      <c r="F12" s="857"/>
      <c r="G12" s="858"/>
      <c r="H12" s="129" t="s">
        <v>331</v>
      </c>
      <c r="I12" s="130">
        <v>0</v>
      </c>
      <c r="J12" s="130">
        <v>10</v>
      </c>
      <c r="K12" s="131">
        <f>+'APU 1,2'!G46</f>
        <v>174221.65039182582</v>
      </c>
      <c r="L12" s="139">
        <f>K12*I12*J12</f>
        <v>0</v>
      </c>
      <c r="O12" s="396"/>
      <c r="P12" s="396"/>
      <c r="Q12" s="396"/>
      <c r="R12" s="396"/>
    </row>
    <row r="13" spans="2:20" s="112" customFormat="1" ht="83.45" customHeight="1">
      <c r="B13" s="532">
        <v>1.3</v>
      </c>
      <c r="C13" s="856" t="s">
        <v>333</v>
      </c>
      <c r="D13" s="857"/>
      <c r="E13" s="857"/>
      <c r="F13" s="857"/>
      <c r="G13" s="858"/>
      <c r="H13" s="129" t="s">
        <v>331</v>
      </c>
      <c r="I13" s="130">
        <v>0</v>
      </c>
      <c r="J13" s="130">
        <v>10</v>
      </c>
      <c r="K13" s="131">
        <f>+'APU 1,3'!G45</f>
        <v>181269.3851918258</v>
      </c>
      <c r="L13" s="139">
        <f t="shared" ref="L13:L24" si="0">K13*I13*J13</f>
        <v>0</v>
      </c>
      <c r="O13" s="396"/>
      <c r="P13" s="396"/>
      <c r="Q13" s="396"/>
      <c r="R13" s="396"/>
    </row>
    <row r="14" spans="2:20" s="112" customFormat="1" ht="84.6" customHeight="1">
      <c r="B14" s="532">
        <v>1.4</v>
      </c>
      <c r="C14" s="856" t="s">
        <v>334</v>
      </c>
      <c r="D14" s="857"/>
      <c r="E14" s="857"/>
      <c r="F14" s="857"/>
      <c r="G14" s="858"/>
      <c r="H14" s="129" t="s">
        <v>331</v>
      </c>
      <c r="I14" s="130">
        <v>0</v>
      </c>
      <c r="J14" s="130">
        <v>10</v>
      </c>
      <c r="K14" s="131">
        <f>+'APU 1,4'!G45</f>
        <v>196860.00086684857</v>
      </c>
      <c r="L14" s="139">
        <f t="shared" si="0"/>
        <v>0</v>
      </c>
      <c r="O14" s="396"/>
      <c r="P14" s="396"/>
      <c r="Q14" s="396"/>
      <c r="R14" s="396"/>
    </row>
    <row r="15" spans="2:20" s="112" customFormat="1" ht="82.9" customHeight="1">
      <c r="B15" s="532">
        <v>1.5</v>
      </c>
      <c r="C15" s="859" t="s">
        <v>335</v>
      </c>
      <c r="D15" s="860"/>
      <c r="E15" s="860"/>
      <c r="F15" s="860"/>
      <c r="G15" s="861"/>
      <c r="H15" s="129" t="s">
        <v>331</v>
      </c>
      <c r="I15" s="130">
        <v>6</v>
      </c>
      <c r="J15" s="130">
        <v>10</v>
      </c>
      <c r="K15" s="131">
        <f>+'APU 1,5'!G44</f>
        <v>152961.66005570712</v>
      </c>
      <c r="L15" s="139">
        <f t="shared" si="0"/>
        <v>9177699.6033424288</v>
      </c>
      <c r="O15" s="396"/>
      <c r="P15" s="396"/>
      <c r="Q15" s="396"/>
      <c r="R15" s="396"/>
    </row>
    <row r="16" spans="2:20" s="112" customFormat="1" ht="88.15" customHeight="1">
      <c r="B16" s="532">
        <v>1.6</v>
      </c>
      <c r="C16" s="837" t="s">
        <v>336</v>
      </c>
      <c r="D16" s="838"/>
      <c r="E16" s="838"/>
      <c r="F16" s="838"/>
      <c r="G16" s="839"/>
      <c r="H16" s="129" t="s">
        <v>331</v>
      </c>
      <c r="I16" s="130">
        <v>14</v>
      </c>
      <c r="J16" s="130">
        <v>6</v>
      </c>
      <c r="K16" s="131">
        <f>+'APU 1,6'!G46</f>
        <v>104191.29970009094</v>
      </c>
      <c r="L16" s="139">
        <f t="shared" si="0"/>
        <v>8752069.1748076398</v>
      </c>
    </row>
    <row r="17" spans="1:12" s="112" customFormat="1" ht="82.15" customHeight="1">
      <c r="B17" s="532">
        <v>1.7</v>
      </c>
      <c r="C17" s="837" t="s">
        <v>337</v>
      </c>
      <c r="D17" s="838"/>
      <c r="E17" s="838"/>
      <c r="F17" s="838"/>
      <c r="G17" s="839"/>
      <c r="H17" s="129" t="s">
        <v>331</v>
      </c>
      <c r="I17" s="130">
        <v>20</v>
      </c>
      <c r="J17" s="130">
        <v>6</v>
      </c>
      <c r="K17" s="131">
        <f>+'APU 1,7'!G46</f>
        <v>128489.81904178034</v>
      </c>
      <c r="L17" s="139">
        <f t="shared" si="0"/>
        <v>15418778.28501364</v>
      </c>
    </row>
    <row r="18" spans="1:12" s="112" customFormat="1" ht="64.150000000000006" customHeight="1">
      <c r="B18" s="532">
        <v>1.8</v>
      </c>
      <c r="C18" s="837" t="s">
        <v>502</v>
      </c>
      <c r="D18" s="838"/>
      <c r="E18" s="838"/>
      <c r="F18" s="838"/>
      <c r="G18" s="839"/>
      <c r="H18" s="129" t="s">
        <v>331</v>
      </c>
      <c r="I18" s="130">
        <v>0</v>
      </c>
      <c r="J18" s="130">
        <v>1</v>
      </c>
      <c r="K18" s="131">
        <f>+'APU 1,8'!G45</f>
        <v>634047.40536834928</v>
      </c>
      <c r="L18" s="139">
        <f t="shared" si="0"/>
        <v>0</v>
      </c>
    </row>
    <row r="19" spans="1:12" s="112" customFormat="1" ht="64.900000000000006" customHeight="1">
      <c r="A19" s="643"/>
      <c r="B19" s="532">
        <v>1.9</v>
      </c>
      <c r="C19" s="837" t="s">
        <v>505</v>
      </c>
      <c r="D19" s="838"/>
      <c r="E19" s="838"/>
      <c r="F19" s="838"/>
      <c r="G19" s="839"/>
      <c r="H19" s="129" t="s">
        <v>331</v>
      </c>
      <c r="I19" s="130">
        <v>2</v>
      </c>
      <c r="J19" s="130">
        <v>2</v>
      </c>
      <c r="K19" s="131">
        <f>+'APU 1,9'!G44</f>
        <v>175499.6940501364</v>
      </c>
      <c r="L19" s="139">
        <f t="shared" si="0"/>
        <v>701998.7762005456</v>
      </c>
    </row>
    <row r="20" spans="1:12" s="112" customFormat="1" ht="82.9" customHeight="1">
      <c r="B20" s="542">
        <v>1.1000000000000001</v>
      </c>
      <c r="C20" s="882" t="s">
        <v>338</v>
      </c>
      <c r="D20" s="883"/>
      <c r="E20" s="883"/>
      <c r="F20" s="883"/>
      <c r="G20" s="884"/>
      <c r="H20" s="129" t="s">
        <v>331</v>
      </c>
      <c r="I20" s="130">
        <v>6</v>
      </c>
      <c r="J20" s="130">
        <v>10</v>
      </c>
      <c r="K20" s="131">
        <f>+'APU 1.10'!G46</f>
        <v>309082.84259492945</v>
      </c>
      <c r="L20" s="139">
        <f t="shared" si="0"/>
        <v>18544970.555695765</v>
      </c>
    </row>
    <row r="21" spans="1:12" s="112" customFormat="1" ht="92.45" customHeight="1">
      <c r="B21" s="542">
        <v>1.1100000000000001</v>
      </c>
      <c r="C21" s="882" t="s">
        <v>339</v>
      </c>
      <c r="D21" s="883"/>
      <c r="E21" s="883"/>
      <c r="F21" s="883"/>
      <c r="G21" s="884"/>
      <c r="H21" s="129" t="s">
        <v>340</v>
      </c>
      <c r="I21" s="130">
        <v>14</v>
      </c>
      <c r="J21" s="130">
        <v>10</v>
      </c>
      <c r="K21" s="131">
        <f>'APU 1,11'!G46</f>
        <v>104191.29970009094</v>
      </c>
      <c r="L21" s="139">
        <f t="shared" si="0"/>
        <v>14586781.958012732</v>
      </c>
    </row>
    <row r="22" spans="1:12" s="112" customFormat="1" ht="59.45" hidden="1" customHeight="1">
      <c r="B22" s="542">
        <v>1.1200000000000001</v>
      </c>
      <c r="C22" s="894" t="s">
        <v>387</v>
      </c>
      <c r="D22" s="895"/>
      <c r="E22" s="895"/>
      <c r="F22" s="895"/>
      <c r="G22" s="896"/>
      <c r="H22" s="129" t="s">
        <v>340</v>
      </c>
      <c r="I22" s="130">
        <v>0</v>
      </c>
      <c r="J22" s="130">
        <v>10</v>
      </c>
      <c r="K22" s="563">
        <f>5625000/2</f>
        <v>2812500</v>
      </c>
      <c r="L22" s="139">
        <f t="shared" si="0"/>
        <v>0</v>
      </c>
    </row>
    <row r="23" spans="1:12" s="112" customFormat="1" ht="59.45" customHeight="1">
      <c r="B23" s="542" t="s">
        <v>342</v>
      </c>
      <c r="C23" s="894" t="s">
        <v>343</v>
      </c>
      <c r="D23" s="895"/>
      <c r="E23" s="895"/>
      <c r="F23" s="895"/>
      <c r="G23" s="896"/>
      <c r="H23" s="129" t="s">
        <v>340</v>
      </c>
      <c r="I23" s="130">
        <v>0</v>
      </c>
      <c r="J23" s="130">
        <v>6</v>
      </c>
      <c r="K23" s="632">
        <f>+'APU 1,12.1'!G47</f>
        <v>687233.40561039094</v>
      </c>
      <c r="L23" s="139">
        <f>K23*I23*J23</f>
        <v>0</v>
      </c>
    </row>
    <row r="24" spans="1:12" s="112" customFormat="1" ht="63.75" customHeight="1">
      <c r="B24" s="542">
        <v>1.1299999999999999</v>
      </c>
      <c r="C24" s="891" t="s">
        <v>344</v>
      </c>
      <c r="D24" s="892"/>
      <c r="E24" s="892"/>
      <c r="F24" s="892"/>
      <c r="G24" s="893"/>
      <c r="H24" s="129" t="s">
        <v>340</v>
      </c>
      <c r="I24" s="130">
        <v>4</v>
      </c>
      <c r="J24" s="130">
        <v>10</v>
      </c>
      <c r="K24" s="563">
        <f>'APU 1,13'!G46</f>
        <v>138817.6940501364</v>
      </c>
      <c r="L24" s="139">
        <f t="shared" si="0"/>
        <v>5552707.7620054558</v>
      </c>
    </row>
    <row r="25" spans="1:12" s="112" customFormat="1" ht="22.15" customHeight="1">
      <c r="B25" s="128" t="s">
        <v>345</v>
      </c>
      <c r="C25" s="132"/>
      <c r="D25" s="133"/>
      <c r="E25" s="133"/>
      <c r="F25" s="133"/>
      <c r="G25" s="134"/>
      <c r="H25" s="135"/>
      <c r="I25" s="130"/>
      <c r="J25" s="130"/>
      <c r="K25" s="136"/>
      <c r="L25" s="140">
        <f>SUM(L10:L24)</f>
        <v>79040209.207083672</v>
      </c>
    </row>
    <row r="26" spans="1:12" s="112" customFormat="1" ht="22.15" customHeight="1">
      <c r="B26" s="817" t="s">
        <v>346</v>
      </c>
      <c r="C26" s="818"/>
      <c r="D26" s="818"/>
      <c r="E26" s="818"/>
      <c r="F26" s="818"/>
      <c r="G26" s="818"/>
      <c r="H26" s="818"/>
      <c r="I26" s="818"/>
      <c r="J26" s="818"/>
      <c r="K26" s="818"/>
      <c r="L26" s="819"/>
    </row>
    <row r="27" spans="1:12" s="112" customFormat="1" ht="49.9" customHeight="1">
      <c r="B27" s="533">
        <v>2.1</v>
      </c>
      <c r="C27" s="888" t="s">
        <v>347</v>
      </c>
      <c r="D27" s="889"/>
      <c r="E27" s="889"/>
      <c r="F27" s="889"/>
      <c r="G27" s="890"/>
      <c r="H27" s="129" t="s">
        <v>340</v>
      </c>
      <c r="I27" s="114">
        <v>1</v>
      </c>
      <c r="J27" s="114">
        <v>2</v>
      </c>
      <c r="K27" s="115">
        <f>+'APU 2,1'!G45</f>
        <v>312527.28652916668</v>
      </c>
      <c r="L27" s="137">
        <f>K27*I27*J27</f>
        <v>625054.57305833336</v>
      </c>
    </row>
    <row r="28" spans="1:12" s="112" customFormat="1" ht="53.45" customHeight="1">
      <c r="B28" s="533">
        <v>2.2000000000000002</v>
      </c>
      <c r="C28" s="885" t="s">
        <v>348</v>
      </c>
      <c r="D28" s="886"/>
      <c r="E28" s="886"/>
      <c r="F28" s="886"/>
      <c r="G28" s="887"/>
      <c r="H28" s="113" t="s">
        <v>14</v>
      </c>
      <c r="I28" s="114">
        <v>100</v>
      </c>
      <c r="J28" s="114">
        <v>1</v>
      </c>
      <c r="K28" s="410">
        <f>+'APU 2,2'!G45</f>
        <v>13849.96940501364</v>
      </c>
      <c r="L28" s="137">
        <f>K28*I28*J28</f>
        <v>1384996.9405013639</v>
      </c>
    </row>
    <row r="29" spans="1:12" s="112" customFormat="1" ht="21.6" customHeight="1">
      <c r="B29" s="128" t="s">
        <v>349</v>
      </c>
      <c r="C29" s="132"/>
      <c r="D29" s="133"/>
      <c r="E29" s="133"/>
      <c r="F29" s="133"/>
      <c r="G29" s="134"/>
      <c r="H29" s="135"/>
      <c r="I29" s="130"/>
      <c r="J29" s="130"/>
      <c r="K29" s="136"/>
      <c r="L29" s="138">
        <f>SUM(L27:L28)</f>
        <v>2010051.5135596972</v>
      </c>
    </row>
    <row r="30" spans="1:12" s="112" customFormat="1" ht="22.15" customHeight="1">
      <c r="B30" s="817" t="s">
        <v>350</v>
      </c>
      <c r="C30" s="818"/>
      <c r="D30" s="818"/>
      <c r="E30" s="818"/>
      <c r="F30" s="818"/>
      <c r="G30" s="818"/>
      <c r="H30" s="818"/>
      <c r="I30" s="818"/>
      <c r="J30" s="818"/>
      <c r="K30" s="818"/>
      <c r="L30" s="819" t="e">
        <f>K30/I30</f>
        <v>#DIV/0!</v>
      </c>
    </row>
    <row r="31" spans="1:12" s="112" customFormat="1" ht="78" customHeight="1">
      <c r="B31" s="534">
        <v>3.1</v>
      </c>
      <c r="C31" s="814" t="s">
        <v>351</v>
      </c>
      <c r="D31" s="815"/>
      <c r="E31" s="815"/>
      <c r="F31" s="815"/>
      <c r="G31" s="816"/>
      <c r="H31" s="129" t="s">
        <v>331</v>
      </c>
      <c r="I31" s="130">
        <v>0</v>
      </c>
      <c r="J31" s="130">
        <v>1</v>
      </c>
      <c r="K31" s="131">
        <f>+'APU 3,1'!$G$45</f>
        <v>141695.02738346974</v>
      </c>
      <c r="L31" s="399">
        <f t="shared" ref="L31:L36" si="1">K31*I31*J31</f>
        <v>0</v>
      </c>
    </row>
    <row r="32" spans="1:12" s="112" customFormat="1" ht="87" customHeight="1">
      <c r="B32" s="534">
        <v>3.2</v>
      </c>
      <c r="C32" s="814" t="s">
        <v>352</v>
      </c>
      <c r="D32" s="815"/>
      <c r="E32" s="815"/>
      <c r="F32" s="815"/>
      <c r="G32" s="816"/>
      <c r="H32" s="129" t="s">
        <v>331</v>
      </c>
      <c r="I32" s="130">
        <v>0</v>
      </c>
      <c r="J32" s="130">
        <v>1</v>
      </c>
      <c r="K32" s="131">
        <f>+'APU 3,2'!G45</f>
        <v>233647.40536834925</v>
      </c>
      <c r="L32" s="399">
        <f t="shared" si="1"/>
        <v>0</v>
      </c>
    </row>
    <row r="33" spans="2:13" s="112" customFormat="1" ht="79.900000000000006" customHeight="1">
      <c r="B33" s="534">
        <v>3.3</v>
      </c>
      <c r="C33" s="814" t="s">
        <v>353</v>
      </c>
      <c r="D33" s="815"/>
      <c r="E33" s="815"/>
      <c r="F33" s="815"/>
      <c r="G33" s="816"/>
      <c r="H33" s="129" t="s">
        <v>331</v>
      </c>
      <c r="I33" s="130">
        <v>0</v>
      </c>
      <c r="J33" s="130">
        <v>1</v>
      </c>
      <c r="K33" s="131">
        <f>+'APU 3,3'!G45</f>
        <v>90139.796033424282</v>
      </c>
      <c r="L33" s="399">
        <f t="shared" si="1"/>
        <v>0</v>
      </c>
    </row>
    <row r="34" spans="2:13" s="112" customFormat="1" ht="76.900000000000006" customHeight="1">
      <c r="B34" s="534">
        <v>3.4</v>
      </c>
      <c r="C34" s="814" t="s">
        <v>354</v>
      </c>
      <c r="D34" s="815"/>
      <c r="E34" s="815"/>
      <c r="F34" s="815"/>
      <c r="G34" s="816"/>
      <c r="H34" s="129" t="s">
        <v>331</v>
      </c>
      <c r="I34" s="130">
        <v>0</v>
      </c>
      <c r="J34" s="130">
        <v>1</v>
      </c>
      <c r="K34" s="131">
        <f>+'APU 3,4'!G45</f>
        <v>120309.74504178035</v>
      </c>
      <c r="L34" s="399">
        <f t="shared" si="1"/>
        <v>0</v>
      </c>
    </row>
    <row r="35" spans="2:13" s="112" customFormat="1" ht="52.5" customHeight="1">
      <c r="B35" s="534">
        <v>3.5</v>
      </c>
      <c r="C35" s="823" t="s">
        <v>355</v>
      </c>
      <c r="D35" s="824"/>
      <c r="E35" s="824"/>
      <c r="F35" s="824"/>
      <c r="G35" s="825"/>
      <c r="H35" s="540" t="s">
        <v>340</v>
      </c>
      <c r="I35" s="541">
        <v>1</v>
      </c>
      <c r="J35" s="541">
        <v>2</v>
      </c>
      <c r="K35" s="585">
        <f>'APU 3,5'!G45</f>
        <v>264673.29701909958</v>
      </c>
      <c r="L35" s="399">
        <f t="shared" si="1"/>
        <v>529346.59403819917</v>
      </c>
    </row>
    <row r="36" spans="2:13" s="112" customFormat="1" ht="64.5" customHeight="1">
      <c r="B36" s="534">
        <v>3.6</v>
      </c>
      <c r="C36" s="814" t="s">
        <v>356</v>
      </c>
      <c r="D36" s="815"/>
      <c r="E36" s="815"/>
      <c r="F36" s="815"/>
      <c r="G36" s="816"/>
      <c r="H36" s="540" t="s">
        <v>340</v>
      </c>
      <c r="I36" s="541">
        <v>0</v>
      </c>
      <c r="J36" s="541">
        <v>1</v>
      </c>
      <c r="K36" s="585">
        <f>'APU 3,6'!G45</f>
        <v>134279.6940501364</v>
      </c>
      <c r="L36" s="399">
        <f t="shared" si="1"/>
        <v>0</v>
      </c>
    </row>
    <row r="37" spans="2:13" s="112" customFormat="1" ht="21.6" customHeight="1">
      <c r="B37" s="400" t="s">
        <v>357</v>
      </c>
      <c r="C37" s="401"/>
      <c r="D37" s="402"/>
      <c r="E37" s="402"/>
      <c r="F37" s="402"/>
      <c r="G37" s="403"/>
      <c r="H37" s="404"/>
      <c r="I37" s="405"/>
      <c r="J37" s="405"/>
      <c r="K37" s="406"/>
      <c r="L37" s="407">
        <f>SUM(L31:L36)</f>
        <v>529346.59403819917</v>
      </c>
    </row>
    <row r="38" spans="2:13" s="112" customFormat="1" ht="22.15" customHeight="1">
      <c r="B38" s="817" t="s">
        <v>358</v>
      </c>
      <c r="C38" s="818"/>
      <c r="D38" s="818"/>
      <c r="E38" s="818"/>
      <c r="F38" s="818"/>
      <c r="G38" s="818"/>
      <c r="H38" s="818"/>
      <c r="I38" s="818"/>
      <c r="J38" s="818"/>
      <c r="K38" s="818"/>
      <c r="L38" s="819" t="e">
        <f>K38/I38</f>
        <v>#DIV/0!</v>
      </c>
    </row>
    <row r="39" spans="2:13" s="112" customFormat="1" ht="63.6" hidden="1" customHeight="1">
      <c r="B39" s="647">
        <v>4.0999999999999996</v>
      </c>
      <c r="C39" s="820" t="s">
        <v>359</v>
      </c>
      <c r="D39" s="821"/>
      <c r="E39" s="821"/>
      <c r="F39" s="821"/>
      <c r="G39" s="822"/>
      <c r="H39" s="644" t="s">
        <v>331</v>
      </c>
      <c r="I39" s="645">
        <v>0</v>
      </c>
      <c r="J39" s="648">
        <v>1</v>
      </c>
      <c r="K39" s="646">
        <f>'APU 4.1'!G45</f>
        <v>936547.40536834928</v>
      </c>
      <c r="L39" s="649">
        <f>K39*I39*J39</f>
        <v>0</v>
      </c>
      <c r="M39" s="643"/>
    </row>
    <row r="40" spans="2:13" s="112" customFormat="1" ht="51.6" hidden="1" customHeight="1">
      <c r="B40" s="647">
        <v>4.2</v>
      </c>
      <c r="C40" s="820" t="s">
        <v>360</v>
      </c>
      <c r="D40" s="821"/>
      <c r="E40" s="821"/>
      <c r="F40" s="821"/>
      <c r="G40" s="822"/>
      <c r="H40" s="644" t="s">
        <v>331</v>
      </c>
      <c r="I40" s="645">
        <v>0</v>
      </c>
      <c r="J40" s="648">
        <v>1</v>
      </c>
      <c r="K40" s="646">
        <f>'APU 4.2'!G45</f>
        <v>729047.40536834928</v>
      </c>
      <c r="L40" s="649">
        <f t="shared" ref="L40:L47" si="2">K40*I40*J40</f>
        <v>0</v>
      </c>
    </row>
    <row r="41" spans="2:13" s="112" customFormat="1" ht="79.900000000000006" customHeight="1">
      <c r="B41" s="534" t="s">
        <v>30</v>
      </c>
      <c r="C41" s="823" t="s">
        <v>361</v>
      </c>
      <c r="D41" s="824"/>
      <c r="E41" s="824"/>
      <c r="F41" s="824"/>
      <c r="G41" s="825"/>
      <c r="H41" s="129" t="s">
        <v>229</v>
      </c>
      <c r="I41" s="130">
        <v>300</v>
      </c>
      <c r="J41" s="538">
        <v>1</v>
      </c>
      <c r="K41" s="131">
        <f>'APU 4.1.'!G45</f>
        <v>112955.40901671213</v>
      </c>
      <c r="L41" s="399">
        <f>K41*I41*J41</f>
        <v>33886622.70501364</v>
      </c>
    </row>
    <row r="42" spans="2:13" s="112" customFormat="1" ht="76.900000000000006" customHeight="1">
      <c r="B42" s="534" t="s">
        <v>506</v>
      </c>
      <c r="C42" s="814" t="s">
        <v>362</v>
      </c>
      <c r="D42" s="815"/>
      <c r="E42" s="815"/>
      <c r="F42" s="815"/>
      <c r="G42" s="816"/>
      <c r="H42" s="129" t="s">
        <v>331</v>
      </c>
      <c r="I42" s="130">
        <v>0</v>
      </c>
      <c r="J42" s="130">
        <v>1</v>
      </c>
      <c r="K42" s="550">
        <f>'APU 4.2.'!G45</f>
        <v>2737203.4900835608</v>
      </c>
      <c r="L42" s="141">
        <f t="shared" si="2"/>
        <v>0</v>
      </c>
    </row>
    <row r="43" spans="2:13" s="112" customFormat="1" ht="64.900000000000006" hidden="1" customHeight="1">
      <c r="B43" s="647">
        <v>4.5</v>
      </c>
      <c r="C43" s="820" t="s">
        <v>363</v>
      </c>
      <c r="D43" s="821"/>
      <c r="E43" s="821"/>
      <c r="F43" s="821"/>
      <c r="G43" s="822"/>
      <c r="H43" s="650" t="s">
        <v>331</v>
      </c>
      <c r="I43" s="645">
        <v>0</v>
      </c>
      <c r="J43" s="651">
        <v>1</v>
      </c>
      <c r="K43" s="652">
        <f>'APU 4.5'!G45</f>
        <v>150999.79603342427</v>
      </c>
      <c r="L43" s="654">
        <f t="shared" si="2"/>
        <v>0</v>
      </c>
    </row>
    <row r="44" spans="2:13" s="112" customFormat="1" ht="64.900000000000006" customHeight="1">
      <c r="B44" s="534" t="s">
        <v>507</v>
      </c>
      <c r="C44" s="814" t="s">
        <v>364</v>
      </c>
      <c r="D44" s="815"/>
      <c r="E44" s="815"/>
      <c r="F44" s="815"/>
      <c r="G44" s="816"/>
      <c r="H44" s="540" t="s">
        <v>331</v>
      </c>
      <c r="I44" s="130">
        <v>0</v>
      </c>
      <c r="J44" s="541">
        <v>1</v>
      </c>
      <c r="K44" s="551">
        <f>'APU 4.3.'!G45</f>
        <v>141655.23135004548</v>
      </c>
      <c r="L44" s="141">
        <f t="shared" si="2"/>
        <v>0</v>
      </c>
    </row>
    <row r="45" spans="2:13" s="112" customFormat="1" ht="60" customHeight="1">
      <c r="B45" s="534" t="s">
        <v>508</v>
      </c>
      <c r="C45" s="814" t="s">
        <v>365</v>
      </c>
      <c r="D45" s="815"/>
      <c r="E45" s="815"/>
      <c r="F45" s="815"/>
      <c r="G45" s="816"/>
      <c r="H45" s="540" t="s">
        <v>340</v>
      </c>
      <c r="I45" s="130">
        <v>0</v>
      </c>
      <c r="J45" s="541">
        <v>1</v>
      </c>
      <c r="K45" s="551">
        <f>'APU 4.4.'!G45</f>
        <v>92055.231350045477</v>
      </c>
      <c r="L45" s="141">
        <f t="shared" si="2"/>
        <v>0</v>
      </c>
    </row>
    <row r="46" spans="2:13" s="112" customFormat="1" ht="60" customHeight="1">
      <c r="B46" s="534" t="s">
        <v>509</v>
      </c>
      <c r="C46" s="814" t="s">
        <v>366</v>
      </c>
      <c r="D46" s="815"/>
      <c r="E46" s="815"/>
      <c r="F46" s="815"/>
      <c r="G46" s="816"/>
      <c r="H46" s="540" t="s">
        <v>340</v>
      </c>
      <c r="I46" s="130">
        <v>0</v>
      </c>
      <c r="J46" s="541">
        <v>1</v>
      </c>
      <c r="K46" s="551">
        <f>'APU 4.5. '!G45</f>
        <v>121079.03601750795</v>
      </c>
      <c r="L46" s="141">
        <f t="shared" si="2"/>
        <v>0</v>
      </c>
    </row>
    <row r="47" spans="2:13" s="112" customFormat="1" ht="64.900000000000006" customHeight="1">
      <c r="B47" s="568" t="s">
        <v>510</v>
      </c>
      <c r="C47" s="814" t="s">
        <v>367</v>
      </c>
      <c r="D47" s="815"/>
      <c r="E47" s="815"/>
      <c r="F47" s="815"/>
      <c r="G47" s="816"/>
      <c r="H47" s="540" t="s">
        <v>340</v>
      </c>
      <c r="I47" s="130">
        <v>0</v>
      </c>
      <c r="J47" s="541">
        <v>1</v>
      </c>
      <c r="K47" s="551">
        <f>'APU 4.6.'!G45</f>
        <v>301150.14407003182</v>
      </c>
      <c r="L47" s="141">
        <f t="shared" si="2"/>
        <v>0</v>
      </c>
    </row>
    <row r="48" spans="2:13" s="112" customFormat="1" ht="80.45" customHeight="1">
      <c r="B48" s="559" t="s">
        <v>511</v>
      </c>
      <c r="C48" s="814" t="s">
        <v>368</v>
      </c>
      <c r="D48" s="815"/>
      <c r="E48" s="815"/>
      <c r="F48" s="815"/>
      <c r="G48" s="816"/>
      <c r="H48" s="540" t="s">
        <v>340</v>
      </c>
      <c r="I48" s="130">
        <v>0</v>
      </c>
      <c r="J48" s="541">
        <v>1</v>
      </c>
      <c r="K48" s="551">
        <f>'APU 4.7.'!G45</f>
        <v>327715.73870168254</v>
      </c>
      <c r="L48" s="141">
        <f>K48*I48*J48</f>
        <v>0</v>
      </c>
    </row>
    <row r="49" spans="2:12" s="112" customFormat="1" ht="73.5" customHeight="1">
      <c r="B49" s="559" t="s">
        <v>512</v>
      </c>
      <c r="C49" s="823" t="s">
        <v>369</v>
      </c>
      <c r="D49" s="824"/>
      <c r="E49" s="824"/>
      <c r="F49" s="824"/>
      <c r="G49" s="825"/>
      <c r="H49" s="540" t="s">
        <v>340</v>
      </c>
      <c r="I49" s="130">
        <v>12</v>
      </c>
      <c r="J49" s="541">
        <v>2</v>
      </c>
      <c r="K49" s="582">
        <f>'APU 4.8.'!G45</f>
        <v>337889.94900835608</v>
      </c>
      <c r="L49" s="141">
        <f>K49*I49*J49</f>
        <v>8109358.776200546</v>
      </c>
    </row>
    <row r="50" spans="2:12" s="112" customFormat="1" ht="66.75" customHeight="1">
      <c r="B50" s="559" t="s">
        <v>513</v>
      </c>
      <c r="C50" s="814" t="s">
        <v>370</v>
      </c>
      <c r="D50" s="815"/>
      <c r="E50" s="815"/>
      <c r="F50" s="815"/>
      <c r="G50" s="816"/>
      <c r="H50" s="540" t="s">
        <v>340</v>
      </c>
      <c r="I50" s="130">
        <v>0</v>
      </c>
      <c r="J50" s="541">
        <v>1</v>
      </c>
      <c r="K50" s="582">
        <f>'APU 4.9.'!G45</f>
        <v>179392.46270009095</v>
      </c>
      <c r="L50" s="141">
        <f>K50*I50*J50</f>
        <v>0</v>
      </c>
    </row>
    <row r="51" spans="2:12" s="112" customFormat="1" ht="21.6" customHeight="1">
      <c r="B51" s="400" t="s">
        <v>371</v>
      </c>
      <c r="C51" s="401"/>
      <c r="D51" s="402"/>
      <c r="E51" s="402"/>
      <c r="F51" s="402"/>
      <c r="G51" s="403"/>
      <c r="H51" s="404"/>
      <c r="I51" s="405"/>
      <c r="J51" s="405"/>
      <c r="K51" s="406"/>
      <c r="L51" s="407">
        <f>SUM(L39:L50)</f>
        <v>41995981.481214188</v>
      </c>
    </row>
    <row r="52" spans="2:12" s="112" customFormat="1" ht="22.15" customHeight="1">
      <c r="B52" s="817" t="s">
        <v>372</v>
      </c>
      <c r="C52" s="818"/>
      <c r="D52" s="818"/>
      <c r="E52" s="818"/>
      <c r="F52" s="818"/>
      <c r="G52" s="818"/>
      <c r="H52" s="818"/>
      <c r="I52" s="818"/>
      <c r="J52" s="818"/>
      <c r="K52" s="818"/>
      <c r="L52" s="819" t="e">
        <f>K52/I52</f>
        <v>#DIV/0!</v>
      </c>
    </row>
    <row r="53" spans="2:12" s="112" customFormat="1" ht="72.75" customHeight="1">
      <c r="B53" s="560">
        <v>5.0999999999999996</v>
      </c>
      <c r="C53" s="814" t="s">
        <v>385</v>
      </c>
      <c r="D53" s="815"/>
      <c r="E53" s="815"/>
      <c r="F53" s="815"/>
      <c r="G53" s="816"/>
      <c r="H53" s="540" t="s">
        <v>340</v>
      </c>
      <c r="I53" s="541">
        <v>1</v>
      </c>
      <c r="J53" s="541">
        <v>1</v>
      </c>
      <c r="K53" s="551">
        <v>60000000</v>
      </c>
      <c r="L53" s="141">
        <f>K53*I53*J53</f>
        <v>60000000</v>
      </c>
    </row>
    <row r="54" spans="2:12" s="112" customFormat="1" ht="21.6" customHeight="1">
      <c r="B54" s="400" t="s">
        <v>374</v>
      </c>
      <c r="C54" s="401"/>
      <c r="D54" s="402"/>
      <c r="E54" s="402"/>
      <c r="F54" s="402"/>
      <c r="G54" s="403"/>
      <c r="H54" s="404"/>
      <c r="I54" s="405"/>
      <c r="J54" s="405"/>
      <c r="K54" s="406"/>
      <c r="L54" s="407">
        <f>SUM(L53)</f>
        <v>60000000</v>
      </c>
    </row>
    <row r="55" spans="2:12" ht="15" customHeight="1">
      <c r="B55" s="117"/>
      <c r="C55" s="118"/>
      <c r="D55" s="119"/>
      <c r="E55" s="119"/>
      <c r="F55" s="119"/>
      <c r="G55" s="120"/>
      <c r="H55" s="121"/>
      <c r="I55" s="114"/>
      <c r="J55" s="114"/>
      <c r="K55" s="116"/>
      <c r="L55" s="141"/>
    </row>
    <row r="56" spans="2:12" ht="18">
      <c r="B56" s="845" t="s">
        <v>375</v>
      </c>
      <c r="C56" s="846"/>
      <c r="D56" s="846"/>
      <c r="E56" s="846"/>
      <c r="F56" s="846"/>
      <c r="G56" s="846"/>
      <c r="H56" s="564"/>
      <c r="I56" s="565"/>
      <c r="J56" s="142"/>
      <c r="K56" s="143" t="s">
        <v>376</v>
      </c>
      <c r="L56" s="144">
        <f>+L37+L29+L25+L51+L54</f>
        <v>183575588.79589576</v>
      </c>
    </row>
    <row r="57" spans="2:12" ht="17.45" customHeight="1">
      <c r="B57" s="847" t="s">
        <v>377</v>
      </c>
      <c r="C57" s="848"/>
      <c r="D57" s="848"/>
      <c r="E57" s="848"/>
      <c r="F57" s="848"/>
      <c r="G57" s="848"/>
      <c r="H57" s="566"/>
      <c r="I57" s="567"/>
      <c r="J57" s="145"/>
      <c r="K57" s="146">
        <f>+'AU  Consul P2'!H25</f>
        <v>0.13674807545143486</v>
      </c>
      <c r="L57" s="329">
        <f>+L56*K57</f>
        <v>25103608.467702731</v>
      </c>
    </row>
    <row r="58" spans="2:12" ht="18">
      <c r="B58" s="847" t="s">
        <v>378</v>
      </c>
      <c r="C58" s="848"/>
      <c r="D58" s="848"/>
      <c r="E58" s="848"/>
      <c r="F58" s="848"/>
      <c r="G58" s="848"/>
      <c r="H58" s="566"/>
      <c r="I58" s="567"/>
      <c r="J58" s="145"/>
      <c r="K58" s="146">
        <v>0.05</v>
      </c>
      <c r="L58" s="329">
        <f>+L56*K58</f>
        <v>9178779.4397947881</v>
      </c>
    </row>
    <row r="59" spans="2:12" ht="18">
      <c r="B59" s="845" t="s">
        <v>379</v>
      </c>
      <c r="C59" s="846"/>
      <c r="D59" s="846"/>
      <c r="E59" s="846"/>
      <c r="F59" s="846"/>
      <c r="G59" s="846"/>
      <c r="H59" s="564"/>
      <c r="I59" s="565"/>
      <c r="J59" s="142"/>
      <c r="K59" s="570">
        <f>+K57+K58</f>
        <v>0.18674807545143485</v>
      </c>
      <c r="L59" s="144">
        <f>ROUND(SUM(L56:L58),0)</f>
        <v>217857977</v>
      </c>
    </row>
    <row r="60" spans="2:12" ht="22.5" customHeight="1">
      <c r="B60" s="842" t="s">
        <v>380</v>
      </c>
      <c r="C60" s="843"/>
      <c r="D60" s="843"/>
      <c r="E60" s="843"/>
      <c r="F60" s="843"/>
      <c r="G60" s="843"/>
      <c r="H60" s="843"/>
      <c r="I60" s="843"/>
      <c r="J60" s="843"/>
      <c r="K60" s="844"/>
      <c r="L60" s="329">
        <f>+Pólizas!W20</f>
        <v>556146.64994326036</v>
      </c>
    </row>
    <row r="61" spans="2:12" ht="18.75" thickBot="1">
      <c r="B61" s="840" t="s">
        <v>381</v>
      </c>
      <c r="C61" s="841"/>
      <c r="D61" s="841"/>
      <c r="E61" s="841"/>
      <c r="F61" s="841"/>
      <c r="G61" s="841"/>
      <c r="H61" s="554"/>
      <c r="I61" s="555"/>
      <c r="J61" s="555"/>
      <c r="K61" s="556"/>
      <c r="L61" s="557">
        <f>+L59+L60</f>
        <v>218414123.64994326</v>
      </c>
    </row>
    <row r="64" spans="2:12">
      <c r="K64" s="398"/>
      <c r="L64" s="397"/>
    </row>
    <row r="65" spans="12:12">
      <c r="L65" s="397"/>
    </row>
    <row r="66" spans="12:12">
      <c r="L66" s="600"/>
    </row>
    <row r="68" spans="12:12">
      <c r="L68" s="397"/>
    </row>
    <row r="71" spans="12:12" ht="15.75">
      <c r="L71" s="601"/>
    </row>
    <row r="74" spans="12:12">
      <c r="L74" s="397"/>
    </row>
  </sheetData>
  <mergeCells count="60">
    <mergeCell ref="C48:G48"/>
    <mergeCell ref="C36:G36"/>
    <mergeCell ref="B38:L38"/>
    <mergeCell ref="C39:G39"/>
    <mergeCell ref="C40:G40"/>
    <mergeCell ref="C41:G41"/>
    <mergeCell ref="C42:G42"/>
    <mergeCell ref="C43:G43"/>
    <mergeCell ref="C44:G44"/>
    <mergeCell ref="C45:G45"/>
    <mergeCell ref="C46:G46"/>
    <mergeCell ref="C47:G47"/>
    <mergeCell ref="B58:G58"/>
    <mergeCell ref="B59:G59"/>
    <mergeCell ref="B60:K60"/>
    <mergeCell ref="B61:G61"/>
    <mergeCell ref="C49:G49"/>
    <mergeCell ref="C50:G50"/>
    <mergeCell ref="B52:L52"/>
    <mergeCell ref="C53:G53"/>
    <mergeCell ref="B56:G56"/>
    <mergeCell ref="B57:G57"/>
    <mergeCell ref="C35:G35"/>
    <mergeCell ref="C21:G21"/>
    <mergeCell ref="C22:G22"/>
    <mergeCell ref="C24:G24"/>
    <mergeCell ref="B26:L26"/>
    <mergeCell ref="C27:G27"/>
    <mergeCell ref="C28:G28"/>
    <mergeCell ref="B30:L30"/>
    <mergeCell ref="C31:G31"/>
    <mergeCell ref="C32:G32"/>
    <mergeCell ref="C33:G33"/>
    <mergeCell ref="C34:G34"/>
    <mergeCell ref="C23:G23"/>
    <mergeCell ref="C20:G20"/>
    <mergeCell ref="C10:G10"/>
    <mergeCell ref="C12:G12"/>
    <mergeCell ref="C13:G13"/>
    <mergeCell ref="J7:J8"/>
    <mergeCell ref="C11:G11"/>
    <mergeCell ref="C15:G15"/>
    <mergeCell ref="C16:G16"/>
    <mergeCell ref="C17:G17"/>
    <mergeCell ref="C18:G18"/>
    <mergeCell ref="C19:G19"/>
    <mergeCell ref="B1:G1"/>
    <mergeCell ref="H1:L1"/>
    <mergeCell ref="B2:L2"/>
    <mergeCell ref="B3:L3"/>
    <mergeCell ref="B4:L4"/>
    <mergeCell ref="B6:L6"/>
    <mergeCell ref="C14:G14"/>
    <mergeCell ref="B7:B8"/>
    <mergeCell ref="C7:G8"/>
    <mergeCell ref="H7:H8"/>
    <mergeCell ref="I7:I8"/>
    <mergeCell ref="L7:L8"/>
    <mergeCell ref="B9:L9"/>
    <mergeCell ref="K7:K8"/>
  </mergeCells>
  <conditionalFormatting sqref="K12:K15">
    <cfRule type="cellIs" dxfId="14" priority="12" operator="between">
      <formula>0</formula>
      <formula>10000000</formula>
    </cfRule>
    <cfRule type="cellIs" dxfId="13" priority="15" operator="equal">
      <formula>0</formula>
    </cfRule>
  </conditionalFormatting>
  <conditionalFormatting sqref="K12:K24">
    <cfRule type="cellIs" dxfId="12" priority="1" operator="lessThan">
      <formula>0</formula>
    </cfRule>
    <cfRule type="cellIs" dxfId="11" priority="2" operator="greaterThan">
      <formula>0</formula>
    </cfRule>
  </conditionalFormatting>
  <conditionalFormatting sqref="K17">
    <cfRule type="cellIs" dxfId="10" priority="17" operator="equal">
      <formula>0</formula>
    </cfRule>
  </conditionalFormatting>
  <conditionalFormatting sqref="K17:K24">
    <cfRule type="cellIs" dxfId="9" priority="3" operator="between">
      <formula>0</formula>
      <formula>10000000</formula>
    </cfRule>
  </conditionalFormatting>
  <conditionalFormatting sqref="K20:K24">
    <cfRule type="cellIs" dxfId="8" priority="18" operator="equal">
      <formula>0</formula>
    </cfRule>
  </conditionalFormatting>
  <conditionalFormatting sqref="K27:K28 K32:K36">
    <cfRule type="cellIs" dxfId="7" priority="8" operator="between">
      <formula>0</formula>
      <formula>10000000</formula>
    </cfRule>
    <cfRule type="cellIs" dxfId="6" priority="9" operator="lessThan">
      <formula>0</formula>
    </cfRule>
    <cfRule type="cellIs" dxfId="5" priority="10" operator="greaterThan">
      <formula>0</formula>
    </cfRule>
    <cfRule type="cellIs" dxfId="4" priority="11" operator="equal">
      <formula>0</formula>
    </cfRule>
  </conditionalFormatting>
  <conditionalFormatting sqref="K41">
    <cfRule type="cellIs" dxfId="3" priority="4" operator="between">
      <formula>0</formula>
      <formula>10000000</formula>
    </cfRule>
    <cfRule type="cellIs" dxfId="2" priority="5" operator="lessThan">
      <formula>0</formula>
    </cfRule>
    <cfRule type="cellIs" dxfId="1" priority="6" operator="greaterThan">
      <formula>0</formula>
    </cfRule>
    <cfRule type="cellIs" dxfId="0" priority="7" operator="equal">
      <formula>0</formula>
    </cfRule>
  </conditionalFormatting>
  <pageMargins left="0.70866141732283472" right="0.70866141732283472" top="0.74803149606299213" bottom="0.74803149606299213" header="0.31496062992125984" footer="0.31496062992125984"/>
  <pageSetup scale="60" orientation="portrait"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G45"/>
  <sheetViews>
    <sheetView topLeftCell="A18" zoomScale="85" zoomScaleNormal="85" workbookViewId="0">
      <selection activeCell="G52" sqref="G52"/>
    </sheetView>
  </sheetViews>
  <sheetFormatPr baseColWidth="10" defaultColWidth="11.42578125" defaultRowHeight="16.5"/>
  <cols>
    <col min="1" max="1" width="25.7109375" style="2" customWidth="1"/>
    <col min="2" max="2" width="21.7109375" style="2" customWidth="1"/>
    <col min="3" max="3" width="10.28515625" style="2" customWidth="1"/>
    <col min="4" max="4" width="11.140625" style="2" customWidth="1"/>
    <col min="5" max="6" width="11.42578125" style="2"/>
    <col min="7" max="7" width="16.7109375" style="2" customWidth="1"/>
    <col min="8" max="16384" width="11.42578125" style="2"/>
  </cols>
  <sheetData>
    <row r="1" spans="1:7" ht="77.25" customHeight="1" thickBot="1">
      <c r="A1" s="918"/>
      <c r="B1" s="919"/>
      <c r="C1" s="919"/>
      <c r="D1" s="704" t="s">
        <v>388</v>
      </c>
      <c r="E1" s="705"/>
      <c r="F1" s="705"/>
      <c r="G1" s="706"/>
    </row>
    <row r="2" spans="1:7" ht="17.25" thickBot="1">
      <c r="A2" s="8"/>
      <c r="B2" s="8"/>
      <c r="C2" s="8"/>
      <c r="D2" s="9"/>
      <c r="E2" s="9"/>
      <c r="F2" s="9"/>
      <c r="G2" s="9"/>
    </row>
    <row r="3" spans="1:7" ht="17.25" thickBot="1">
      <c r="A3" s="747" t="str">
        <f>+'AU  Consul P2'!A3:I3</f>
        <v>SECRETARÍA DE TALENTO HUMANO Y SERVICIOS ADMINISTRATIVOS- DIRECCIÓN DE SERVICIOS GENERALES</v>
      </c>
      <c r="B3" s="748"/>
      <c r="C3" s="748"/>
      <c r="D3" s="748"/>
      <c r="E3" s="748"/>
      <c r="F3" s="748"/>
      <c r="G3" s="749"/>
    </row>
    <row r="4" spans="1:7" s="1" customFormat="1" ht="35.2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17.25" thickBot="1">
      <c r="A5" s="364" t="s">
        <v>389</v>
      </c>
      <c r="B5" s="365" t="s">
        <v>390</v>
      </c>
      <c r="C5" s="3"/>
      <c r="D5" s="3"/>
      <c r="E5" s="3"/>
      <c r="F5" s="7" t="s">
        <v>391</v>
      </c>
      <c r="G5" s="363"/>
    </row>
    <row r="6" spans="1:7" ht="55.5" customHeight="1" thickBot="1">
      <c r="A6" s="10" t="s">
        <v>392</v>
      </c>
      <c r="B6" s="920" t="s">
        <v>393</v>
      </c>
      <c r="C6" s="921"/>
      <c r="D6" s="921"/>
      <c r="E6" s="921"/>
      <c r="F6" s="921"/>
      <c r="G6" s="922"/>
    </row>
    <row r="8" spans="1:7" ht="17.25" thickBot="1">
      <c r="A8" s="923" t="s">
        <v>394</v>
      </c>
      <c r="B8" s="923"/>
    </row>
    <row r="9" spans="1:7">
      <c r="A9" s="924" t="s">
        <v>395</v>
      </c>
      <c r="B9" s="925"/>
      <c r="C9" s="13" t="s">
        <v>396</v>
      </c>
      <c r="D9" s="13" t="s">
        <v>397</v>
      </c>
      <c r="E9" s="13" t="s">
        <v>398</v>
      </c>
      <c r="F9" s="13" t="s">
        <v>399</v>
      </c>
      <c r="G9" s="14"/>
    </row>
    <row r="10" spans="1:7">
      <c r="A10" s="926"/>
      <c r="B10" s="927"/>
      <c r="C10" s="26"/>
      <c r="D10" s="21"/>
      <c r="E10" s="335"/>
      <c r="F10" s="22">
        <f>E10*D10</f>
        <v>0</v>
      </c>
      <c r="G10" s="15"/>
    </row>
    <row r="11" spans="1:7" ht="17.25" thickBot="1">
      <c r="A11" s="928"/>
      <c r="B11" s="929"/>
      <c r="C11" s="24"/>
      <c r="D11" s="24"/>
      <c r="E11" s="24"/>
      <c r="F11" s="24"/>
      <c r="G11" s="17"/>
    </row>
    <row r="12" spans="1:7" ht="17.25" thickBot="1">
      <c r="F12" s="4" t="s">
        <v>400</v>
      </c>
      <c r="G12" s="25">
        <f>SUM(F10:F11)</f>
        <v>0</v>
      </c>
    </row>
    <row r="13" spans="1:7">
      <c r="F13" s="4"/>
      <c r="G13" s="336"/>
    </row>
    <row r="14" spans="1:7" ht="17.25" thickBot="1">
      <c r="A14" s="930" t="s">
        <v>401</v>
      </c>
      <c r="B14" s="930"/>
    </row>
    <row r="15" spans="1:7">
      <c r="A15" s="931" t="s">
        <v>395</v>
      </c>
      <c r="B15" s="932"/>
      <c r="C15" s="13" t="s">
        <v>402</v>
      </c>
      <c r="D15" s="13" t="s">
        <v>403</v>
      </c>
      <c r="E15" s="13" t="s">
        <v>404</v>
      </c>
      <c r="F15" s="13" t="s">
        <v>399</v>
      </c>
      <c r="G15" s="18"/>
    </row>
    <row r="16" spans="1:7">
      <c r="A16" s="916"/>
      <c r="B16" s="917"/>
      <c r="C16" s="323"/>
      <c r="D16" s="337"/>
      <c r="E16" s="323"/>
      <c r="F16" s="22">
        <f t="shared" ref="F16:F21" si="0">+D16*E16</f>
        <v>0</v>
      </c>
      <c r="G16" s="16"/>
    </row>
    <row r="17" spans="1:7">
      <c r="A17" s="916"/>
      <c r="B17" s="917"/>
      <c r="C17" s="338"/>
      <c r="D17" s="339"/>
      <c r="E17" s="340"/>
      <c r="F17" s="22">
        <f t="shared" si="0"/>
        <v>0</v>
      </c>
      <c r="G17" s="16"/>
    </row>
    <row r="18" spans="1:7">
      <c r="A18" s="935"/>
      <c r="B18" s="936"/>
      <c r="C18" s="338"/>
      <c r="D18" s="341"/>
      <c r="E18" s="342"/>
      <c r="F18" s="22">
        <f t="shared" si="0"/>
        <v>0</v>
      </c>
      <c r="G18" s="343"/>
    </row>
    <row r="19" spans="1:7">
      <c r="A19" s="937"/>
      <c r="B19" s="938"/>
      <c r="C19" s="338"/>
      <c r="D19" s="341"/>
      <c r="E19" s="342"/>
      <c r="F19" s="22">
        <f t="shared" si="0"/>
        <v>0</v>
      </c>
      <c r="G19" s="343"/>
    </row>
    <row r="20" spans="1:7" ht="27" customHeight="1">
      <c r="A20" s="937"/>
      <c r="B20" s="938"/>
      <c r="C20" s="338"/>
      <c r="D20" s="341"/>
      <c r="E20" s="342"/>
      <c r="F20" s="22">
        <f t="shared" si="0"/>
        <v>0</v>
      </c>
      <c r="G20" s="343"/>
    </row>
    <row r="21" spans="1:7" ht="27" customHeight="1" thickBot="1">
      <c r="A21" s="939"/>
      <c r="B21" s="940"/>
      <c r="C21" s="325"/>
      <c r="D21" s="344"/>
      <c r="E21" s="345"/>
      <c r="F21" s="326">
        <f t="shared" si="0"/>
        <v>0</v>
      </c>
      <c r="G21" s="346"/>
    </row>
    <row r="22" spans="1:7" ht="17.25" thickBot="1">
      <c r="A22" s="941"/>
      <c r="B22" s="941"/>
      <c r="F22" s="4" t="s">
        <v>400</v>
      </c>
      <c r="G22" s="25">
        <f>SUM(F21,F20,F19,F18,F17,F16)</f>
        <v>0</v>
      </c>
    </row>
    <row r="23" spans="1:7" ht="17.25" thickBot="1">
      <c r="A23" s="930" t="s">
        <v>405</v>
      </c>
      <c r="B23" s="930"/>
    </row>
    <row r="24" spans="1:7">
      <c r="A24" s="931" t="s">
        <v>395</v>
      </c>
      <c r="B24" s="932"/>
      <c r="C24" s="13" t="s">
        <v>402</v>
      </c>
      <c r="D24" s="13" t="s">
        <v>403</v>
      </c>
      <c r="E24" s="13" t="s">
        <v>404</v>
      </c>
      <c r="F24" s="13" t="s">
        <v>399</v>
      </c>
      <c r="G24" s="18"/>
    </row>
    <row r="25" spans="1:7">
      <c r="A25" s="916" t="s">
        <v>406</v>
      </c>
      <c r="B25" s="917"/>
      <c r="C25" s="323" t="s">
        <v>402</v>
      </c>
      <c r="D25" s="337">
        <v>6500</v>
      </c>
      <c r="E25" s="358">
        <v>1</v>
      </c>
      <c r="F25" s="22">
        <f>+D25*E25</f>
        <v>6500</v>
      </c>
      <c r="G25" s="16"/>
    </row>
    <row r="26" spans="1:7">
      <c r="A26" s="942" t="s">
        <v>407</v>
      </c>
      <c r="B26" s="943"/>
      <c r="C26" s="359" t="s">
        <v>402</v>
      </c>
      <c r="D26" s="337">
        <v>4500</v>
      </c>
      <c r="E26" s="362">
        <v>1</v>
      </c>
      <c r="F26" s="22">
        <f t="shared" ref="F26:F31" si="1">+D26*E26</f>
        <v>4500</v>
      </c>
      <c r="G26" s="16"/>
    </row>
    <row r="27" spans="1:7">
      <c r="A27" s="933" t="s">
        <v>408</v>
      </c>
      <c r="B27" s="944"/>
      <c r="C27" s="323" t="s">
        <v>402</v>
      </c>
      <c r="D27" s="337">
        <v>1000</v>
      </c>
      <c r="E27" s="381">
        <v>4</v>
      </c>
      <c r="F27" s="22">
        <f t="shared" si="1"/>
        <v>4000</v>
      </c>
      <c r="G27" s="16"/>
    </row>
    <row r="28" spans="1:7">
      <c r="A28" s="933" t="s">
        <v>409</v>
      </c>
      <c r="B28" s="934"/>
      <c r="C28" s="323" t="s">
        <v>32</v>
      </c>
      <c r="D28" s="337">
        <v>695</v>
      </c>
      <c r="E28" s="381">
        <v>1</v>
      </c>
      <c r="F28" s="22">
        <f t="shared" si="1"/>
        <v>695</v>
      </c>
      <c r="G28" s="16"/>
    </row>
    <row r="29" spans="1:7">
      <c r="A29" s="945"/>
      <c r="B29" s="944"/>
      <c r="C29" s="323"/>
      <c r="D29" s="324"/>
      <c r="E29" s="347"/>
      <c r="F29" s="22">
        <f t="shared" si="1"/>
        <v>0</v>
      </c>
      <c r="G29" s="16"/>
    </row>
    <row r="30" spans="1:7">
      <c r="A30" s="945"/>
      <c r="B30" s="944"/>
      <c r="C30" s="323"/>
      <c r="D30" s="324"/>
      <c r="E30" s="347"/>
      <c r="F30" s="22">
        <f t="shared" si="1"/>
        <v>0</v>
      </c>
      <c r="G30" s="16"/>
    </row>
    <row r="31" spans="1:7" ht="17.25" thickBot="1">
      <c r="A31" s="946"/>
      <c r="B31" s="947"/>
      <c r="C31" s="325"/>
      <c r="D31" s="349"/>
      <c r="E31" s="350"/>
      <c r="F31" s="326">
        <f t="shared" si="1"/>
        <v>0</v>
      </c>
      <c r="G31" s="17"/>
    </row>
    <row r="32" spans="1:7" ht="17.25" thickBot="1">
      <c r="F32" s="4" t="s">
        <v>400</v>
      </c>
      <c r="G32" s="11">
        <f>SUM(F25:F31)</f>
        <v>15695</v>
      </c>
    </row>
    <row r="33" spans="1:7" ht="17.25" thickBot="1">
      <c r="A33" s="923" t="s">
        <v>410</v>
      </c>
      <c r="B33" s="923"/>
    </row>
    <row r="34" spans="1:7">
      <c r="A34" s="12" t="s">
        <v>411</v>
      </c>
      <c r="B34" s="13" t="s">
        <v>412</v>
      </c>
      <c r="C34" s="13" t="s">
        <v>413</v>
      </c>
      <c r="D34" s="13" t="s">
        <v>414</v>
      </c>
      <c r="E34" s="13" t="s">
        <v>415</v>
      </c>
      <c r="F34" s="13" t="s">
        <v>399</v>
      </c>
      <c r="G34" s="18"/>
    </row>
    <row r="35" spans="1:7">
      <c r="A35" s="351"/>
      <c r="B35" s="32"/>
      <c r="C35" s="352"/>
      <c r="D35" s="352"/>
      <c r="E35" s="81"/>
      <c r="F35" s="22">
        <v>0</v>
      </c>
      <c r="G35" s="19"/>
    </row>
    <row r="36" spans="1:7">
      <c r="A36" s="353" t="s">
        <v>416</v>
      </c>
      <c r="B36" s="354" t="s">
        <v>417</v>
      </c>
      <c r="C36" s="354" t="s">
        <v>193</v>
      </c>
      <c r="D36" s="354" t="s">
        <v>418</v>
      </c>
      <c r="E36" s="354" t="s">
        <v>398</v>
      </c>
      <c r="F36" s="354" t="s">
        <v>399</v>
      </c>
      <c r="G36" s="19"/>
    </row>
    <row r="37" spans="1:7">
      <c r="A37" s="28"/>
      <c r="B37" s="355"/>
      <c r="C37" s="355"/>
      <c r="D37" s="81"/>
      <c r="E37" s="27"/>
      <c r="F37" s="22">
        <v>0</v>
      </c>
      <c r="G37" s="16"/>
    </row>
    <row r="38" spans="1:7" ht="17.25" thickBot="1">
      <c r="A38" s="29"/>
      <c r="B38" s="24"/>
      <c r="C38" s="24"/>
      <c r="D38" s="24"/>
      <c r="E38" s="33"/>
      <c r="F38" s="33"/>
      <c r="G38" s="17"/>
    </row>
    <row r="39" spans="1:7" ht="17.25" thickBot="1">
      <c r="F39" s="4" t="s">
        <v>400</v>
      </c>
      <c r="G39" s="11">
        <f>SUM(F35:F38)</f>
        <v>0</v>
      </c>
    </row>
    <row r="40" spans="1:7" ht="17.25" thickBot="1">
      <c r="A40" s="923" t="s">
        <v>419</v>
      </c>
      <c r="B40" s="923"/>
    </row>
    <row r="41" spans="1:7">
      <c r="A41" s="12" t="s">
        <v>416</v>
      </c>
      <c r="B41" s="13" t="s">
        <v>417</v>
      </c>
      <c r="C41" s="13" t="s">
        <v>193</v>
      </c>
      <c r="D41" s="13" t="s">
        <v>418</v>
      </c>
      <c r="E41" s="13" t="s">
        <v>398</v>
      </c>
      <c r="F41" s="13" t="s">
        <v>399</v>
      </c>
      <c r="G41" s="18"/>
    </row>
    <row r="42" spans="1:7" ht="17.25" thickBot="1">
      <c r="A42" s="356"/>
      <c r="B42" s="360"/>
      <c r="C42" s="326"/>
      <c r="D42" s="326"/>
      <c r="E42" s="361"/>
      <c r="F42" s="326">
        <f>D42*E42</f>
        <v>0</v>
      </c>
      <c r="G42" s="357"/>
    </row>
    <row r="43" spans="1:7" ht="17.25" thickBot="1">
      <c r="F43" s="4" t="s">
        <v>400</v>
      </c>
      <c r="G43" s="11">
        <f>SUM(F42:F42)</f>
        <v>0</v>
      </c>
    </row>
    <row r="44" spans="1:7" ht="17.25" thickBot="1"/>
    <row r="45" spans="1:7" ht="17.25" thickBot="1">
      <c r="F45" s="4" t="s">
        <v>420</v>
      </c>
      <c r="G45" s="71">
        <f>SUM(G43,G39,G32,G22,G12)</f>
        <v>15695</v>
      </c>
    </row>
  </sheetData>
  <mergeCells count="29">
    <mergeCell ref="A29:B29"/>
    <mergeCell ref="A30:B30"/>
    <mergeCell ref="A31:B31"/>
    <mergeCell ref="A33:B33"/>
    <mergeCell ref="A40:B40"/>
    <mergeCell ref="A28:B28"/>
    <mergeCell ref="A17:B17"/>
    <mergeCell ref="A18:B18"/>
    <mergeCell ref="A19:B19"/>
    <mergeCell ref="A20:B20"/>
    <mergeCell ref="A21:B21"/>
    <mergeCell ref="A22:B22"/>
    <mergeCell ref="A23:B23"/>
    <mergeCell ref="A24:B24"/>
    <mergeCell ref="A25:B25"/>
    <mergeCell ref="A26:B26"/>
    <mergeCell ref="A27:B27"/>
    <mergeCell ref="A16:B16"/>
    <mergeCell ref="A1:C1"/>
    <mergeCell ref="D1:G1"/>
    <mergeCell ref="A3:G3"/>
    <mergeCell ref="A4:G4"/>
    <mergeCell ref="B6:G6"/>
    <mergeCell ref="A8:B8"/>
    <mergeCell ref="A9:B9"/>
    <mergeCell ref="A10:B10"/>
    <mergeCell ref="A11:B11"/>
    <mergeCell ref="A14:B14"/>
    <mergeCell ref="A15:B1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111"/>
  <sheetViews>
    <sheetView topLeftCell="A14" zoomScale="106" zoomScaleNormal="106" workbookViewId="0">
      <selection activeCell="D29" sqref="D29:D30"/>
    </sheetView>
  </sheetViews>
  <sheetFormatPr baseColWidth="10" defaultColWidth="11.42578125" defaultRowHeight="16.5"/>
  <cols>
    <col min="1" max="1" width="25.7109375" style="2" customWidth="1"/>
    <col min="2" max="2" width="21.7109375" style="2" customWidth="1"/>
    <col min="3" max="3" width="14" style="2" customWidth="1"/>
    <col min="4" max="4" width="13" style="2" bestFit="1" customWidth="1"/>
    <col min="5" max="5" width="15.7109375" style="2" customWidth="1"/>
    <col min="6" max="6" width="11.42578125" style="2"/>
    <col min="7" max="7" width="16.7109375" style="2" customWidth="1"/>
    <col min="8" max="9" width="11.42578125" style="2"/>
    <col min="10" max="10" width="14.7109375" style="2" customWidth="1"/>
    <col min="11" max="11" width="13.7109375" style="2" bestFit="1" customWidth="1"/>
    <col min="12" max="16384" width="11.42578125" style="2"/>
  </cols>
  <sheetData>
    <row r="1" spans="1:16" ht="77.25" customHeight="1" thickBot="1">
      <c r="A1" s="918"/>
      <c r="B1" s="919"/>
      <c r="C1" s="919"/>
      <c r="D1" s="704" t="s">
        <v>388</v>
      </c>
      <c r="E1" s="705"/>
      <c r="F1" s="705"/>
      <c r="G1" s="706"/>
    </row>
    <row r="2" spans="1:16" ht="17.25" thickBot="1">
      <c r="A2" s="8"/>
      <c r="B2" s="8"/>
      <c r="C2" s="8"/>
      <c r="D2" s="9"/>
      <c r="E2" s="9"/>
      <c r="F2" s="9"/>
      <c r="G2" s="9"/>
      <c r="I2" s="413"/>
      <c r="J2" s="423" t="s">
        <v>421</v>
      </c>
      <c r="K2" s="423" t="s">
        <v>422</v>
      </c>
    </row>
    <row r="3" spans="1:16" ht="32.25" thickBot="1">
      <c r="A3" s="747" t="str">
        <f>+'AU  Consul P2'!A3:I3</f>
        <v>SECRETARÍA DE TALENTO HUMANO Y SERVICIOS ADMINISTRATIVOS- DIRECCIÓN DE SERVICIOS GENERALES</v>
      </c>
      <c r="B3" s="748"/>
      <c r="C3" s="748"/>
      <c r="D3" s="748"/>
      <c r="E3" s="748"/>
      <c r="F3" s="748"/>
      <c r="G3" s="749"/>
      <c r="I3" s="419" t="s">
        <v>423</v>
      </c>
      <c r="J3" s="421">
        <v>95033</v>
      </c>
      <c r="K3" s="421">
        <f>+J3/3.78</f>
        <v>25141.005291005291</v>
      </c>
    </row>
    <row r="4" spans="1:16" s="1" customFormat="1" ht="38.450000000000003"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c r="I4" s="419" t="s">
        <v>424</v>
      </c>
      <c r="J4" s="421"/>
      <c r="K4" s="421">
        <v>24100</v>
      </c>
    </row>
    <row r="5" spans="1:16" ht="22.15" customHeight="1" thickBot="1">
      <c r="A5" s="453" t="s">
        <v>389</v>
      </c>
      <c r="B5" s="491">
        <f>+'PRESUPUESTO OFICIAL 2026'!B10</f>
        <v>1.1000000000000001</v>
      </c>
      <c r="C5" s="455"/>
      <c r="D5" s="455"/>
      <c r="E5" s="455"/>
      <c r="F5" s="456" t="s">
        <v>391</v>
      </c>
      <c r="G5" s="457" t="str">
        <f>+'PRESUPUESTO OFICIAL 2026'!H10</f>
        <v>GLO</v>
      </c>
      <c r="I5" s="419" t="s">
        <v>425</v>
      </c>
      <c r="J5" s="421"/>
      <c r="K5" s="421">
        <v>35000</v>
      </c>
    </row>
    <row r="6" spans="1:16" ht="76.150000000000006" customHeight="1" thickBot="1">
      <c r="A6" s="458" t="s">
        <v>392</v>
      </c>
      <c r="B6" s="961" t="str">
        <f>'PRESUPUESTO OFICIAL 2026'!$C$10</f>
        <v>Mantenimiento Preventivo Integral de Unidades Manejadoras de Aire (4,000 a 21,696 CFM - 15 a 25 TR) Incluyendo: elementos de transmisión, componentes eléctricos y de control, elementos mecánicos y de soporte, componentes hidráulicos y de refrigeración, calidad de aire, conforme a actividades definidas en el anexo técnico.</v>
      </c>
      <c r="C6" s="962"/>
      <c r="D6" s="962"/>
      <c r="E6" s="962"/>
      <c r="F6" s="962"/>
      <c r="G6" s="963"/>
      <c r="I6" s="420" t="s">
        <v>426</v>
      </c>
      <c r="J6" s="420"/>
      <c r="K6" s="422">
        <f>AVERAGE(K3:K5)</f>
        <v>28080.335097001764</v>
      </c>
    </row>
    <row r="7" spans="1:16">
      <c r="A7" s="459"/>
      <c r="B7" s="459"/>
      <c r="C7" s="459"/>
      <c r="D7" s="459"/>
      <c r="E7" s="459"/>
      <c r="F7" s="459"/>
      <c r="G7" s="459"/>
    </row>
    <row r="8" spans="1:16" ht="17.25" thickBot="1">
      <c r="A8" s="923" t="s">
        <v>394</v>
      </c>
      <c r="B8" s="923"/>
      <c r="C8" s="459"/>
      <c r="D8" s="459"/>
      <c r="E8" s="459"/>
      <c r="F8" s="459"/>
      <c r="G8" s="459"/>
    </row>
    <row r="9" spans="1:16">
      <c r="A9" s="955" t="s">
        <v>395</v>
      </c>
      <c r="B9" s="956"/>
      <c r="C9" s="461" t="s">
        <v>396</v>
      </c>
      <c r="D9" s="461" t="s">
        <v>397</v>
      </c>
      <c r="E9" s="461" t="s">
        <v>398</v>
      </c>
      <c r="F9" s="461" t="s">
        <v>399</v>
      </c>
      <c r="G9" s="462"/>
    </row>
    <row r="10" spans="1:16">
      <c r="A10" s="926" t="s">
        <v>427</v>
      </c>
      <c r="B10" s="927"/>
      <c r="C10" s="26" t="s">
        <v>428</v>
      </c>
      <c r="D10" s="21">
        <f>G44</f>
        <v>161904.37339699862</v>
      </c>
      <c r="E10" s="335">
        <v>0.05</v>
      </c>
      <c r="F10" s="22">
        <f>E10*D10</f>
        <v>8095.2186698499318</v>
      </c>
      <c r="G10" s="463"/>
      <c r="J10" s="147"/>
      <c r="K10" s="948"/>
      <c r="L10" s="948"/>
      <c r="M10" s="527"/>
      <c r="N10" s="528"/>
      <c r="O10" s="529"/>
      <c r="P10" s="530"/>
    </row>
    <row r="11" spans="1:16" ht="17.25" thickBot="1">
      <c r="A11" s="959"/>
      <c r="B11" s="960"/>
      <c r="C11" s="436"/>
      <c r="D11" s="512"/>
      <c r="E11" s="514"/>
      <c r="F11" s="22"/>
      <c r="G11" s="463"/>
      <c r="J11" s="147"/>
      <c r="K11" s="948"/>
      <c r="L11" s="948"/>
      <c r="M11" s="527"/>
      <c r="N11" s="531"/>
      <c r="O11" s="526"/>
      <c r="P11" s="530"/>
    </row>
    <row r="12" spans="1:16" ht="17.25" thickBot="1">
      <c r="A12" s="957"/>
      <c r="B12" s="958"/>
      <c r="C12" s="506"/>
      <c r="D12" s="513"/>
      <c r="E12" s="434"/>
      <c r="F12" s="22"/>
      <c r="G12" s="464"/>
    </row>
    <row r="13" spans="1:16" ht="17.25" thickBot="1">
      <c r="A13" s="459"/>
      <c r="B13" s="459"/>
      <c r="C13" s="459"/>
      <c r="D13" s="459"/>
      <c r="E13" s="459"/>
      <c r="F13" s="465" t="s">
        <v>400</v>
      </c>
      <c r="G13" s="25">
        <f>SUM(F10:F12)</f>
        <v>8095.2186698499318</v>
      </c>
    </row>
    <row r="14" spans="1:16">
      <c r="A14" s="459"/>
      <c r="B14" s="459"/>
      <c r="C14" s="459"/>
      <c r="D14" s="459"/>
      <c r="E14" s="459"/>
      <c r="F14" s="465"/>
      <c r="G14" s="336"/>
      <c r="K14" s="2">
        <v>10</v>
      </c>
    </row>
    <row r="15" spans="1:16" ht="17.25" thickBot="1">
      <c r="A15" s="930" t="s">
        <v>401</v>
      </c>
      <c r="B15" s="930"/>
      <c r="C15" s="459"/>
      <c r="D15" s="459"/>
      <c r="E15" s="459"/>
      <c r="F15" s="459"/>
      <c r="G15" s="459"/>
      <c r="J15" s="2" t="s">
        <v>88</v>
      </c>
      <c r="K15" s="2">
        <v>9</v>
      </c>
    </row>
    <row r="16" spans="1:16">
      <c r="A16" s="953" t="s">
        <v>395</v>
      </c>
      <c r="B16" s="954"/>
      <c r="C16" s="461" t="s">
        <v>402</v>
      </c>
      <c r="D16" s="461" t="s">
        <v>403</v>
      </c>
      <c r="E16" s="461" t="s">
        <v>404</v>
      </c>
      <c r="F16" s="461" t="s">
        <v>399</v>
      </c>
      <c r="G16" s="467"/>
      <c r="K16" s="2">
        <v>8</v>
      </c>
    </row>
    <row r="17" spans="1:13">
      <c r="A17" s="916" t="s">
        <v>429</v>
      </c>
      <c r="B17" s="917"/>
      <c r="C17" s="323" t="s">
        <v>430</v>
      </c>
      <c r="D17" s="507">
        <v>7000</v>
      </c>
      <c r="E17" s="323">
        <v>0.67</v>
      </c>
      <c r="F17" s="21">
        <f t="shared" ref="F17:F22" si="0">+D17*E17</f>
        <v>4690</v>
      </c>
      <c r="G17" s="463"/>
      <c r="K17" s="2">
        <v>6</v>
      </c>
    </row>
    <row r="18" spans="1:13">
      <c r="A18" s="916" t="s">
        <v>431</v>
      </c>
      <c r="B18" s="917"/>
      <c r="C18" s="323" t="s">
        <v>430</v>
      </c>
      <c r="D18" s="468">
        <v>3500</v>
      </c>
      <c r="E18" s="469">
        <v>0.17</v>
      </c>
      <c r="F18" s="22">
        <f>+D18*E18</f>
        <v>595</v>
      </c>
      <c r="G18" s="463"/>
      <c r="K18" s="2">
        <v>3</v>
      </c>
    </row>
    <row r="19" spans="1:13">
      <c r="A19" s="950" t="s">
        <v>432</v>
      </c>
      <c r="B19" s="951"/>
      <c r="C19" s="323" t="s">
        <v>430</v>
      </c>
      <c r="D19" s="468">
        <v>3500</v>
      </c>
      <c r="E19" s="470">
        <v>0.17</v>
      </c>
      <c r="F19" s="22">
        <f>+D19*E19</f>
        <v>595</v>
      </c>
      <c r="G19" s="471"/>
    </row>
    <row r="20" spans="1:13">
      <c r="A20" s="937"/>
      <c r="B20" s="938"/>
      <c r="C20" s="338"/>
      <c r="D20" s="492"/>
      <c r="E20" s="470"/>
      <c r="F20" s="22">
        <f>+D20*E20</f>
        <v>0</v>
      </c>
      <c r="G20" s="471"/>
    </row>
    <row r="21" spans="1:13" ht="27" customHeight="1">
      <c r="A21" s="937"/>
      <c r="B21" s="938"/>
      <c r="C21" s="338"/>
      <c r="D21" s="492"/>
      <c r="E21" s="470"/>
      <c r="F21" s="22">
        <f t="shared" si="0"/>
        <v>0</v>
      </c>
      <c r="G21" s="471"/>
    </row>
    <row r="22" spans="1:13" ht="27" customHeight="1" thickBot="1">
      <c r="A22" s="939"/>
      <c r="B22" s="940"/>
      <c r="C22" s="325"/>
      <c r="D22" s="473"/>
      <c r="E22" s="474"/>
      <c r="F22" s="326">
        <f t="shared" si="0"/>
        <v>0</v>
      </c>
      <c r="G22" s="475"/>
    </row>
    <row r="23" spans="1:13" ht="17.25" thickBot="1">
      <c r="A23" s="952"/>
      <c r="B23" s="952"/>
      <c r="C23" s="459"/>
      <c r="D23" s="459"/>
      <c r="E23" s="459"/>
      <c r="F23" s="465" t="s">
        <v>400</v>
      </c>
      <c r="G23" s="25">
        <f>SUM(F22,F21,F20,F19,F18,F17)</f>
        <v>5880</v>
      </c>
    </row>
    <row r="24" spans="1:13" ht="17.25" thickBot="1">
      <c r="A24" s="930" t="s">
        <v>405</v>
      </c>
      <c r="B24" s="930"/>
      <c r="C24" s="459"/>
      <c r="D24" s="459"/>
      <c r="E24" s="459"/>
      <c r="F24" s="459"/>
      <c r="G24" s="459"/>
    </row>
    <row r="25" spans="1:13">
      <c r="A25" s="953" t="s">
        <v>395</v>
      </c>
      <c r="B25" s="954"/>
      <c r="C25" s="461" t="s">
        <v>402</v>
      </c>
      <c r="D25" s="461" t="s">
        <v>403</v>
      </c>
      <c r="E25" s="461" t="s">
        <v>404</v>
      </c>
      <c r="F25" s="461" t="s">
        <v>399</v>
      </c>
      <c r="G25" s="467"/>
      <c r="I25" s="2" t="s">
        <v>88</v>
      </c>
      <c r="K25" s="83" t="s">
        <v>433</v>
      </c>
      <c r="L25" s="83" t="s">
        <v>320</v>
      </c>
      <c r="M25" s="83" t="s">
        <v>434</v>
      </c>
    </row>
    <row r="26" spans="1:13">
      <c r="A26" s="938" t="s">
        <v>435</v>
      </c>
      <c r="B26" s="938"/>
      <c r="C26" s="323" t="s">
        <v>436</v>
      </c>
      <c r="D26" s="337">
        <v>28100</v>
      </c>
      <c r="E26" s="442">
        <v>0.5</v>
      </c>
      <c r="F26" s="22">
        <f>+D26*E26</f>
        <v>14050</v>
      </c>
      <c r="G26" s="463"/>
      <c r="K26" s="83"/>
      <c r="L26" s="83">
        <v>64000</v>
      </c>
      <c r="M26" s="83">
        <f>L26/8</f>
        <v>8000</v>
      </c>
    </row>
    <row r="27" spans="1:13">
      <c r="A27" s="949" t="s">
        <v>437</v>
      </c>
      <c r="B27" s="938"/>
      <c r="C27" s="338" t="s">
        <v>436</v>
      </c>
      <c r="D27" s="337">
        <v>10000</v>
      </c>
      <c r="E27" s="443">
        <v>0.25</v>
      </c>
      <c r="F27" s="414">
        <f t="shared" ref="F27:F32" si="1">+D27*E27</f>
        <v>2500</v>
      </c>
      <c r="G27" s="463"/>
      <c r="K27" s="83"/>
      <c r="L27" s="83" t="s">
        <v>438</v>
      </c>
      <c r="M27" s="83">
        <f>M26</f>
        <v>8000</v>
      </c>
    </row>
    <row r="28" spans="1:13">
      <c r="A28" s="949" t="s">
        <v>439</v>
      </c>
      <c r="B28" s="949"/>
      <c r="C28" s="26" t="s">
        <v>440</v>
      </c>
      <c r="D28" s="492">
        <v>3400</v>
      </c>
      <c r="E28" s="383">
        <v>1</v>
      </c>
      <c r="F28" s="22">
        <f t="shared" si="1"/>
        <v>3400</v>
      </c>
      <c r="G28" s="463"/>
    </row>
    <row r="29" spans="1:13">
      <c r="A29" s="938" t="s">
        <v>441</v>
      </c>
      <c r="B29" s="938"/>
      <c r="C29" s="415" t="s">
        <v>442</v>
      </c>
      <c r="D29" s="492">
        <f>+K47</f>
        <v>58303.406666666669</v>
      </c>
      <c r="E29" s="444">
        <v>0.15</v>
      </c>
      <c r="F29" s="417">
        <f t="shared" si="1"/>
        <v>8745.5110000000004</v>
      </c>
      <c r="G29" s="463"/>
    </row>
    <row r="30" spans="1:13">
      <c r="A30" s="938" t="s">
        <v>443</v>
      </c>
      <c r="B30" s="938"/>
      <c r="C30" s="323" t="s">
        <v>440</v>
      </c>
      <c r="D30" s="492">
        <v>5553.333333333333</v>
      </c>
      <c r="E30" s="442">
        <v>0.25</v>
      </c>
      <c r="F30" s="22">
        <f t="shared" si="1"/>
        <v>1388.3333333333333</v>
      </c>
      <c r="G30" s="463"/>
      <c r="J30" s="2">
        <v>270000</v>
      </c>
    </row>
    <row r="31" spans="1:13">
      <c r="A31" s="938" t="s">
        <v>444</v>
      </c>
      <c r="B31" s="938"/>
      <c r="C31" s="323" t="s">
        <v>442</v>
      </c>
      <c r="D31" s="493">
        <v>42100</v>
      </c>
      <c r="E31" s="442">
        <v>0.1</v>
      </c>
      <c r="F31" s="22">
        <f t="shared" si="1"/>
        <v>4210</v>
      </c>
      <c r="G31" s="463"/>
    </row>
    <row r="32" spans="1:13" ht="17.25" thickBot="1">
      <c r="A32" s="949"/>
      <c r="B32" s="938"/>
      <c r="C32" s="325"/>
      <c r="D32" s="476"/>
      <c r="E32" s="350"/>
      <c r="F32" s="326">
        <f t="shared" si="1"/>
        <v>0</v>
      </c>
      <c r="G32" s="464"/>
      <c r="L32" s="83"/>
      <c r="M32" s="83"/>
    </row>
    <row r="33" spans="1:14" ht="17.25" thickBot="1">
      <c r="A33" s="459"/>
      <c r="B33" s="459"/>
      <c r="C33" s="459"/>
      <c r="D33" s="459"/>
      <c r="E33" s="459"/>
      <c r="F33" s="465" t="s">
        <v>400</v>
      </c>
      <c r="G33" s="25">
        <f>SUM(F26:F32)</f>
        <v>34293.844333333327</v>
      </c>
      <c r="K33" s="83"/>
      <c r="L33" s="83"/>
      <c r="M33" s="83"/>
    </row>
    <row r="34" spans="1:14" ht="17.25" thickBot="1">
      <c r="A34" s="923" t="s">
        <v>410</v>
      </c>
      <c r="B34" s="923"/>
      <c r="C34" s="459"/>
      <c r="D34" s="459"/>
      <c r="E34" s="459"/>
      <c r="F34" s="459"/>
      <c r="G34" s="459"/>
      <c r="K34" s="83"/>
      <c r="L34" s="83"/>
      <c r="M34" s="83"/>
    </row>
    <row r="35" spans="1:14">
      <c r="A35" s="460" t="s">
        <v>411</v>
      </c>
      <c r="B35" s="461" t="s">
        <v>412</v>
      </c>
      <c r="C35" s="461" t="s">
        <v>413</v>
      </c>
      <c r="D35" s="461" t="s">
        <v>414</v>
      </c>
      <c r="E35" s="461" t="s">
        <v>415</v>
      </c>
      <c r="F35" s="461" t="s">
        <v>399</v>
      </c>
      <c r="G35" s="467"/>
    </row>
    <row r="36" spans="1:14">
      <c r="A36" s="351"/>
      <c r="B36" s="32"/>
      <c r="C36" s="352"/>
      <c r="D36" s="352"/>
      <c r="E36" s="412"/>
      <c r="F36" s="22"/>
      <c r="G36" s="477"/>
    </row>
    <row r="37" spans="1:14">
      <c r="A37" s="478" t="s">
        <v>416</v>
      </c>
      <c r="B37" s="479" t="s">
        <v>417</v>
      </c>
      <c r="C37" s="479" t="s">
        <v>193</v>
      </c>
      <c r="D37" s="479" t="s">
        <v>418</v>
      </c>
      <c r="E37" s="479" t="s">
        <v>398</v>
      </c>
      <c r="F37" s="479" t="s">
        <v>399</v>
      </c>
      <c r="G37" s="477"/>
    </row>
    <row r="38" spans="1:14">
      <c r="A38" s="28"/>
      <c r="B38" s="355"/>
      <c r="C38" s="355"/>
      <c r="D38" s="81"/>
      <c r="E38" s="27"/>
      <c r="F38" s="22"/>
      <c r="G38" s="463"/>
    </row>
    <row r="39" spans="1:14" ht="17.25" thickBot="1">
      <c r="A39" s="29"/>
      <c r="B39" s="24"/>
      <c r="C39" s="24"/>
      <c r="D39" s="24"/>
      <c r="E39" s="33"/>
      <c r="F39" s="33"/>
      <c r="G39" s="464"/>
    </row>
    <row r="40" spans="1:14" ht="17.25" thickBot="1">
      <c r="A40" s="459"/>
      <c r="B40" s="459"/>
      <c r="C40" s="459"/>
      <c r="D40" s="459"/>
      <c r="E40" s="459"/>
      <c r="F40" s="465" t="s">
        <v>400</v>
      </c>
      <c r="G40" s="25">
        <f>SUM(F36:F39)</f>
        <v>0</v>
      </c>
    </row>
    <row r="41" spans="1:14" ht="17.25" thickBot="1">
      <c r="A41" s="923" t="s">
        <v>419</v>
      </c>
      <c r="B41" s="923"/>
      <c r="C41" s="459"/>
      <c r="D41" s="459"/>
      <c r="E41" s="459"/>
      <c r="F41" s="459"/>
      <c r="G41" s="459"/>
    </row>
    <row r="42" spans="1:14">
      <c r="A42" s="479" t="s">
        <v>416</v>
      </c>
      <c r="B42" s="479" t="s">
        <v>445</v>
      </c>
      <c r="C42" s="466" t="s">
        <v>446</v>
      </c>
      <c r="D42" s="461" t="s">
        <v>447</v>
      </c>
      <c r="E42" s="461" t="s">
        <v>448</v>
      </c>
      <c r="F42" s="461" t="s">
        <v>399</v>
      </c>
      <c r="G42" s="467"/>
    </row>
    <row r="43" spans="1:14">
      <c r="A43" s="439" t="str">
        <f>+Insumos!B39</f>
        <v xml:space="preserve">Oficial HVAC+Ayudante </v>
      </c>
      <c r="B43" s="355">
        <f>+Insumos!C40</f>
        <v>26152.364711232374</v>
      </c>
      <c r="C43" s="355">
        <f>+Insumos!D40</f>
        <v>14323.728638017281</v>
      </c>
      <c r="D43" s="326">
        <f>SUM(B43:C43)</f>
        <v>40476.093349249655</v>
      </c>
      <c r="E43" s="375">
        <v>4</v>
      </c>
      <c r="F43" s="326">
        <f>D43*E43</f>
        <v>161904.37339699862</v>
      </c>
      <c r="G43" s="480"/>
      <c r="J43" s="2" t="s">
        <v>441</v>
      </c>
      <c r="K43" s="2" t="s">
        <v>449</v>
      </c>
    </row>
    <row r="44" spans="1:14">
      <c r="A44" s="459"/>
      <c r="B44" s="459"/>
      <c r="C44" s="459"/>
      <c r="D44" s="459"/>
      <c r="E44" s="494"/>
      <c r="F44" s="465" t="s">
        <v>400</v>
      </c>
      <c r="G44" s="25">
        <f>SUM(F43:F43)</f>
        <v>161904.37339699862</v>
      </c>
      <c r="J44" s="2">
        <v>48000</v>
      </c>
      <c r="K44" s="2">
        <f>J44*1.19</f>
        <v>57120</v>
      </c>
    </row>
    <row r="45" spans="1:14" ht="17.25" thickBot="1">
      <c r="A45" s="459"/>
      <c r="B45" s="495"/>
      <c r="C45" s="459"/>
      <c r="D45" s="495"/>
      <c r="E45" s="459"/>
      <c r="F45" s="459"/>
      <c r="G45" s="459"/>
      <c r="J45" s="2">
        <v>75500</v>
      </c>
      <c r="K45" s="2">
        <f>+J45</f>
        <v>75500</v>
      </c>
      <c r="N45" s="2" t="s">
        <v>88</v>
      </c>
    </row>
    <row r="46" spans="1:14" ht="17.25" thickBot="1">
      <c r="A46" s="459"/>
      <c r="B46" s="459"/>
      <c r="C46" s="459"/>
      <c r="D46" s="459"/>
      <c r="E46" s="459"/>
      <c r="F46" s="465" t="s">
        <v>420</v>
      </c>
      <c r="G46" s="481">
        <f>SUM(G44,G40,G33,G23,G13)</f>
        <v>210173.43640018188</v>
      </c>
      <c r="J46" s="151">
        <v>35538</v>
      </c>
      <c r="K46" s="151">
        <f>J46*1.19</f>
        <v>42290.22</v>
      </c>
    </row>
    <row r="47" spans="1:14">
      <c r="K47" s="2">
        <f>AVERAGE(K44:K46)</f>
        <v>58303.406666666669</v>
      </c>
    </row>
    <row r="48" spans="1:14">
      <c r="G48" s="147"/>
    </row>
    <row r="54" spans="10:11">
      <c r="J54" s="2" t="s">
        <v>439</v>
      </c>
    </row>
    <row r="55" spans="10:11">
      <c r="J55" s="2">
        <v>11900</v>
      </c>
      <c r="K55" s="2">
        <f>J55/5</f>
        <v>2380</v>
      </c>
    </row>
    <row r="56" spans="10:11">
      <c r="J56" s="2">
        <v>12990</v>
      </c>
      <c r="K56" s="2">
        <f>J56/6</f>
        <v>2165</v>
      </c>
    </row>
    <row r="57" spans="10:11">
      <c r="J57" s="151">
        <v>16850</v>
      </c>
      <c r="K57" s="2">
        <f>J57/3</f>
        <v>5616.666666666667</v>
      </c>
    </row>
    <row r="58" spans="10:11">
      <c r="K58" s="2">
        <f>AVERAGE(K55:K57)</f>
        <v>3387.2222222222226</v>
      </c>
    </row>
    <row r="68" spans="10:10">
      <c r="J68" s="2" t="s">
        <v>450</v>
      </c>
    </row>
    <row r="69" spans="10:10">
      <c r="J69" s="2">
        <v>5900</v>
      </c>
    </row>
    <row r="70" spans="10:10">
      <c r="J70" s="2">
        <v>6900</v>
      </c>
    </row>
    <row r="71" spans="10:10">
      <c r="J71" s="151">
        <v>3860</v>
      </c>
    </row>
    <row r="72" spans="10:10">
      <c r="J72" s="2">
        <f>AVERAGE(J69:J71)</f>
        <v>5553.333333333333</v>
      </c>
    </row>
    <row r="87" spans="10:10">
      <c r="J87" s="2" t="s">
        <v>444</v>
      </c>
    </row>
    <row r="88" spans="10:10">
      <c r="J88" s="2">
        <v>46900</v>
      </c>
    </row>
    <row r="89" spans="10:10">
      <c r="J89" s="2">
        <f>30469*1.19</f>
        <v>36258.11</v>
      </c>
    </row>
    <row r="90" spans="10:10">
      <c r="J90" s="2">
        <v>43067</v>
      </c>
    </row>
    <row r="91" spans="10:10">
      <c r="J91" s="2">
        <f>AVERAGE(J88:J90)</f>
        <v>42075.036666666667</v>
      </c>
    </row>
    <row r="107" spans="9:10">
      <c r="I107" s="2">
        <v>49900</v>
      </c>
      <c r="J107" s="2">
        <f>I107/3.75</f>
        <v>13306.666666666666</v>
      </c>
    </row>
    <row r="108" spans="9:10">
      <c r="I108" s="2">
        <v>36900</v>
      </c>
      <c r="J108" s="2">
        <f>I108/3.75</f>
        <v>9840</v>
      </c>
    </row>
    <row r="109" spans="9:10">
      <c r="I109" s="2">
        <v>26900</v>
      </c>
      <c r="J109" s="2">
        <f>I109/4</f>
        <v>6725</v>
      </c>
    </row>
    <row r="111" spans="9:10">
      <c r="J111" s="2">
        <f>AVERAGE(J107:J109)</f>
        <v>9957.2222222222208</v>
      </c>
    </row>
  </sheetData>
  <mergeCells count="32">
    <mergeCell ref="D1:G1"/>
    <mergeCell ref="A3:G3"/>
    <mergeCell ref="A4:G4"/>
    <mergeCell ref="B6:G6"/>
    <mergeCell ref="A8:B8"/>
    <mergeCell ref="A26:B26"/>
    <mergeCell ref="A27:B27"/>
    <mergeCell ref="A28:B28"/>
    <mergeCell ref="A17:B17"/>
    <mergeCell ref="A1:C1"/>
    <mergeCell ref="A9:B9"/>
    <mergeCell ref="A10:B10"/>
    <mergeCell ref="A12:B12"/>
    <mergeCell ref="A15:B15"/>
    <mergeCell ref="A16:B16"/>
    <mergeCell ref="A11:B11"/>
    <mergeCell ref="K10:L10"/>
    <mergeCell ref="K11:L11"/>
    <mergeCell ref="A41:B41"/>
    <mergeCell ref="A30:B30"/>
    <mergeCell ref="A31:B31"/>
    <mergeCell ref="A32:B32"/>
    <mergeCell ref="A34:B34"/>
    <mergeCell ref="A29:B29"/>
    <mergeCell ref="A18:B18"/>
    <mergeCell ref="A19:B19"/>
    <mergeCell ref="A20:B20"/>
    <mergeCell ref="A21:B21"/>
    <mergeCell ref="A22:B22"/>
    <mergeCell ref="A23:B23"/>
    <mergeCell ref="A24:B24"/>
    <mergeCell ref="A25:B25"/>
  </mergeCells>
  <pageMargins left="0.7" right="0.7" top="0.75" bottom="0.75" header="0.3" footer="0.3"/>
  <pageSetup orientation="portrait"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6"/>
  <sheetViews>
    <sheetView topLeftCell="A6" zoomScale="95" zoomScaleNormal="95" workbookViewId="0">
      <selection activeCell="M6" sqref="M1:Q1048576"/>
    </sheetView>
  </sheetViews>
  <sheetFormatPr baseColWidth="10" defaultColWidth="11.42578125" defaultRowHeight="16.5"/>
  <cols>
    <col min="1" max="1" width="33" style="2" customWidth="1"/>
    <col min="2" max="2" width="20.5703125" style="2" customWidth="1"/>
    <col min="3" max="3" width="10.28515625" style="2" customWidth="1"/>
    <col min="4" max="4" width="11.140625" style="2" customWidth="1"/>
    <col min="5" max="6" width="11.42578125" style="2"/>
    <col min="7" max="7" width="16.7109375" style="2" customWidth="1"/>
    <col min="8" max="9" width="11.42578125" style="2"/>
    <col min="10" max="10" width="11.42578125" style="2" customWidth="1"/>
    <col min="11" max="16384" width="11.42578125" style="2"/>
  </cols>
  <sheetData>
    <row r="1" spans="1:7" ht="77.25" customHeight="1" thickBot="1">
      <c r="A1" s="918"/>
      <c r="B1" s="919"/>
      <c r="C1" s="919"/>
      <c r="D1" s="704" t="s">
        <v>388</v>
      </c>
      <c r="E1" s="705"/>
      <c r="F1" s="705"/>
      <c r="G1" s="706"/>
    </row>
    <row r="2" spans="1:7" ht="17.25" thickBot="1">
      <c r="A2" s="8"/>
      <c r="B2" s="8"/>
      <c r="C2" s="8"/>
      <c r="D2" s="9"/>
      <c r="E2" s="9"/>
      <c r="F2" s="9"/>
      <c r="G2" s="9"/>
    </row>
    <row r="3" spans="1:7" ht="17.25" thickBot="1">
      <c r="A3" s="747" t="str">
        <f>+'AU  Consul P2'!A3:I3</f>
        <v>SECRETARÍA DE TALENTO HUMANO Y SERVICIOS ADMINISTRATIVOS- DIRECCIÓN DE SERVICIOS GENERALES</v>
      </c>
      <c r="B3" s="748"/>
      <c r="C3" s="748"/>
      <c r="D3" s="748"/>
      <c r="E3" s="748"/>
      <c r="F3" s="748"/>
      <c r="G3" s="749"/>
    </row>
    <row r="4" spans="1:7" s="1" customFormat="1" ht="37.9"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17.25" thickBot="1">
      <c r="A5" s="364" t="s">
        <v>389</v>
      </c>
      <c r="B5" s="365">
        <f>+'PRESUPUESTO OFICIAL 2026'!B12</f>
        <v>1.2</v>
      </c>
      <c r="C5" s="3"/>
      <c r="D5" s="3"/>
      <c r="E5" s="3"/>
      <c r="F5" s="7" t="s">
        <v>391</v>
      </c>
      <c r="G5" s="363" t="str">
        <f>+'PRESUPUESTO OFICIAL 2026'!H10</f>
        <v>GLO</v>
      </c>
    </row>
    <row r="6" spans="1:7" ht="97.5" customHeight="1" thickBot="1">
      <c r="A6" s="10" t="s">
        <v>392</v>
      </c>
      <c r="B6" s="964" t="s">
        <v>332</v>
      </c>
      <c r="C6" s="965"/>
      <c r="D6" s="965"/>
      <c r="E6" s="965"/>
      <c r="F6" s="965"/>
      <c r="G6" s="966"/>
    </row>
    <row r="8" spans="1:7" ht="17.25" thickBot="1">
      <c r="A8" s="923" t="s">
        <v>394</v>
      </c>
      <c r="B8" s="923"/>
    </row>
    <row r="9" spans="1:7">
      <c r="A9" s="924" t="s">
        <v>395</v>
      </c>
      <c r="B9" s="925"/>
      <c r="C9" s="13" t="s">
        <v>396</v>
      </c>
      <c r="D9" s="13" t="s">
        <v>397</v>
      </c>
      <c r="E9" s="13" t="s">
        <v>398</v>
      </c>
      <c r="F9" s="13" t="s">
        <v>399</v>
      </c>
      <c r="G9" s="14"/>
    </row>
    <row r="10" spans="1:7">
      <c r="A10" s="967" t="s">
        <v>427</v>
      </c>
      <c r="B10" s="968"/>
      <c r="C10" s="26" t="s">
        <v>428</v>
      </c>
      <c r="D10" s="32">
        <f>G44</f>
        <v>141666.32672237378</v>
      </c>
      <c r="E10" s="31">
        <v>0.05</v>
      </c>
      <c r="F10" s="32">
        <f>E10*D10</f>
        <v>7083.3163361186889</v>
      </c>
      <c r="G10" s="15"/>
    </row>
    <row r="11" spans="1:7" ht="17.25" thickBot="1">
      <c r="A11" s="959"/>
      <c r="B11" s="960"/>
      <c r="C11" s="436"/>
      <c r="D11" s="512"/>
      <c r="E11" s="514"/>
      <c r="F11" s="32"/>
      <c r="G11" s="15"/>
    </row>
    <row r="12" spans="1:7" ht="17.25" thickBot="1">
      <c r="A12" s="957"/>
      <c r="B12" s="958"/>
      <c r="C12" s="506"/>
      <c r="D12" s="513"/>
      <c r="E12" s="434"/>
      <c r="F12" s="32"/>
      <c r="G12" s="17"/>
    </row>
    <row r="13" spans="1:7" ht="17.25" thickBot="1">
      <c r="F13" s="4" t="s">
        <v>400</v>
      </c>
      <c r="G13" s="25">
        <f>SUM(F10:F12)</f>
        <v>7083.3163361186889</v>
      </c>
    </row>
    <row r="14" spans="1:7">
      <c r="F14" s="4"/>
      <c r="G14" s="336"/>
    </row>
    <row r="15" spans="1:7" ht="17.25" thickBot="1">
      <c r="A15" s="930" t="s">
        <v>401</v>
      </c>
      <c r="B15" s="930"/>
    </row>
    <row r="16" spans="1:7">
      <c r="A16" s="931" t="s">
        <v>395</v>
      </c>
      <c r="B16" s="932"/>
      <c r="C16" s="13" t="s">
        <v>402</v>
      </c>
      <c r="D16" s="13" t="s">
        <v>403</v>
      </c>
      <c r="E16" s="13" t="s">
        <v>404</v>
      </c>
      <c r="F16" s="13" t="s">
        <v>399</v>
      </c>
      <c r="G16" s="18"/>
    </row>
    <row r="17" spans="1:12">
      <c r="A17" s="916" t="s">
        <v>429</v>
      </c>
      <c r="B17" s="917"/>
      <c r="C17" s="323" t="s">
        <v>430</v>
      </c>
      <c r="D17" s="507">
        <v>7000</v>
      </c>
      <c r="E17" s="369">
        <f>20/60</f>
        <v>0.33333333333333331</v>
      </c>
      <c r="F17" s="22">
        <f t="shared" ref="F17:F22" si="0">+D17*E17</f>
        <v>2333.333333333333</v>
      </c>
      <c r="G17" s="16"/>
    </row>
    <row r="18" spans="1:12">
      <c r="A18" s="916" t="s">
        <v>431</v>
      </c>
      <c r="B18" s="917"/>
      <c r="C18" s="323" t="s">
        <v>430</v>
      </c>
      <c r="D18" s="511">
        <v>3500</v>
      </c>
      <c r="E18" s="469">
        <v>0.17</v>
      </c>
      <c r="F18" s="22">
        <f>+D18*E18</f>
        <v>595</v>
      </c>
      <c r="G18" s="16"/>
      <c r="L18" s="432"/>
    </row>
    <row r="19" spans="1:12">
      <c r="A19" s="950" t="s">
        <v>432</v>
      </c>
      <c r="B19" s="951"/>
      <c r="C19" s="323" t="s">
        <v>430</v>
      </c>
      <c r="D19" s="511">
        <v>3500</v>
      </c>
      <c r="E19" s="470">
        <v>0.17</v>
      </c>
      <c r="F19" s="22">
        <f>+D19*E19</f>
        <v>595</v>
      </c>
      <c r="G19" s="343"/>
    </row>
    <row r="20" spans="1:12">
      <c r="A20" s="937"/>
      <c r="B20" s="938"/>
      <c r="C20" s="338"/>
      <c r="D20" s="341"/>
      <c r="E20" s="342"/>
      <c r="F20" s="22">
        <f t="shared" si="0"/>
        <v>0</v>
      </c>
      <c r="G20" s="343"/>
    </row>
    <row r="21" spans="1:12">
      <c r="A21" s="937"/>
      <c r="B21" s="938"/>
      <c r="C21" s="338"/>
      <c r="D21" s="341"/>
      <c r="E21" s="342"/>
      <c r="F21" s="22">
        <f t="shared" si="0"/>
        <v>0</v>
      </c>
      <c r="G21" s="343"/>
    </row>
    <row r="22" spans="1:12" ht="17.25" thickBot="1">
      <c r="A22" s="939"/>
      <c r="B22" s="940"/>
      <c r="C22" s="325"/>
      <c r="D22" s="344"/>
      <c r="E22" s="345"/>
      <c r="F22" s="326">
        <f t="shared" si="0"/>
        <v>0</v>
      </c>
      <c r="G22" s="346"/>
    </row>
    <row r="23" spans="1:12" ht="17.25" thickBot="1">
      <c r="A23" s="941"/>
      <c r="B23" s="941"/>
      <c r="F23" s="4" t="s">
        <v>400</v>
      </c>
      <c r="G23" s="25">
        <f>SUM(F22,F21,F20,F19,F18,F17)</f>
        <v>3523.333333333333</v>
      </c>
    </row>
    <row r="24" spans="1:12" ht="17.25" thickBot="1">
      <c r="A24" s="930" t="s">
        <v>405</v>
      </c>
      <c r="B24" s="930"/>
    </row>
    <row r="25" spans="1:12">
      <c r="A25" s="931" t="s">
        <v>395</v>
      </c>
      <c r="B25" s="932"/>
      <c r="C25" s="13" t="s">
        <v>402</v>
      </c>
      <c r="D25" s="13" t="s">
        <v>403</v>
      </c>
      <c r="E25" s="13" t="s">
        <v>404</v>
      </c>
      <c r="F25" s="13" t="s">
        <v>399</v>
      </c>
      <c r="G25" s="18"/>
    </row>
    <row r="26" spans="1:12">
      <c r="A26" s="969" t="s">
        <v>435</v>
      </c>
      <c r="B26" s="969"/>
      <c r="C26" s="323" t="s">
        <v>436</v>
      </c>
      <c r="D26" s="507">
        <v>28100</v>
      </c>
      <c r="E26" s="450">
        <v>0.2</v>
      </c>
      <c r="F26" s="32">
        <f>+D26*E26</f>
        <v>5620</v>
      </c>
      <c r="G26" s="16"/>
    </row>
    <row r="27" spans="1:12">
      <c r="A27" s="970" t="s">
        <v>437</v>
      </c>
      <c r="B27" s="969"/>
      <c r="C27" s="338" t="s">
        <v>436</v>
      </c>
      <c r="D27" s="515">
        <v>10000</v>
      </c>
      <c r="E27" s="451">
        <v>0.15</v>
      </c>
      <c r="F27" s="32">
        <f t="shared" ref="F27:F32" si="1">+D27*E27</f>
        <v>1500</v>
      </c>
      <c r="G27" s="16"/>
    </row>
    <row r="28" spans="1:12">
      <c r="A28" s="970" t="s">
        <v>439</v>
      </c>
      <c r="B28" s="970"/>
      <c r="C28" s="26" t="s">
        <v>440</v>
      </c>
      <c r="D28" s="516">
        <v>3400</v>
      </c>
      <c r="E28" s="450">
        <v>1</v>
      </c>
      <c r="F28" s="32">
        <f t="shared" si="1"/>
        <v>3400</v>
      </c>
      <c r="G28" s="16"/>
    </row>
    <row r="29" spans="1:12">
      <c r="A29" s="969" t="s">
        <v>441</v>
      </c>
      <c r="B29" s="969"/>
      <c r="C29" s="415" t="s">
        <v>442</v>
      </c>
      <c r="D29" s="517">
        <f>+'APU 1,1'!D29</f>
        <v>58303.406666666669</v>
      </c>
      <c r="E29" s="450">
        <v>0.1</v>
      </c>
      <c r="F29" s="32">
        <f t="shared" si="1"/>
        <v>5830.3406666666669</v>
      </c>
      <c r="G29" s="16"/>
      <c r="K29" s="941"/>
      <c r="L29" s="941"/>
    </row>
    <row r="30" spans="1:12">
      <c r="A30" s="969" t="s">
        <v>443</v>
      </c>
      <c r="B30" s="969"/>
      <c r="C30" s="323" t="s">
        <v>440</v>
      </c>
      <c r="D30" s="516">
        <f>+'APU 1,1'!D30</f>
        <v>5553.333333333333</v>
      </c>
      <c r="E30" s="450">
        <v>0.25</v>
      </c>
      <c r="F30" s="32">
        <f t="shared" si="1"/>
        <v>1388.3333333333333</v>
      </c>
      <c r="G30" s="16"/>
    </row>
    <row r="31" spans="1:12">
      <c r="A31" s="969" t="s">
        <v>444</v>
      </c>
      <c r="B31" s="969"/>
      <c r="C31" s="323" t="s">
        <v>442</v>
      </c>
      <c r="D31" s="518">
        <v>42100</v>
      </c>
      <c r="E31" s="450">
        <v>0.1</v>
      </c>
      <c r="F31" s="32">
        <f t="shared" si="1"/>
        <v>4210</v>
      </c>
      <c r="G31" s="16"/>
    </row>
    <row r="32" spans="1:12" ht="17.25" thickBot="1">
      <c r="A32" s="946"/>
      <c r="B32" s="947"/>
      <c r="C32" s="325"/>
      <c r="D32" s="349"/>
      <c r="E32" s="350"/>
      <c r="F32" s="326">
        <f t="shared" si="1"/>
        <v>0</v>
      </c>
      <c r="G32" s="17"/>
    </row>
    <row r="33" spans="1:7" ht="17.25" thickBot="1">
      <c r="F33" s="4" t="s">
        <v>400</v>
      </c>
      <c r="G33" s="11">
        <f>SUM(F26:F32)</f>
        <v>21948.673999999999</v>
      </c>
    </row>
    <row r="34" spans="1:7" ht="17.25" thickBot="1">
      <c r="A34" s="923" t="s">
        <v>410</v>
      </c>
      <c r="B34" s="923"/>
    </row>
    <row r="35" spans="1:7">
      <c r="A35" s="12" t="s">
        <v>411</v>
      </c>
      <c r="B35" s="13" t="s">
        <v>412</v>
      </c>
      <c r="C35" s="13" t="s">
        <v>413</v>
      </c>
      <c r="D35" s="13" t="s">
        <v>414</v>
      </c>
      <c r="E35" s="13" t="s">
        <v>415</v>
      </c>
      <c r="F35" s="13" t="s">
        <v>399</v>
      </c>
      <c r="G35" s="18"/>
    </row>
    <row r="36" spans="1:7">
      <c r="A36" s="351"/>
      <c r="B36" s="32"/>
      <c r="C36" s="352"/>
      <c r="D36" s="352"/>
      <c r="E36" s="81"/>
      <c r="F36" s="22"/>
      <c r="G36" s="19"/>
    </row>
    <row r="37" spans="1:7">
      <c r="A37" s="353" t="s">
        <v>416</v>
      </c>
      <c r="B37" s="354" t="s">
        <v>417</v>
      </c>
      <c r="C37" s="354" t="s">
        <v>193</v>
      </c>
      <c r="D37" s="354" t="s">
        <v>418</v>
      </c>
      <c r="E37" s="354" t="s">
        <v>398</v>
      </c>
      <c r="F37" s="354" t="s">
        <v>399</v>
      </c>
      <c r="G37" s="19"/>
    </row>
    <row r="38" spans="1:7">
      <c r="A38" s="28"/>
      <c r="B38" s="355"/>
      <c r="C38" s="355"/>
      <c r="D38" s="81"/>
      <c r="E38" s="27"/>
      <c r="F38" s="22"/>
      <c r="G38" s="16"/>
    </row>
    <row r="39" spans="1:7" ht="17.25" thickBot="1">
      <c r="A39" s="29"/>
      <c r="B39" s="24"/>
      <c r="C39" s="24"/>
      <c r="D39" s="24"/>
      <c r="E39" s="33"/>
      <c r="F39" s="33"/>
      <c r="G39" s="17"/>
    </row>
    <row r="40" spans="1:7" ht="17.25" thickBot="1">
      <c r="F40" s="4" t="s">
        <v>400</v>
      </c>
      <c r="G40" s="11">
        <f>SUM(F36:F39)</f>
        <v>0</v>
      </c>
    </row>
    <row r="41" spans="1:7" ht="17.25" thickBot="1">
      <c r="A41" s="923" t="s">
        <v>419</v>
      </c>
      <c r="B41" s="923"/>
    </row>
    <row r="42" spans="1:7">
      <c r="A42" s="354" t="s">
        <v>416</v>
      </c>
      <c r="B42" s="354" t="s">
        <v>445</v>
      </c>
      <c r="C42" s="435" t="s">
        <v>446</v>
      </c>
      <c r="D42" s="13" t="s">
        <v>447</v>
      </c>
      <c r="E42" s="13" t="s">
        <v>448</v>
      </c>
      <c r="F42" s="13" t="s">
        <v>399</v>
      </c>
      <c r="G42" s="18"/>
    </row>
    <row r="43" spans="1:7" ht="17.25" thickBot="1">
      <c r="A43" s="441" t="str">
        <f>Insumos!B39</f>
        <v xml:space="preserve">Oficial HVAC+Ayudante </v>
      </c>
      <c r="B43" s="355">
        <f>+Insumos!C40</f>
        <v>26152.364711232374</v>
      </c>
      <c r="C43" s="355">
        <f>+Insumos!D40</f>
        <v>14323.728638017281</v>
      </c>
      <c r="D43" s="326">
        <f>SUM(B43:C43)</f>
        <v>40476.093349249655</v>
      </c>
      <c r="E43" s="375">
        <v>3.5</v>
      </c>
      <c r="F43" s="33">
        <f>D43*E43</f>
        <v>141666.32672237378</v>
      </c>
      <c r="G43" s="357"/>
    </row>
    <row r="44" spans="1:7" ht="17.25" thickBot="1">
      <c r="D44" s="147"/>
      <c r="F44" s="4" t="s">
        <v>400</v>
      </c>
      <c r="G44" s="11">
        <f>SUM(F43:F43)</f>
        <v>141666.32672237378</v>
      </c>
    </row>
    <row r="45" spans="1:7" ht="17.25" thickBot="1"/>
    <row r="46" spans="1:7" ht="17.25" thickBot="1">
      <c r="F46" s="4" t="s">
        <v>420</v>
      </c>
      <c r="G46" s="71">
        <f>SUM(G44,G40,G33,G23,G13)</f>
        <v>174221.65039182582</v>
      </c>
    </row>
  </sheetData>
  <mergeCells count="31">
    <mergeCell ref="A24:B24"/>
    <mergeCell ref="A31:B31"/>
    <mergeCell ref="A32:B32"/>
    <mergeCell ref="A34:B34"/>
    <mergeCell ref="A41:B41"/>
    <mergeCell ref="A25:B25"/>
    <mergeCell ref="A26:B26"/>
    <mergeCell ref="A27:B27"/>
    <mergeCell ref="A28:B28"/>
    <mergeCell ref="A30:B30"/>
    <mergeCell ref="A19:B19"/>
    <mergeCell ref="A20:B20"/>
    <mergeCell ref="A21:B21"/>
    <mergeCell ref="A22:B22"/>
    <mergeCell ref="A23:B23"/>
    <mergeCell ref="A12:B12"/>
    <mergeCell ref="A11:B11"/>
    <mergeCell ref="K29:L29"/>
    <mergeCell ref="A17:B17"/>
    <mergeCell ref="A1:C1"/>
    <mergeCell ref="D1:G1"/>
    <mergeCell ref="A3:G3"/>
    <mergeCell ref="A4:G4"/>
    <mergeCell ref="B6:G6"/>
    <mergeCell ref="A8:B8"/>
    <mergeCell ref="A9:B9"/>
    <mergeCell ref="A10:B10"/>
    <mergeCell ref="A15:B15"/>
    <mergeCell ref="A16:B16"/>
    <mergeCell ref="A29:B29"/>
    <mergeCell ref="A18:B1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47"/>
  <sheetViews>
    <sheetView topLeftCell="A27" zoomScale="118" zoomScaleNormal="118" workbookViewId="0">
      <selection sqref="A1:C1"/>
    </sheetView>
  </sheetViews>
  <sheetFormatPr baseColWidth="10" defaultColWidth="11.42578125" defaultRowHeight="16.5"/>
  <cols>
    <col min="1" max="1" width="33" style="2" customWidth="1"/>
    <col min="2" max="2" width="19.7109375" style="2" customWidth="1"/>
    <col min="3" max="3" width="12" style="2" customWidth="1"/>
    <col min="4" max="4" width="13.85546875" style="2" customWidth="1"/>
    <col min="5" max="5" width="11.42578125" style="2"/>
    <col min="6" max="6" width="16.140625" style="2" customWidth="1"/>
    <col min="7" max="7" width="16.7109375" style="2" customWidth="1"/>
    <col min="8" max="8" width="7.5703125" style="2" customWidth="1"/>
    <col min="9" max="9" width="11.42578125" style="2"/>
    <col min="10" max="10" width="13.85546875" style="2" customWidth="1"/>
    <col min="11" max="16384" width="11.42578125" style="2"/>
  </cols>
  <sheetData>
    <row r="1" spans="1:7" ht="77.25" customHeight="1" thickBot="1">
      <c r="A1" s="918"/>
      <c r="B1" s="919"/>
      <c r="C1" s="919"/>
      <c r="D1" s="704" t="s">
        <v>388</v>
      </c>
      <c r="E1" s="705"/>
      <c r="F1" s="705"/>
      <c r="G1" s="706"/>
    </row>
    <row r="2" spans="1:7" ht="17.25" thickBot="1">
      <c r="A2" s="8"/>
      <c r="B2" s="8"/>
      <c r="C2" s="8"/>
      <c r="D2" s="9"/>
      <c r="E2" s="9"/>
      <c r="F2" s="9"/>
      <c r="G2" s="9"/>
    </row>
    <row r="3" spans="1:7" ht="17.25" thickBot="1">
      <c r="A3" s="747" t="str">
        <f>+'AU  Consul P2'!A3:I3</f>
        <v>SECRETARÍA DE TALENTO HUMANO Y SERVICIOS ADMINISTRATIVOS- DIRECCIÓN DE SERVICIOS GENERALES</v>
      </c>
      <c r="B3" s="748"/>
      <c r="C3" s="748"/>
      <c r="D3" s="748"/>
      <c r="E3" s="748"/>
      <c r="F3" s="748"/>
      <c r="G3" s="749"/>
    </row>
    <row r="4" spans="1:7" s="1" customFormat="1" ht="50.4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17.25" thickBot="1">
      <c r="A5" s="364" t="s">
        <v>389</v>
      </c>
      <c r="B5" s="365">
        <f>+'PRESUPUESTO OFICIAL 2026'!B13</f>
        <v>1.3</v>
      </c>
      <c r="C5" s="3"/>
      <c r="D5" s="3"/>
      <c r="E5" s="3"/>
      <c r="F5" s="7" t="s">
        <v>391</v>
      </c>
      <c r="G5" s="363" t="str">
        <f>+'PRESUPUESTO OFICIAL 2026'!H13</f>
        <v>GLO</v>
      </c>
    </row>
    <row r="6" spans="1:7" ht="77.45" customHeight="1" thickBot="1">
      <c r="A6" s="10" t="s">
        <v>392</v>
      </c>
      <c r="B6" s="920" t="s">
        <v>333</v>
      </c>
      <c r="C6" s="971"/>
      <c r="D6" s="971"/>
      <c r="E6" s="971"/>
      <c r="F6" s="971"/>
      <c r="G6" s="972"/>
    </row>
    <row r="8" spans="1:7" ht="17.25" thickBot="1">
      <c r="A8" s="923" t="s">
        <v>394</v>
      </c>
      <c r="B8" s="923"/>
    </row>
    <row r="9" spans="1:7">
      <c r="A9" s="924" t="s">
        <v>395</v>
      </c>
      <c r="B9" s="925"/>
      <c r="C9" s="13" t="s">
        <v>396</v>
      </c>
      <c r="D9" s="13" t="s">
        <v>397</v>
      </c>
      <c r="E9" s="13" t="s">
        <v>398</v>
      </c>
      <c r="F9" s="13" t="s">
        <v>399</v>
      </c>
      <c r="G9" s="14"/>
    </row>
    <row r="10" spans="1:7">
      <c r="A10" s="926" t="s">
        <v>427</v>
      </c>
      <c r="B10" s="927"/>
      <c r="C10" s="26" t="s">
        <v>428</v>
      </c>
      <c r="D10" s="21">
        <f>G43</f>
        <v>141666.32672237378</v>
      </c>
      <c r="E10" s="335">
        <v>0.05</v>
      </c>
      <c r="F10" s="22">
        <f>E10*D10</f>
        <v>7083.3163361186889</v>
      </c>
      <c r="G10" s="15"/>
    </row>
    <row r="11" spans="1:7" ht="17.25" thickBot="1">
      <c r="A11" s="928"/>
      <c r="B11" s="929"/>
      <c r="C11" s="24"/>
      <c r="D11" s="24"/>
      <c r="E11" s="368"/>
      <c r="F11" s="326"/>
      <c r="G11" s="17"/>
    </row>
    <row r="12" spans="1:7" ht="17.25" thickBot="1">
      <c r="F12" s="4" t="s">
        <v>400</v>
      </c>
      <c r="G12" s="25">
        <f>SUM(F10:F11)</f>
        <v>7083.3163361186889</v>
      </c>
    </row>
    <row r="13" spans="1:7">
      <c r="F13" s="4"/>
      <c r="G13" s="336"/>
    </row>
    <row r="14" spans="1:7" ht="17.25" thickBot="1">
      <c r="A14" s="930" t="s">
        <v>401</v>
      </c>
      <c r="B14" s="930"/>
    </row>
    <row r="15" spans="1:7">
      <c r="A15" s="931" t="s">
        <v>395</v>
      </c>
      <c r="B15" s="932"/>
      <c r="C15" s="13" t="s">
        <v>402</v>
      </c>
      <c r="D15" s="13" t="s">
        <v>403</v>
      </c>
      <c r="E15" s="13" t="s">
        <v>404</v>
      </c>
      <c r="F15" s="13" t="s">
        <v>399</v>
      </c>
      <c r="G15" s="18"/>
    </row>
    <row r="16" spans="1:7" ht="16.5" customHeight="1">
      <c r="A16" s="916" t="s">
        <v>429</v>
      </c>
      <c r="B16" s="917"/>
      <c r="C16" s="323" t="s">
        <v>430</v>
      </c>
      <c r="D16" s="366">
        <v>7000</v>
      </c>
      <c r="E16" s="369">
        <v>0.5</v>
      </c>
      <c r="F16" s="22">
        <f t="shared" ref="F16:F21" si="0">+D16*E16</f>
        <v>3500</v>
      </c>
      <c r="G16" s="16"/>
    </row>
    <row r="17" spans="1:7">
      <c r="A17" s="916" t="s">
        <v>431</v>
      </c>
      <c r="B17" s="917"/>
      <c r="C17" s="323" t="s">
        <v>430</v>
      </c>
      <c r="D17" s="468">
        <v>3500</v>
      </c>
      <c r="E17" s="469">
        <v>0.17</v>
      </c>
      <c r="F17" s="22">
        <f>+D17*E17</f>
        <v>595</v>
      </c>
      <c r="G17" s="16"/>
    </row>
    <row r="18" spans="1:7">
      <c r="A18" s="950" t="s">
        <v>432</v>
      </c>
      <c r="B18" s="951"/>
      <c r="C18" s="323" t="s">
        <v>430</v>
      </c>
      <c r="D18" s="468">
        <v>3500</v>
      </c>
      <c r="E18" s="470">
        <v>0.17</v>
      </c>
      <c r="F18" s="22">
        <f>+D18*E18</f>
        <v>595</v>
      </c>
      <c r="G18" s="343"/>
    </row>
    <row r="19" spans="1:7">
      <c r="A19" s="933"/>
      <c r="B19" s="934"/>
      <c r="C19" s="338"/>
      <c r="D19" s="367"/>
      <c r="E19" s="342"/>
      <c r="F19" s="22">
        <f t="shared" si="0"/>
        <v>0</v>
      </c>
      <c r="G19" s="343"/>
    </row>
    <row r="20" spans="1:7">
      <c r="A20" s="933"/>
      <c r="B20" s="934"/>
      <c r="C20" s="338"/>
      <c r="D20" s="367"/>
      <c r="E20" s="342"/>
      <c r="F20" s="22">
        <f t="shared" si="0"/>
        <v>0</v>
      </c>
      <c r="G20" s="343"/>
    </row>
    <row r="21" spans="1:7" ht="17.25" thickBot="1">
      <c r="A21" s="946"/>
      <c r="B21" s="973"/>
      <c r="C21" s="325"/>
      <c r="D21" s="344"/>
      <c r="E21" s="345"/>
      <c r="F21" s="326">
        <f t="shared" si="0"/>
        <v>0</v>
      </c>
      <c r="G21" s="346"/>
    </row>
    <row r="22" spans="1:7" ht="17.25" thickBot="1">
      <c r="A22" s="941"/>
      <c r="B22" s="941"/>
      <c r="F22" s="4" t="s">
        <v>400</v>
      </c>
      <c r="G22" s="25">
        <f>SUM(F21,F20,F19,F18,F17,F16)</f>
        <v>4690</v>
      </c>
    </row>
    <row r="23" spans="1:7" ht="17.25" thickBot="1">
      <c r="A23" s="930" t="s">
        <v>405</v>
      </c>
      <c r="B23" s="930"/>
    </row>
    <row r="24" spans="1:7">
      <c r="A24" s="931" t="s">
        <v>395</v>
      </c>
      <c r="B24" s="932"/>
      <c r="C24" s="13" t="s">
        <v>402</v>
      </c>
      <c r="D24" s="13" t="s">
        <v>403</v>
      </c>
      <c r="E24" s="13" t="s">
        <v>404</v>
      </c>
      <c r="F24" s="13" t="s">
        <v>399</v>
      </c>
      <c r="G24" s="18"/>
    </row>
    <row r="25" spans="1:7">
      <c r="A25" s="969" t="s">
        <v>435</v>
      </c>
      <c r="B25" s="969"/>
      <c r="C25" s="323" t="s">
        <v>436</v>
      </c>
      <c r="D25" s="445">
        <v>28100</v>
      </c>
      <c r="E25" s="450">
        <v>0.35</v>
      </c>
      <c r="F25" s="22">
        <f>D25*E25</f>
        <v>9835</v>
      </c>
      <c r="G25" s="16"/>
    </row>
    <row r="26" spans="1:7">
      <c r="A26" s="970" t="s">
        <v>437</v>
      </c>
      <c r="B26" s="969"/>
      <c r="C26" s="338" t="s">
        <v>436</v>
      </c>
      <c r="D26" s="446">
        <v>10000</v>
      </c>
      <c r="E26" s="510">
        <v>0.2</v>
      </c>
      <c r="F26" s="22">
        <f t="shared" ref="F26:F31" si="1">+D26*E26</f>
        <v>2000</v>
      </c>
      <c r="G26" s="16"/>
    </row>
    <row r="27" spans="1:7">
      <c r="A27" s="970" t="s">
        <v>439</v>
      </c>
      <c r="B27" s="970"/>
      <c r="C27" s="26" t="s">
        <v>440</v>
      </c>
      <c r="D27" s="447">
        <v>3400</v>
      </c>
      <c r="E27" s="450">
        <v>1</v>
      </c>
      <c r="F27" s="22">
        <f t="shared" si="1"/>
        <v>3400</v>
      </c>
      <c r="G27" s="16"/>
    </row>
    <row r="28" spans="1:7">
      <c r="A28" s="969" t="s">
        <v>441</v>
      </c>
      <c r="B28" s="969"/>
      <c r="C28" s="415" t="s">
        <v>442</v>
      </c>
      <c r="D28" s="448">
        <f>+'APU 1,2'!D29</f>
        <v>58303.406666666669</v>
      </c>
      <c r="E28" s="450">
        <v>0.12</v>
      </c>
      <c r="F28" s="22">
        <f t="shared" si="1"/>
        <v>6996.4088000000002</v>
      </c>
      <c r="G28" s="16"/>
    </row>
    <row r="29" spans="1:7">
      <c r="A29" s="969" t="s">
        <v>443</v>
      </c>
      <c r="B29" s="969"/>
      <c r="C29" s="323" t="s">
        <v>440</v>
      </c>
      <c r="D29" s="449">
        <f>+'APU 1,1'!D30</f>
        <v>5553.333333333333</v>
      </c>
      <c r="E29" s="450">
        <v>0.25</v>
      </c>
      <c r="F29" s="22">
        <f t="shared" si="1"/>
        <v>1388.3333333333333</v>
      </c>
      <c r="G29" s="16"/>
    </row>
    <row r="30" spans="1:7">
      <c r="A30" s="969" t="s">
        <v>444</v>
      </c>
      <c r="B30" s="969"/>
      <c r="C30" s="323" t="s">
        <v>442</v>
      </c>
      <c r="D30" s="449">
        <v>42100</v>
      </c>
      <c r="E30" s="450">
        <v>0.1</v>
      </c>
      <c r="F30" s="22">
        <f t="shared" si="1"/>
        <v>4210</v>
      </c>
      <c r="G30" s="16"/>
    </row>
    <row r="31" spans="1:7" ht="17.25" thickBot="1">
      <c r="A31" s="946"/>
      <c r="B31" s="947"/>
      <c r="C31" s="325"/>
      <c r="D31" s="349"/>
      <c r="E31" s="350"/>
      <c r="F31" s="326">
        <f t="shared" si="1"/>
        <v>0</v>
      </c>
      <c r="G31" s="17"/>
    </row>
    <row r="32" spans="1:7" ht="17.25" thickBot="1">
      <c r="F32" s="4" t="s">
        <v>400</v>
      </c>
      <c r="G32" s="11">
        <f>SUM(F25:F31)</f>
        <v>27829.742133333333</v>
      </c>
    </row>
    <row r="33" spans="1:10" ht="17.25" thickBot="1">
      <c r="A33" s="923" t="s">
        <v>410</v>
      </c>
      <c r="B33" s="923"/>
    </row>
    <row r="34" spans="1:10">
      <c r="A34" s="12" t="s">
        <v>411</v>
      </c>
      <c r="B34" s="13" t="s">
        <v>412</v>
      </c>
      <c r="C34" s="13" t="s">
        <v>413</v>
      </c>
      <c r="D34" s="13" t="s">
        <v>414</v>
      </c>
      <c r="E34" s="13" t="s">
        <v>415</v>
      </c>
      <c r="F34" s="13" t="s">
        <v>399</v>
      </c>
      <c r="G34" s="18"/>
    </row>
    <row r="35" spans="1:10">
      <c r="A35" s="351"/>
      <c r="B35" s="32"/>
      <c r="C35" s="352"/>
      <c r="D35" s="352"/>
      <c r="E35" s="81"/>
      <c r="F35" s="22"/>
      <c r="G35" s="19"/>
    </row>
    <row r="36" spans="1:10">
      <c r="A36" s="353" t="s">
        <v>416</v>
      </c>
      <c r="B36" s="354" t="s">
        <v>417</v>
      </c>
      <c r="C36" s="354" t="s">
        <v>193</v>
      </c>
      <c r="D36" s="354" t="s">
        <v>418</v>
      </c>
      <c r="E36" s="354" t="s">
        <v>398</v>
      </c>
      <c r="F36" s="354" t="s">
        <v>399</v>
      </c>
      <c r="G36" s="19"/>
    </row>
    <row r="37" spans="1:10">
      <c r="A37" s="28"/>
      <c r="B37" s="355"/>
      <c r="C37" s="355"/>
      <c r="D37" s="81"/>
      <c r="E37" s="27"/>
      <c r="F37" s="22"/>
      <c r="G37" s="16"/>
    </row>
    <row r="38" spans="1:10" ht="17.25" thickBot="1">
      <c r="A38" s="29"/>
      <c r="B38" s="24"/>
      <c r="C38" s="24"/>
      <c r="D38" s="24"/>
      <c r="E38" s="33"/>
      <c r="F38" s="33"/>
      <c r="G38" s="17"/>
    </row>
    <row r="39" spans="1:10" ht="17.25" thickBot="1">
      <c r="F39" s="4" t="s">
        <v>400</v>
      </c>
      <c r="G39" s="11">
        <f>SUM(F35:F38)</f>
        <v>0</v>
      </c>
    </row>
    <row r="40" spans="1:10" ht="17.25" thickBot="1">
      <c r="A40" s="923" t="s">
        <v>419</v>
      </c>
      <c r="B40" s="923"/>
    </row>
    <row r="41" spans="1:10" ht="14.45" customHeight="1">
      <c r="A41" s="12" t="s">
        <v>416</v>
      </c>
      <c r="B41" s="13" t="s">
        <v>417</v>
      </c>
      <c r="C41" s="13" t="s">
        <v>193</v>
      </c>
      <c r="D41" s="13" t="s">
        <v>418</v>
      </c>
      <c r="E41" s="13" t="s">
        <v>398</v>
      </c>
      <c r="F41" s="13" t="s">
        <v>399</v>
      </c>
      <c r="G41" s="18"/>
    </row>
    <row r="42" spans="1:10" ht="17.25" thickBot="1">
      <c r="A42" s="441" t="str">
        <f>Insumos!B39</f>
        <v xml:space="preserve">Oficial HVAC+Ayudante </v>
      </c>
      <c r="B42" s="355">
        <f>+Insumos!C40</f>
        <v>26152.364711232374</v>
      </c>
      <c r="C42" s="438">
        <f>+Insumos!D40</f>
        <v>14323.728638017281</v>
      </c>
      <c r="D42" s="326">
        <f>SUM(B42:C42)</f>
        <v>40476.093349249655</v>
      </c>
      <c r="E42" s="361">
        <v>3.5</v>
      </c>
      <c r="F42" s="326">
        <f>D42*E42</f>
        <v>141666.32672237378</v>
      </c>
      <c r="G42" s="357"/>
    </row>
    <row r="43" spans="1:10" ht="17.25" thickBot="1">
      <c r="F43" s="4" t="s">
        <v>400</v>
      </c>
      <c r="G43" s="11">
        <f>SUM(F42:F42)</f>
        <v>141666.32672237378</v>
      </c>
      <c r="J43" s="393"/>
    </row>
    <row r="44" spans="1:10" ht="17.25" thickBot="1">
      <c r="J44" s="393"/>
    </row>
    <row r="45" spans="1:10" ht="17.25" thickBot="1">
      <c r="F45" s="4" t="s">
        <v>420</v>
      </c>
      <c r="G45" s="71">
        <f>SUM(G43,G39,G32,G22,G12)</f>
        <v>181269.3851918258</v>
      </c>
      <c r="J45" s="393"/>
    </row>
    <row r="46" spans="1:10">
      <c r="J46" s="393"/>
    </row>
    <row r="47" spans="1:10">
      <c r="A47" s="923"/>
      <c r="B47" s="923"/>
      <c r="J47" s="393"/>
    </row>
  </sheetData>
  <mergeCells count="30">
    <mergeCell ref="A30:B30"/>
    <mergeCell ref="A31:B31"/>
    <mergeCell ref="A33:B33"/>
    <mergeCell ref="A40:B40"/>
    <mergeCell ref="A24:B24"/>
    <mergeCell ref="A25:B25"/>
    <mergeCell ref="A26:B26"/>
    <mergeCell ref="A27:B27"/>
    <mergeCell ref="A29:B29"/>
    <mergeCell ref="A19:B19"/>
    <mergeCell ref="A20:B20"/>
    <mergeCell ref="A21:B21"/>
    <mergeCell ref="A22:B22"/>
    <mergeCell ref="A23:B23"/>
    <mergeCell ref="A47:B47"/>
    <mergeCell ref="A16:B16"/>
    <mergeCell ref="A1:C1"/>
    <mergeCell ref="D1:G1"/>
    <mergeCell ref="A3:G3"/>
    <mergeCell ref="A4:G4"/>
    <mergeCell ref="B6:G6"/>
    <mergeCell ref="A8:B8"/>
    <mergeCell ref="A9:B9"/>
    <mergeCell ref="A10:B10"/>
    <mergeCell ref="A11:B11"/>
    <mergeCell ref="A14:B14"/>
    <mergeCell ref="A15:B15"/>
    <mergeCell ref="A28:B28"/>
    <mergeCell ref="A17:B17"/>
    <mergeCell ref="A18:B18"/>
  </mergeCells>
  <pageMargins left="0.7" right="0.7" top="0.75" bottom="0.75" header="0.3" footer="0.3"/>
  <pageSetup orientation="portrait" horizontalDpi="4294967295" verticalDpi="4294967295"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45"/>
  <sheetViews>
    <sheetView topLeftCell="A3" zoomScale="85" zoomScaleNormal="85" workbookViewId="0">
      <selection activeCell="I44" sqref="I44"/>
    </sheetView>
  </sheetViews>
  <sheetFormatPr baseColWidth="10" defaultColWidth="11.42578125" defaultRowHeight="16.5"/>
  <cols>
    <col min="1" max="1" width="33" style="2" customWidth="1"/>
    <col min="2" max="2" width="20.7109375" style="2" customWidth="1"/>
    <col min="3" max="3" width="12" style="2" customWidth="1"/>
    <col min="4" max="4" width="13.85546875" style="2" customWidth="1"/>
    <col min="5" max="5" width="11.42578125" style="2"/>
    <col min="6" max="6" width="16.140625" style="2" customWidth="1"/>
    <col min="7" max="7" width="16.7109375" style="2" customWidth="1"/>
    <col min="8" max="16384" width="11.42578125" style="2"/>
  </cols>
  <sheetData>
    <row r="1" spans="1:7" ht="77.25" customHeight="1" thickBot="1">
      <c r="A1" s="918"/>
      <c r="B1" s="919"/>
      <c r="C1" s="919"/>
      <c r="D1" s="704" t="s">
        <v>388</v>
      </c>
      <c r="E1" s="705"/>
      <c r="F1" s="705"/>
      <c r="G1" s="706"/>
    </row>
    <row r="2" spans="1:7" ht="22.5" customHeight="1" thickBot="1">
      <c r="A2" s="8"/>
      <c r="B2" s="8"/>
      <c r="C2" s="8"/>
      <c r="D2" s="9"/>
      <c r="E2" s="9"/>
      <c r="F2" s="9"/>
      <c r="G2" s="9"/>
    </row>
    <row r="3" spans="1:7" ht="23.25" customHeight="1" thickBot="1">
      <c r="A3" s="747" t="str">
        <f>+'AU  Consul P2'!A3:I3</f>
        <v>SECRETARÍA DE TALENTO HUMANO Y SERVICIOS ADMINISTRATIVOS- DIRECCIÓN DE SERVICIOS GENERALES</v>
      </c>
      <c r="B3" s="748"/>
      <c r="C3" s="748"/>
      <c r="D3" s="748"/>
      <c r="E3" s="748"/>
      <c r="F3" s="748"/>
      <c r="G3" s="749"/>
    </row>
    <row r="4" spans="1:7" s="1" customFormat="1" ht="43.9"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thickBot="1">
      <c r="A5" s="364" t="s">
        <v>389</v>
      </c>
      <c r="B5" s="372">
        <f>+'PRESUPUESTO OFICIAL 2026'!B14</f>
        <v>1.4</v>
      </c>
      <c r="C5" s="3"/>
      <c r="D5" s="3"/>
      <c r="E5" s="3"/>
      <c r="F5" s="7" t="s">
        <v>391</v>
      </c>
      <c r="G5" s="363" t="str">
        <f>+'PRESUPUESTO OFICIAL 2026'!H14</f>
        <v>GLO</v>
      </c>
    </row>
    <row r="6" spans="1:7" ht="74.45" customHeight="1" thickBot="1">
      <c r="A6" s="10" t="s">
        <v>392</v>
      </c>
      <c r="B6" s="974" t="s">
        <v>334</v>
      </c>
      <c r="C6" s="971"/>
      <c r="D6" s="971"/>
      <c r="E6" s="971"/>
      <c r="F6" s="971"/>
      <c r="G6" s="972"/>
    </row>
    <row r="8" spans="1:7" ht="17.25" thickBot="1">
      <c r="A8" s="923" t="s">
        <v>394</v>
      </c>
      <c r="B8" s="923"/>
    </row>
    <row r="9" spans="1:7">
      <c r="A9" s="924" t="s">
        <v>395</v>
      </c>
      <c r="B9" s="925"/>
      <c r="C9" s="13" t="s">
        <v>396</v>
      </c>
      <c r="D9" s="13" t="s">
        <v>397</v>
      </c>
      <c r="E9" s="13" t="s">
        <v>398</v>
      </c>
      <c r="F9" s="13" t="s">
        <v>399</v>
      </c>
      <c r="G9" s="14"/>
    </row>
    <row r="10" spans="1:7">
      <c r="A10" s="926" t="s">
        <v>427</v>
      </c>
      <c r="B10" s="927"/>
      <c r="C10" s="26" t="s">
        <v>428</v>
      </c>
      <c r="D10" s="21">
        <f>G43</f>
        <v>161904.37339699862</v>
      </c>
      <c r="E10" s="335">
        <v>0.05</v>
      </c>
      <c r="F10" s="22">
        <f>E10*D10</f>
        <v>8095.2186698499318</v>
      </c>
      <c r="G10" s="15"/>
    </row>
    <row r="11" spans="1:7" ht="17.25" thickBot="1">
      <c r="A11" s="928"/>
      <c r="B11" s="929"/>
      <c r="C11" s="24"/>
      <c r="D11" s="24"/>
      <c r="E11" s="368"/>
      <c r="F11" s="326">
        <f>E11*D11</f>
        <v>0</v>
      </c>
      <c r="G11" s="17"/>
    </row>
    <row r="12" spans="1:7" ht="17.25" thickBot="1">
      <c r="F12" s="4" t="s">
        <v>400</v>
      </c>
      <c r="G12" s="25">
        <f>SUM(F10:F11)</f>
        <v>8095.2186698499318</v>
      </c>
    </row>
    <row r="13" spans="1:7">
      <c r="F13" s="4"/>
      <c r="G13" s="336"/>
    </row>
    <row r="14" spans="1:7" ht="17.25" thickBot="1">
      <c r="A14" s="930" t="s">
        <v>401</v>
      </c>
      <c r="B14" s="930"/>
    </row>
    <row r="15" spans="1:7">
      <c r="A15" s="931" t="s">
        <v>395</v>
      </c>
      <c r="B15" s="932"/>
      <c r="C15" s="13" t="s">
        <v>402</v>
      </c>
      <c r="D15" s="13" t="s">
        <v>403</v>
      </c>
      <c r="E15" s="13" t="s">
        <v>404</v>
      </c>
      <c r="F15" s="13" t="s">
        <v>399</v>
      </c>
      <c r="G15" s="18"/>
    </row>
    <row r="16" spans="1:7" ht="16.5" customHeight="1">
      <c r="A16" s="916" t="s">
        <v>429</v>
      </c>
      <c r="B16" s="917"/>
      <c r="C16" s="323" t="s">
        <v>430</v>
      </c>
      <c r="D16" s="366">
        <v>7000</v>
      </c>
      <c r="E16" s="369">
        <f>20/60</f>
        <v>0.33333333333333331</v>
      </c>
      <c r="F16" s="22">
        <f t="shared" ref="F16:F21" si="0">+D16*E16</f>
        <v>2333.333333333333</v>
      </c>
      <c r="G16" s="16"/>
    </row>
    <row r="17" spans="1:9">
      <c r="A17" s="916" t="s">
        <v>431</v>
      </c>
      <c r="B17" s="917"/>
      <c r="C17" s="323" t="s">
        <v>430</v>
      </c>
      <c r="D17" s="366">
        <v>3500</v>
      </c>
      <c r="E17" s="370">
        <v>0.17</v>
      </c>
      <c r="F17" s="22">
        <f t="shared" si="0"/>
        <v>595</v>
      </c>
      <c r="G17" s="16"/>
    </row>
    <row r="18" spans="1:9">
      <c r="A18" s="950" t="s">
        <v>432</v>
      </c>
      <c r="B18" s="951"/>
      <c r="C18" s="323" t="s">
        <v>430</v>
      </c>
      <c r="D18" s="366">
        <v>3500</v>
      </c>
      <c r="E18" s="342">
        <v>0.17</v>
      </c>
      <c r="F18" s="22">
        <f t="shared" si="0"/>
        <v>595</v>
      </c>
      <c r="G18" s="343"/>
    </row>
    <row r="19" spans="1:9">
      <c r="A19" s="933"/>
      <c r="B19" s="934"/>
      <c r="C19" s="338"/>
      <c r="D19" s="367"/>
      <c r="E19" s="342"/>
      <c r="F19" s="22">
        <f t="shared" si="0"/>
        <v>0</v>
      </c>
      <c r="G19" s="343"/>
    </row>
    <row r="20" spans="1:9">
      <c r="A20" s="933"/>
      <c r="B20" s="934"/>
      <c r="C20" s="338"/>
      <c r="D20" s="367"/>
      <c r="E20" s="342"/>
      <c r="F20" s="22">
        <f t="shared" si="0"/>
        <v>0</v>
      </c>
      <c r="G20" s="343"/>
    </row>
    <row r="21" spans="1:9" ht="17.25" thickBot="1">
      <c r="A21" s="946"/>
      <c r="B21" s="973"/>
      <c r="C21" s="325"/>
      <c r="D21" s="344"/>
      <c r="E21" s="345"/>
      <c r="F21" s="326">
        <f t="shared" si="0"/>
        <v>0</v>
      </c>
      <c r="G21" s="346"/>
    </row>
    <row r="22" spans="1:9" ht="17.25" thickBot="1">
      <c r="A22" s="941"/>
      <c r="B22" s="941"/>
      <c r="F22" s="4" t="s">
        <v>400</v>
      </c>
      <c r="G22" s="25">
        <f>SUM(F21,F20,F19,F18,F17,F16)</f>
        <v>3523.333333333333</v>
      </c>
      <c r="I22" s="83"/>
    </row>
    <row r="23" spans="1:9" ht="17.25" thickBot="1">
      <c r="A23" s="930" t="s">
        <v>405</v>
      </c>
      <c r="B23" s="930"/>
    </row>
    <row r="24" spans="1:9">
      <c r="A24" s="931" t="s">
        <v>395</v>
      </c>
      <c r="B24" s="932"/>
      <c r="C24" s="13" t="s">
        <v>402</v>
      </c>
      <c r="D24" s="13" t="s">
        <v>403</v>
      </c>
      <c r="E24" s="13" t="s">
        <v>404</v>
      </c>
      <c r="F24" s="13" t="s">
        <v>399</v>
      </c>
      <c r="G24" s="18"/>
    </row>
    <row r="25" spans="1:9">
      <c r="A25" s="969" t="s">
        <v>435</v>
      </c>
      <c r="B25" s="969"/>
      <c r="C25" s="323" t="s">
        <v>436</v>
      </c>
      <c r="D25" s="445">
        <v>28100</v>
      </c>
      <c r="E25" s="450">
        <v>0.2</v>
      </c>
      <c r="F25" s="22">
        <f>+D25*E25</f>
        <v>5620</v>
      </c>
      <c r="G25" s="16"/>
      <c r="I25" s="151"/>
    </row>
    <row r="26" spans="1:9">
      <c r="A26" s="970" t="s">
        <v>437</v>
      </c>
      <c r="B26" s="969"/>
      <c r="C26" s="338" t="s">
        <v>436</v>
      </c>
      <c r="D26" s="446">
        <v>10000</v>
      </c>
      <c r="E26" s="510">
        <v>0.2</v>
      </c>
      <c r="F26" s="22">
        <f t="shared" ref="F26:F31" si="1">+D26*E26</f>
        <v>2000</v>
      </c>
      <c r="G26" s="16"/>
      <c r="H26" s="380"/>
      <c r="I26" s="378"/>
    </row>
    <row r="27" spans="1:9">
      <c r="A27" s="970" t="s">
        <v>439</v>
      </c>
      <c r="B27" s="970"/>
      <c r="C27" s="26" t="s">
        <v>440</v>
      </c>
      <c r="D27" s="447">
        <v>3400</v>
      </c>
      <c r="E27" s="450">
        <v>1</v>
      </c>
      <c r="F27" s="22">
        <f t="shared" si="1"/>
        <v>3400</v>
      </c>
      <c r="G27" s="16"/>
    </row>
    <row r="28" spans="1:9">
      <c r="A28" s="969" t="s">
        <v>441</v>
      </c>
      <c r="B28" s="969"/>
      <c r="C28" s="415" t="s">
        <v>442</v>
      </c>
      <c r="D28" s="448">
        <f>+'APU 1,3'!D28</f>
        <v>58303.406666666669</v>
      </c>
      <c r="E28" s="450">
        <v>0.12</v>
      </c>
      <c r="F28" s="22">
        <f t="shared" si="1"/>
        <v>6996.4088000000002</v>
      </c>
      <c r="G28" s="16"/>
    </row>
    <row r="29" spans="1:9">
      <c r="A29" s="969" t="s">
        <v>443</v>
      </c>
      <c r="B29" s="969"/>
      <c r="C29" s="323" t="s">
        <v>440</v>
      </c>
      <c r="D29" s="449">
        <f>+'APU 1,1'!D30</f>
        <v>5553.333333333333</v>
      </c>
      <c r="E29" s="450">
        <v>0.2</v>
      </c>
      <c r="F29" s="22">
        <f t="shared" si="1"/>
        <v>1110.6666666666667</v>
      </c>
      <c r="G29" s="16"/>
    </row>
    <row r="30" spans="1:9">
      <c r="A30" s="969" t="s">
        <v>444</v>
      </c>
      <c r="B30" s="969"/>
      <c r="C30" s="323" t="s">
        <v>442</v>
      </c>
      <c r="D30" s="449">
        <v>42100</v>
      </c>
      <c r="E30" s="450">
        <v>0.1</v>
      </c>
      <c r="F30" s="22">
        <f t="shared" si="1"/>
        <v>4210</v>
      </c>
      <c r="G30" s="16"/>
    </row>
    <row r="31" spans="1:9" ht="17.25" thickBot="1">
      <c r="A31" s="946"/>
      <c r="B31" s="947"/>
      <c r="C31" s="325"/>
      <c r="D31" s="349"/>
      <c r="E31" s="350"/>
      <c r="F31" s="326">
        <f t="shared" si="1"/>
        <v>0</v>
      </c>
      <c r="G31" s="17"/>
    </row>
    <row r="32" spans="1:9" ht="17.25" thickBot="1">
      <c r="F32" s="4" t="s">
        <v>400</v>
      </c>
      <c r="G32" s="11">
        <f>SUM(F25:F31)</f>
        <v>23337.075466666669</v>
      </c>
    </row>
    <row r="33" spans="1:7" ht="17.25" thickBot="1">
      <c r="A33" s="923" t="s">
        <v>410</v>
      </c>
      <c r="B33" s="923"/>
    </row>
    <row r="34" spans="1:7">
      <c r="A34" s="12" t="s">
        <v>411</v>
      </c>
      <c r="B34" s="13" t="s">
        <v>412</v>
      </c>
      <c r="C34" s="13" t="s">
        <v>413</v>
      </c>
      <c r="D34" s="13" t="s">
        <v>414</v>
      </c>
      <c r="E34" s="13" t="s">
        <v>415</v>
      </c>
      <c r="F34" s="13" t="s">
        <v>399</v>
      </c>
      <c r="G34" s="18"/>
    </row>
    <row r="35" spans="1:7">
      <c r="A35" s="351"/>
      <c r="B35" s="32"/>
      <c r="C35" s="352"/>
      <c r="D35" s="352"/>
      <c r="E35" s="81"/>
      <c r="F35" s="22"/>
      <c r="G35" s="19"/>
    </row>
    <row r="36" spans="1:7">
      <c r="A36" s="353" t="s">
        <v>416</v>
      </c>
      <c r="B36" s="354" t="s">
        <v>417</v>
      </c>
      <c r="C36" s="354" t="s">
        <v>193</v>
      </c>
      <c r="D36" s="354" t="s">
        <v>418</v>
      </c>
      <c r="E36" s="354" t="s">
        <v>398</v>
      </c>
      <c r="F36" s="354" t="s">
        <v>399</v>
      </c>
      <c r="G36" s="19"/>
    </row>
    <row r="37" spans="1:7">
      <c r="A37" s="28"/>
      <c r="B37" s="355"/>
      <c r="C37" s="355"/>
      <c r="D37" s="81"/>
      <c r="E37" s="27"/>
      <c r="F37" s="22"/>
      <c r="G37" s="16"/>
    </row>
    <row r="38" spans="1:7" ht="17.25" thickBot="1">
      <c r="A38" s="29"/>
      <c r="B38" s="24"/>
      <c r="C38" s="24"/>
      <c r="D38" s="24"/>
      <c r="E38" s="33"/>
      <c r="F38" s="33"/>
      <c r="G38" s="17"/>
    </row>
    <row r="39" spans="1:7" ht="17.25" thickBot="1">
      <c r="F39" s="4" t="s">
        <v>400</v>
      </c>
      <c r="G39" s="11">
        <f>SUM(F35:F38)</f>
        <v>0</v>
      </c>
    </row>
    <row r="40" spans="1:7" ht="17.25" thickBot="1">
      <c r="A40" s="923" t="s">
        <v>419</v>
      </c>
      <c r="B40" s="923"/>
    </row>
    <row r="41" spans="1:7">
      <c r="A41" s="12" t="s">
        <v>416</v>
      </c>
      <c r="B41" s="13" t="s">
        <v>417</v>
      </c>
      <c r="C41" s="13" t="s">
        <v>193</v>
      </c>
      <c r="D41" s="13" t="s">
        <v>418</v>
      </c>
      <c r="E41" s="13" t="s">
        <v>398</v>
      </c>
      <c r="F41" s="13" t="s">
        <v>399</v>
      </c>
      <c r="G41" s="18"/>
    </row>
    <row r="42" spans="1:7" ht="17.25" thickBot="1">
      <c r="A42" s="441" t="str">
        <f>Insumos!B39</f>
        <v xml:space="preserve">Oficial HVAC+Ayudante </v>
      </c>
      <c r="B42" s="355">
        <f>+Insumos!C40</f>
        <v>26152.364711232374</v>
      </c>
      <c r="C42" s="438">
        <f>+Insumos!D40</f>
        <v>14323.728638017281</v>
      </c>
      <c r="D42" s="326">
        <f>SUM(B42:C42)</f>
        <v>40476.093349249655</v>
      </c>
      <c r="E42" s="361">
        <v>4</v>
      </c>
      <c r="F42" s="326">
        <f>D42*E42</f>
        <v>161904.37339699862</v>
      </c>
      <c r="G42" s="357"/>
    </row>
    <row r="43" spans="1:7" ht="17.25" thickBot="1">
      <c r="F43" s="4" t="s">
        <v>400</v>
      </c>
      <c r="G43" s="11">
        <f>SUM(F42:F42)</f>
        <v>161904.37339699862</v>
      </c>
    </row>
    <row r="44" spans="1:7" ht="17.25" thickBot="1"/>
    <row r="45" spans="1:7" ht="17.25" thickBot="1">
      <c r="F45" s="4" t="s">
        <v>420</v>
      </c>
      <c r="G45" s="71">
        <f>SUM(G43,G39,G32,G22,G12)</f>
        <v>196860.00086684857</v>
      </c>
    </row>
  </sheetData>
  <mergeCells count="29">
    <mergeCell ref="A16:B16"/>
    <mergeCell ref="A1:C1"/>
    <mergeCell ref="D1:G1"/>
    <mergeCell ref="A3:G3"/>
    <mergeCell ref="A4:G4"/>
    <mergeCell ref="B6:G6"/>
    <mergeCell ref="A8:B8"/>
    <mergeCell ref="A9:B9"/>
    <mergeCell ref="A10:B10"/>
    <mergeCell ref="A11:B11"/>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29:B29"/>
    <mergeCell ref="A30:B30"/>
    <mergeCell ref="A31:B31"/>
    <mergeCell ref="A33:B33"/>
    <mergeCell ref="A40:B40"/>
  </mergeCells>
  <pageMargins left="0.7" right="0.7" top="0.75" bottom="0.75" header="0.3" footer="0.3"/>
  <pageSetup orientation="portrait" horizontalDpi="4294967295" verticalDpi="4294967295"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44"/>
  <sheetViews>
    <sheetView topLeftCell="A13" zoomScale="96" zoomScaleNormal="96" workbookViewId="0">
      <selection activeCell="D10" sqref="D10"/>
    </sheetView>
  </sheetViews>
  <sheetFormatPr baseColWidth="10" defaultColWidth="11.42578125" defaultRowHeight="16.5"/>
  <cols>
    <col min="1" max="1" width="33" style="2" customWidth="1"/>
    <col min="2" max="2" width="17.5703125" style="2" customWidth="1"/>
    <col min="3" max="3" width="12" style="2" customWidth="1"/>
    <col min="4" max="4" width="13.85546875" style="2" customWidth="1"/>
    <col min="5" max="5" width="11.42578125" style="2"/>
    <col min="6" max="6" width="16.140625" style="2" customWidth="1"/>
    <col min="7" max="7" width="16.7109375" style="2" customWidth="1"/>
    <col min="8" max="16384" width="11.42578125" style="2"/>
  </cols>
  <sheetData>
    <row r="1" spans="1:7" ht="77.25" customHeight="1" thickBot="1">
      <c r="A1" s="918"/>
      <c r="B1" s="919"/>
      <c r="C1" s="919"/>
      <c r="D1" s="704" t="s">
        <v>388</v>
      </c>
      <c r="E1" s="705"/>
      <c r="F1" s="705"/>
      <c r="G1" s="706"/>
    </row>
    <row r="2" spans="1:7" ht="22.5" customHeight="1" thickBot="1">
      <c r="A2" s="8"/>
      <c r="B2" s="8"/>
      <c r="C2" s="8"/>
      <c r="D2" s="9"/>
      <c r="E2" s="9"/>
      <c r="F2" s="9"/>
      <c r="G2" s="9"/>
    </row>
    <row r="3" spans="1:7" ht="23.25" customHeight="1" thickBot="1">
      <c r="A3" s="747" t="str">
        <f>+'AU  Consul P2'!A3:I3</f>
        <v>SECRETARÍA DE TALENTO HUMANO Y SERVICIOS ADMINISTRATIVOS- DIRECCIÓN DE SERVICIOS GENERALES</v>
      </c>
      <c r="B3" s="748"/>
      <c r="C3" s="748"/>
      <c r="D3" s="748"/>
      <c r="E3" s="748"/>
      <c r="F3" s="748"/>
      <c r="G3" s="749"/>
    </row>
    <row r="4" spans="1:7" s="1" customFormat="1" ht="54"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thickBot="1">
      <c r="A5" s="364" t="s">
        <v>389</v>
      </c>
      <c r="B5" s="372">
        <f>+'PRESUPUESTO OFICIAL 2026'!B15</f>
        <v>1.5</v>
      </c>
      <c r="C5" s="3"/>
      <c r="D5" s="3"/>
      <c r="E5" s="3"/>
      <c r="F5" s="7" t="s">
        <v>391</v>
      </c>
      <c r="G5" s="363" t="str">
        <f>+'PRESUPUESTO OFICIAL 2026'!H15</f>
        <v>GLO</v>
      </c>
    </row>
    <row r="6" spans="1:7" ht="84" customHeight="1" thickBot="1">
      <c r="A6" s="10" t="s">
        <v>392</v>
      </c>
      <c r="B6" s="974" t="s">
        <v>335</v>
      </c>
      <c r="C6" s="971"/>
      <c r="D6" s="971"/>
      <c r="E6" s="971"/>
      <c r="F6" s="971"/>
      <c r="G6" s="972"/>
    </row>
    <row r="8" spans="1:7" ht="17.25" thickBot="1">
      <c r="A8" s="923" t="s">
        <v>394</v>
      </c>
      <c r="B8" s="923"/>
    </row>
    <row r="9" spans="1:7">
      <c r="A9" s="924" t="s">
        <v>395</v>
      </c>
      <c r="B9" s="925"/>
      <c r="C9" s="13" t="s">
        <v>396</v>
      </c>
      <c r="D9" s="13" t="s">
        <v>397</v>
      </c>
      <c r="E9" s="13" t="s">
        <v>398</v>
      </c>
      <c r="F9" s="13" t="s">
        <v>399</v>
      </c>
      <c r="G9" s="14"/>
    </row>
    <row r="10" spans="1:7">
      <c r="A10" s="926" t="s">
        <v>427</v>
      </c>
      <c r="B10" s="927"/>
      <c r="C10" s="26" t="s">
        <v>428</v>
      </c>
      <c r="D10" s="21">
        <f>G42</f>
        <v>141666.32672237378</v>
      </c>
      <c r="E10" s="335">
        <v>0.05</v>
      </c>
      <c r="F10" s="22">
        <f>E10*D10</f>
        <v>7083.3163361186889</v>
      </c>
      <c r="G10" s="15"/>
    </row>
    <row r="11" spans="1:7" ht="17.25" thickBot="1">
      <c r="A11" s="928"/>
      <c r="B11" s="929"/>
      <c r="C11" s="24"/>
      <c r="D11" s="24"/>
      <c r="E11" s="368"/>
      <c r="F11" s="326">
        <f>E11*D11</f>
        <v>0</v>
      </c>
      <c r="G11" s="17"/>
    </row>
    <row r="12" spans="1:7" ht="17.25" thickBot="1">
      <c r="F12" s="4" t="s">
        <v>400</v>
      </c>
      <c r="G12" s="25">
        <f>SUM(F10:F11)</f>
        <v>7083.3163361186889</v>
      </c>
    </row>
    <row r="13" spans="1:7">
      <c r="F13" s="4"/>
      <c r="G13" s="336"/>
    </row>
    <row r="14" spans="1:7" ht="17.25" thickBot="1">
      <c r="A14" s="930" t="s">
        <v>401</v>
      </c>
      <c r="B14" s="930"/>
    </row>
    <row r="15" spans="1:7">
      <c r="A15" s="931" t="s">
        <v>395</v>
      </c>
      <c r="B15" s="932"/>
      <c r="C15" s="13" t="s">
        <v>402</v>
      </c>
      <c r="D15" s="13" t="s">
        <v>403</v>
      </c>
      <c r="E15" s="13" t="s">
        <v>404</v>
      </c>
      <c r="F15" s="13" t="s">
        <v>399</v>
      </c>
      <c r="G15" s="18"/>
    </row>
    <row r="16" spans="1:7" ht="16.5" customHeight="1">
      <c r="A16" s="916" t="s">
        <v>429</v>
      </c>
      <c r="B16" s="917"/>
      <c r="C16" s="323" t="s">
        <v>430</v>
      </c>
      <c r="D16" s="366">
        <v>7000</v>
      </c>
      <c r="E16" s="369">
        <f>15/60</f>
        <v>0.25</v>
      </c>
      <c r="F16" s="22">
        <f t="shared" ref="F16:F21" si="0">+D16*E16</f>
        <v>1750</v>
      </c>
      <c r="G16" s="16"/>
    </row>
    <row r="17" spans="1:7">
      <c r="A17" s="916" t="s">
        <v>431</v>
      </c>
      <c r="B17" s="917"/>
      <c r="C17" s="323" t="s">
        <v>430</v>
      </c>
      <c r="D17" s="366">
        <v>3500</v>
      </c>
      <c r="E17" s="370">
        <v>0.17</v>
      </c>
      <c r="F17" s="22">
        <f t="shared" si="0"/>
        <v>595</v>
      </c>
      <c r="G17" s="16"/>
    </row>
    <row r="18" spans="1:7">
      <c r="A18" s="950" t="s">
        <v>432</v>
      </c>
      <c r="B18" s="951"/>
      <c r="C18" s="323" t="s">
        <v>430</v>
      </c>
      <c r="D18" s="366">
        <v>3500</v>
      </c>
      <c r="E18" s="342">
        <v>0.17</v>
      </c>
      <c r="F18" s="22">
        <f t="shared" si="0"/>
        <v>595</v>
      </c>
      <c r="G18" s="343"/>
    </row>
    <row r="19" spans="1:7">
      <c r="A19" s="933"/>
      <c r="B19" s="934"/>
      <c r="C19" s="338"/>
      <c r="D19" s="367"/>
      <c r="E19" s="342"/>
      <c r="F19" s="22">
        <f t="shared" si="0"/>
        <v>0</v>
      </c>
      <c r="G19" s="343"/>
    </row>
    <row r="20" spans="1:7">
      <c r="A20" s="933"/>
      <c r="B20" s="934"/>
      <c r="C20" s="338"/>
      <c r="D20" s="367"/>
      <c r="E20" s="342"/>
      <c r="F20" s="22">
        <f t="shared" si="0"/>
        <v>0</v>
      </c>
      <c r="G20" s="343"/>
    </row>
    <row r="21" spans="1:7" ht="17.25" thickBot="1">
      <c r="A21" s="946"/>
      <c r="B21" s="973"/>
      <c r="C21" s="325"/>
      <c r="D21" s="344"/>
      <c r="E21" s="345"/>
      <c r="F21" s="326">
        <f t="shared" si="0"/>
        <v>0</v>
      </c>
      <c r="G21" s="346"/>
    </row>
    <row r="22" spans="1:7" ht="17.25" thickBot="1">
      <c r="A22" s="941"/>
      <c r="B22" s="941"/>
      <c r="F22" s="4" t="s">
        <v>400</v>
      </c>
      <c r="G22" s="25">
        <f>SUM(F21,F20,F19,F18,F17,F16)</f>
        <v>2940</v>
      </c>
    </row>
    <row r="23" spans="1:7" ht="17.25" thickBot="1">
      <c r="A23" s="930" t="s">
        <v>405</v>
      </c>
      <c r="B23" s="930"/>
    </row>
    <row r="24" spans="1:7">
      <c r="A24" s="931" t="s">
        <v>395</v>
      </c>
      <c r="B24" s="932"/>
      <c r="C24" s="13" t="s">
        <v>402</v>
      </c>
      <c r="D24" s="13" t="s">
        <v>403</v>
      </c>
      <c r="E24" s="13" t="s">
        <v>404</v>
      </c>
      <c r="F24" s="13" t="s">
        <v>399</v>
      </c>
      <c r="G24" s="18"/>
    </row>
    <row r="25" spans="1:7">
      <c r="A25" s="969" t="s">
        <v>435</v>
      </c>
      <c r="B25" s="969"/>
      <c r="C25" s="323" t="s">
        <v>436</v>
      </c>
      <c r="D25" s="445">
        <v>28100</v>
      </c>
      <c r="E25" s="450">
        <v>0.1</v>
      </c>
      <c r="F25" s="22">
        <f t="shared" ref="F25:F30" si="1">+D25*E25</f>
        <v>2810</v>
      </c>
      <c r="G25" s="16"/>
    </row>
    <row r="26" spans="1:7">
      <c r="A26" s="970" t="s">
        <v>437</v>
      </c>
      <c r="B26" s="969"/>
      <c r="C26" s="338" t="s">
        <v>436</v>
      </c>
      <c r="D26" s="446">
        <v>10000</v>
      </c>
      <c r="E26" s="510">
        <v>0.1</v>
      </c>
      <c r="F26" s="22">
        <f t="shared" si="1"/>
        <v>1000</v>
      </c>
      <c r="G26" s="16"/>
    </row>
    <row r="27" spans="1:7">
      <c r="A27" s="970" t="s">
        <v>439</v>
      </c>
      <c r="B27" s="970"/>
      <c r="C27" s="26" t="s">
        <v>440</v>
      </c>
      <c r="D27" s="447">
        <v>3400</v>
      </c>
      <c r="E27" s="450">
        <v>0.8</v>
      </c>
      <c r="F27" s="22">
        <f t="shared" si="1"/>
        <v>2720</v>
      </c>
      <c r="G27" s="16"/>
    </row>
    <row r="28" spans="1:7">
      <c r="A28" s="969" t="s">
        <v>443</v>
      </c>
      <c r="B28" s="969"/>
      <c r="C28" s="323" t="s">
        <v>440</v>
      </c>
      <c r="D28" s="449">
        <f>+'APU 1,1'!D30</f>
        <v>5553.333333333333</v>
      </c>
      <c r="E28" s="450">
        <v>0.1</v>
      </c>
      <c r="F28" s="22">
        <f t="shared" si="1"/>
        <v>555.33333333333337</v>
      </c>
      <c r="G28" s="16"/>
    </row>
    <row r="29" spans="1:7">
      <c r="A29" s="969" t="s">
        <v>444</v>
      </c>
      <c r="B29" s="969"/>
      <c r="C29" s="323" t="s">
        <v>442</v>
      </c>
      <c r="D29" s="449">
        <v>42100</v>
      </c>
      <c r="E29" s="450">
        <v>0.1</v>
      </c>
      <c r="F29" s="22">
        <f t="shared" si="1"/>
        <v>4210</v>
      </c>
      <c r="G29" s="16"/>
    </row>
    <row r="30" spans="1:7" ht="17.25" thickBot="1">
      <c r="A30" s="946"/>
      <c r="B30" s="947"/>
      <c r="C30" s="325"/>
      <c r="D30" s="349"/>
      <c r="E30" s="350"/>
      <c r="F30" s="326">
        <f t="shared" si="1"/>
        <v>0</v>
      </c>
      <c r="G30" s="17"/>
    </row>
    <row r="31" spans="1:7" ht="17.25" thickBot="1">
      <c r="F31" s="4" t="s">
        <v>400</v>
      </c>
      <c r="G31" s="11">
        <f>SUM(F25:F30)</f>
        <v>11295.333333333332</v>
      </c>
    </row>
    <row r="32" spans="1:7" ht="17.25" thickBot="1">
      <c r="A32" s="923" t="s">
        <v>410</v>
      </c>
      <c r="B32" s="923"/>
    </row>
    <row r="33" spans="1:7">
      <c r="A33" s="12" t="s">
        <v>411</v>
      </c>
      <c r="B33" s="13" t="s">
        <v>412</v>
      </c>
      <c r="C33" s="13" t="s">
        <v>413</v>
      </c>
      <c r="D33" s="13" t="s">
        <v>414</v>
      </c>
      <c r="E33" s="13" t="s">
        <v>415</v>
      </c>
      <c r="F33" s="13" t="s">
        <v>399</v>
      </c>
      <c r="G33" s="18"/>
    </row>
    <row r="34" spans="1:7">
      <c r="A34" s="351"/>
      <c r="B34" s="32"/>
      <c r="C34" s="352"/>
      <c r="D34" s="352"/>
      <c r="E34" s="81"/>
      <c r="F34" s="22"/>
      <c r="G34" s="19"/>
    </row>
    <row r="35" spans="1:7">
      <c r="A35" s="353" t="s">
        <v>416</v>
      </c>
      <c r="B35" s="354" t="s">
        <v>417</v>
      </c>
      <c r="C35" s="354" t="s">
        <v>193</v>
      </c>
      <c r="D35" s="354" t="s">
        <v>418</v>
      </c>
      <c r="E35" s="354" t="s">
        <v>398</v>
      </c>
      <c r="F35" s="354" t="s">
        <v>399</v>
      </c>
      <c r="G35" s="19"/>
    </row>
    <row r="36" spans="1:7">
      <c r="A36" s="28"/>
      <c r="B36" s="355"/>
      <c r="C36" s="355"/>
      <c r="D36" s="81"/>
      <c r="E36" s="27"/>
      <c r="F36" s="22"/>
      <c r="G36" s="16"/>
    </row>
    <row r="37" spans="1:7" ht="17.25" thickBot="1">
      <c r="A37" s="29"/>
      <c r="B37" s="24"/>
      <c r="C37" s="24"/>
      <c r="D37" s="24"/>
      <c r="E37" s="33"/>
      <c r="F37" s="33"/>
      <c r="G37" s="17"/>
    </row>
    <row r="38" spans="1:7" ht="17.25" thickBot="1">
      <c r="F38" s="4" t="s">
        <v>400</v>
      </c>
      <c r="G38" s="11">
        <f>SUM(F34:F37)</f>
        <v>0</v>
      </c>
    </row>
    <row r="39" spans="1:7" ht="17.25" thickBot="1">
      <c r="A39" s="923" t="s">
        <v>419</v>
      </c>
      <c r="B39" s="923"/>
    </row>
    <row r="40" spans="1:7">
      <c r="A40" s="12" t="s">
        <v>416</v>
      </c>
      <c r="B40" s="13" t="s">
        <v>417</v>
      </c>
      <c r="C40" s="13" t="s">
        <v>193</v>
      </c>
      <c r="D40" s="13" t="s">
        <v>418</v>
      </c>
      <c r="E40" s="13" t="s">
        <v>398</v>
      </c>
      <c r="F40" s="13" t="s">
        <v>399</v>
      </c>
      <c r="G40" s="18"/>
    </row>
    <row r="41" spans="1:7" ht="17.25" thickBot="1">
      <c r="A41" s="441" t="str">
        <f>Insumos!B39</f>
        <v xml:space="preserve">Oficial HVAC+Ayudante </v>
      </c>
      <c r="B41" s="355">
        <f>+Insumos!C40</f>
        <v>26152.364711232374</v>
      </c>
      <c r="C41" s="438">
        <f>+Insumos!D40</f>
        <v>14323.728638017281</v>
      </c>
      <c r="D41" s="326">
        <f>SUM(B41:C41)</f>
        <v>40476.093349249655</v>
      </c>
      <c r="E41" s="361">
        <v>3.5</v>
      </c>
      <c r="F41" s="326">
        <f>D41*E41</f>
        <v>141666.32672237378</v>
      </c>
      <c r="G41" s="357"/>
    </row>
    <row r="42" spans="1:7" ht="17.25" thickBot="1">
      <c r="F42" s="4" t="s">
        <v>400</v>
      </c>
      <c r="G42" s="11">
        <f>SUM(F41:F41)</f>
        <v>141666.32672237378</v>
      </c>
    </row>
    <row r="43" spans="1:7" ht="17.25" thickBot="1"/>
    <row r="44" spans="1:7" ht="17.25" thickBot="1">
      <c r="F44" s="4" t="s">
        <v>420</v>
      </c>
      <c r="G44" s="71">
        <f>SUM(G42,G38,G31,G21,G11)</f>
        <v>152961.66005570712</v>
      </c>
    </row>
  </sheetData>
  <mergeCells count="28">
    <mergeCell ref="A27:B27"/>
    <mergeCell ref="A16:B16"/>
    <mergeCell ref="A1:C1"/>
    <mergeCell ref="D1:G1"/>
    <mergeCell ref="A3:G3"/>
    <mergeCell ref="A4:G4"/>
    <mergeCell ref="B6:G6"/>
    <mergeCell ref="A8:B8"/>
    <mergeCell ref="A9:B9"/>
    <mergeCell ref="A10:B10"/>
    <mergeCell ref="A11:B11"/>
    <mergeCell ref="A14:B14"/>
    <mergeCell ref="A15:B15"/>
    <mergeCell ref="A22:B22"/>
    <mergeCell ref="A23:B23"/>
    <mergeCell ref="A24:B24"/>
    <mergeCell ref="A25:B25"/>
    <mergeCell ref="A26:B26"/>
    <mergeCell ref="A17:B17"/>
    <mergeCell ref="A18:B18"/>
    <mergeCell ref="A19:B19"/>
    <mergeCell ref="A20:B20"/>
    <mergeCell ref="A21:B21"/>
    <mergeCell ref="A28:B28"/>
    <mergeCell ref="A29:B29"/>
    <mergeCell ref="A30:B30"/>
    <mergeCell ref="A32:B32"/>
    <mergeCell ref="A39:B39"/>
  </mergeCells>
  <pageMargins left="0.7" right="0.7" top="0.75" bottom="0.75" header="0.3" footer="0.3"/>
  <pageSetup orientation="portrait" horizontalDpi="4294967295" verticalDpi="4294967295"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46"/>
  <sheetViews>
    <sheetView topLeftCell="A13" zoomScale="96" zoomScaleNormal="96" workbookViewId="0">
      <selection activeCell="D10" sqref="D10"/>
    </sheetView>
  </sheetViews>
  <sheetFormatPr baseColWidth="10" defaultColWidth="11.42578125" defaultRowHeight="16.5"/>
  <cols>
    <col min="1" max="1" width="33" style="2" customWidth="1"/>
    <col min="2" max="2" width="19.5703125" style="2" customWidth="1"/>
    <col min="3" max="3" width="12"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7" ht="77.25" customHeight="1" thickBot="1">
      <c r="A1" s="918"/>
      <c r="B1" s="919"/>
      <c r="C1" s="919"/>
      <c r="D1" s="704" t="s">
        <v>388</v>
      </c>
      <c r="E1" s="705"/>
      <c r="F1" s="705"/>
      <c r="G1" s="706"/>
    </row>
    <row r="2" spans="1:7" ht="22.5" customHeight="1" thickBot="1">
      <c r="A2" s="8"/>
      <c r="B2" s="8"/>
      <c r="C2" s="8"/>
      <c r="D2" s="9"/>
      <c r="E2" s="9"/>
      <c r="F2" s="9"/>
      <c r="G2" s="9"/>
    </row>
    <row r="3" spans="1:7" ht="23.25" customHeight="1" thickBot="1">
      <c r="A3" s="747" t="str">
        <f>+'AU  Consul P2'!A3:I3</f>
        <v>SECRETARÍA DE TALENTO HUMANO Y SERVICIOS ADMINISTRATIVOS- DIRECCIÓN DE SERVICIOS GENERALES</v>
      </c>
      <c r="B3" s="748"/>
      <c r="C3" s="748"/>
      <c r="D3" s="748"/>
      <c r="E3" s="748"/>
      <c r="F3" s="748"/>
      <c r="G3" s="749"/>
    </row>
    <row r="4" spans="1:7" s="1" customFormat="1" ht="43.1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thickBot="1">
      <c r="A5" s="364" t="s">
        <v>389</v>
      </c>
      <c r="B5" s="372">
        <f>+'PRESUPUESTO OFICIAL 2026'!B16</f>
        <v>1.6</v>
      </c>
      <c r="C5" s="3"/>
      <c r="D5" s="3"/>
      <c r="E5" s="3"/>
      <c r="F5" s="7" t="s">
        <v>391</v>
      </c>
      <c r="G5" s="363" t="str">
        <f>+'PRESUPUESTO OFICIAL 2026'!H16</f>
        <v>GLO</v>
      </c>
    </row>
    <row r="6" spans="1:7" ht="75" customHeight="1" thickBot="1">
      <c r="A6" s="10" t="s">
        <v>392</v>
      </c>
      <c r="B6" s="974" t="s">
        <v>336</v>
      </c>
      <c r="C6" s="971"/>
      <c r="D6" s="971"/>
      <c r="E6" s="971"/>
      <c r="F6" s="971"/>
      <c r="G6" s="972"/>
    </row>
    <row r="8" spans="1:7" ht="17.25" thickBot="1">
      <c r="A8" s="923" t="s">
        <v>394</v>
      </c>
      <c r="B8" s="923"/>
    </row>
    <row r="9" spans="1:7">
      <c r="A9" s="924" t="s">
        <v>395</v>
      </c>
      <c r="B9" s="925"/>
      <c r="C9" s="13" t="s">
        <v>396</v>
      </c>
      <c r="D9" s="13" t="s">
        <v>397</v>
      </c>
      <c r="E9" s="13" t="s">
        <v>398</v>
      </c>
      <c r="F9" s="13" t="s">
        <v>399</v>
      </c>
      <c r="G9" s="14"/>
    </row>
    <row r="10" spans="1:7">
      <c r="A10" s="926" t="s">
        <v>427</v>
      </c>
      <c r="B10" s="927"/>
      <c r="C10" s="26" t="s">
        <v>428</v>
      </c>
      <c r="D10" s="21">
        <f>G44</f>
        <v>80952.18669849931</v>
      </c>
      <c r="E10" s="31">
        <v>0.05</v>
      </c>
      <c r="F10" s="22">
        <f>E10*D10</f>
        <v>4047.6093349249659</v>
      </c>
      <c r="G10" s="15"/>
    </row>
    <row r="11" spans="1:7" ht="17.25" thickBot="1">
      <c r="A11" s="959"/>
      <c r="B11" s="960"/>
      <c r="C11" s="436"/>
      <c r="D11" s="512"/>
      <c r="E11" s="514"/>
      <c r="F11" s="22"/>
      <c r="G11" s="15"/>
    </row>
    <row r="12" spans="1:7" ht="17.25" thickBot="1">
      <c r="A12" s="957"/>
      <c r="B12" s="958"/>
      <c r="C12" s="506"/>
      <c r="D12" s="513"/>
      <c r="E12" s="434"/>
      <c r="F12" s="22"/>
      <c r="G12" s="17"/>
    </row>
    <row r="13" spans="1:7" ht="17.25" thickBot="1">
      <c r="F13" s="4" t="s">
        <v>400</v>
      </c>
      <c r="G13" s="25">
        <f>SUM(F10:F12)</f>
        <v>4047.6093349249659</v>
      </c>
    </row>
    <row r="14" spans="1:7">
      <c r="F14" s="4"/>
      <c r="G14" s="336"/>
    </row>
    <row r="15" spans="1:7" ht="17.25" thickBot="1">
      <c r="A15" s="930" t="s">
        <v>401</v>
      </c>
      <c r="B15" s="930"/>
    </row>
    <row r="16" spans="1:7">
      <c r="A16" s="931" t="s">
        <v>395</v>
      </c>
      <c r="B16" s="932"/>
      <c r="C16" s="13" t="s">
        <v>402</v>
      </c>
      <c r="D16" s="13" t="s">
        <v>403</v>
      </c>
      <c r="E16" s="13" t="s">
        <v>404</v>
      </c>
      <c r="F16" s="13" t="s">
        <v>399</v>
      </c>
      <c r="G16" s="18"/>
    </row>
    <row r="17" spans="1:11" ht="16.5" customHeight="1">
      <c r="A17" s="916" t="s">
        <v>429</v>
      </c>
      <c r="B17" s="917"/>
      <c r="C17" s="323" t="s">
        <v>430</v>
      </c>
      <c r="D17" s="366">
        <v>7000</v>
      </c>
      <c r="E17" s="369">
        <f>20/60</f>
        <v>0.33333333333333331</v>
      </c>
      <c r="F17" s="22">
        <f t="shared" ref="F17:F22" si="0">+D17*E17</f>
        <v>2333.333333333333</v>
      </c>
      <c r="G17" s="16"/>
    </row>
    <row r="18" spans="1:11">
      <c r="A18" s="916" t="s">
        <v>431</v>
      </c>
      <c r="B18" s="917"/>
      <c r="C18" s="323" t="s">
        <v>430</v>
      </c>
      <c r="D18" s="366">
        <v>3500</v>
      </c>
      <c r="E18" s="370">
        <v>0.17</v>
      </c>
      <c r="F18" s="22">
        <f t="shared" si="0"/>
        <v>595</v>
      </c>
      <c r="G18" s="16"/>
    </row>
    <row r="19" spans="1:11">
      <c r="A19" s="950" t="s">
        <v>432</v>
      </c>
      <c r="B19" s="951"/>
      <c r="C19" s="323" t="s">
        <v>430</v>
      </c>
      <c r="D19" s="366">
        <v>3500</v>
      </c>
      <c r="E19" s="342">
        <v>0.17</v>
      </c>
      <c r="F19" s="22">
        <f t="shared" si="0"/>
        <v>595</v>
      </c>
      <c r="G19" s="343"/>
    </row>
    <row r="20" spans="1:11">
      <c r="A20" s="933"/>
      <c r="B20" s="934"/>
      <c r="C20" s="338"/>
      <c r="D20" s="367"/>
      <c r="E20" s="342"/>
      <c r="F20" s="22">
        <f t="shared" si="0"/>
        <v>0</v>
      </c>
      <c r="G20" s="343"/>
    </row>
    <row r="21" spans="1:11">
      <c r="A21" s="933"/>
      <c r="B21" s="934"/>
      <c r="C21" s="338"/>
      <c r="D21" s="367"/>
      <c r="E21" s="342"/>
      <c r="F21" s="22">
        <f t="shared" si="0"/>
        <v>0</v>
      </c>
      <c r="G21" s="343"/>
    </row>
    <row r="22" spans="1:11" ht="17.25" thickBot="1">
      <c r="A22" s="946"/>
      <c r="B22" s="973"/>
      <c r="C22" s="325"/>
      <c r="D22" s="344"/>
      <c r="E22" s="345"/>
      <c r="F22" s="326">
        <f t="shared" si="0"/>
        <v>0</v>
      </c>
      <c r="G22" s="346"/>
    </row>
    <row r="23" spans="1:11" ht="17.25" thickBot="1">
      <c r="A23" s="941"/>
      <c r="B23" s="941"/>
      <c r="F23" s="4" t="s">
        <v>400</v>
      </c>
      <c r="G23" s="25">
        <f>SUM(F22,F21,F20,F19,F18,F17)</f>
        <v>3523.333333333333</v>
      </c>
      <c r="I23" s="941"/>
      <c r="J23" s="941"/>
      <c r="K23" s="941"/>
    </row>
    <row r="24" spans="1:11" ht="17.25" thickBot="1">
      <c r="A24" s="930" t="s">
        <v>405</v>
      </c>
      <c r="B24" s="930"/>
      <c r="I24" s="83"/>
      <c r="J24" s="83"/>
      <c r="K24" s="83"/>
    </row>
    <row r="25" spans="1:11">
      <c r="A25" s="931" t="s">
        <v>395</v>
      </c>
      <c r="B25" s="932"/>
      <c r="C25" s="13" t="s">
        <v>402</v>
      </c>
      <c r="D25" s="13" t="s">
        <v>403</v>
      </c>
      <c r="E25" s="13" t="s">
        <v>404</v>
      </c>
      <c r="F25" s="13" t="s">
        <v>399</v>
      </c>
      <c r="G25" s="18"/>
      <c r="H25" s="380"/>
      <c r="I25" s="83"/>
      <c r="J25" s="83"/>
      <c r="K25" s="379"/>
    </row>
    <row r="26" spans="1:11">
      <c r="A26" s="969" t="s">
        <v>435</v>
      </c>
      <c r="B26" s="969"/>
      <c r="C26" s="323" t="s">
        <v>436</v>
      </c>
      <c r="D26" s="445">
        <v>28100</v>
      </c>
      <c r="E26" s="450">
        <v>0.1</v>
      </c>
      <c r="F26" s="22">
        <f>+D26*E26</f>
        <v>2810</v>
      </c>
      <c r="G26" s="16"/>
      <c r="H26" s="380"/>
      <c r="I26" s="83"/>
      <c r="J26" s="377"/>
      <c r="K26" s="379"/>
    </row>
    <row r="27" spans="1:11">
      <c r="A27" s="970" t="s">
        <v>437</v>
      </c>
      <c r="B27" s="969"/>
      <c r="C27" s="338" t="s">
        <v>436</v>
      </c>
      <c r="D27" s="446">
        <v>10000</v>
      </c>
      <c r="E27" s="510">
        <v>0.15</v>
      </c>
      <c r="F27" s="22">
        <f t="shared" ref="F27:F32" si="1">+D27*E27</f>
        <v>1500</v>
      </c>
      <c r="G27" s="16"/>
      <c r="H27" s="380"/>
    </row>
    <row r="28" spans="1:11">
      <c r="A28" s="970" t="s">
        <v>439</v>
      </c>
      <c r="B28" s="970"/>
      <c r="C28" s="26" t="s">
        <v>440</v>
      </c>
      <c r="D28" s="447">
        <v>3400</v>
      </c>
      <c r="E28" s="450">
        <v>1</v>
      </c>
      <c r="F28" s="22">
        <f t="shared" si="1"/>
        <v>3400</v>
      </c>
      <c r="G28" s="16"/>
      <c r="K28" s="379"/>
    </row>
    <row r="29" spans="1:11">
      <c r="A29" s="969" t="s">
        <v>441</v>
      </c>
      <c r="B29" s="969"/>
      <c r="C29" s="415" t="s">
        <v>442</v>
      </c>
      <c r="D29" s="448">
        <f>+'APU 1,1'!D29</f>
        <v>58303.406666666669</v>
      </c>
      <c r="E29" s="450">
        <v>0.05</v>
      </c>
      <c r="F29" s="22">
        <f t="shared" si="1"/>
        <v>2915.1703333333335</v>
      </c>
      <c r="G29" s="16"/>
    </row>
    <row r="30" spans="1:11">
      <c r="A30" s="969" t="s">
        <v>443</v>
      </c>
      <c r="B30" s="969"/>
      <c r="C30" s="323" t="s">
        <v>440</v>
      </c>
      <c r="D30" s="449">
        <f>+'APU 1,1'!D30</f>
        <v>5553.333333333333</v>
      </c>
      <c r="E30" s="450">
        <v>0.15</v>
      </c>
      <c r="F30" s="22">
        <f t="shared" si="1"/>
        <v>832.99999999999989</v>
      </c>
      <c r="G30" s="16"/>
    </row>
    <row r="31" spans="1:11">
      <c r="A31" s="969" t="s">
        <v>444</v>
      </c>
      <c r="B31" s="969"/>
      <c r="C31" s="323" t="s">
        <v>442</v>
      </c>
      <c r="D31" s="449">
        <v>42100</v>
      </c>
      <c r="E31" s="450">
        <v>0.1</v>
      </c>
      <c r="F31" s="22">
        <f t="shared" si="1"/>
        <v>4210</v>
      </c>
      <c r="G31" s="16"/>
    </row>
    <row r="32" spans="1:11" ht="17.25" thickBot="1">
      <c r="A32" s="946"/>
      <c r="B32" s="947"/>
      <c r="C32" s="325"/>
      <c r="D32" s="349"/>
      <c r="E32" s="350"/>
      <c r="F32" s="326">
        <f t="shared" si="1"/>
        <v>0</v>
      </c>
      <c r="G32" s="17"/>
    </row>
    <row r="33" spans="1:11" ht="17.25" thickBot="1">
      <c r="F33" s="4" t="s">
        <v>400</v>
      </c>
      <c r="G33" s="11">
        <f>SUM(F26:F32)</f>
        <v>15668.170333333333</v>
      </c>
    </row>
    <row r="34" spans="1:11" ht="17.25" thickBot="1">
      <c r="A34" s="923" t="s">
        <v>410</v>
      </c>
      <c r="B34" s="923"/>
    </row>
    <row r="35" spans="1:11">
      <c r="A35" s="12" t="s">
        <v>411</v>
      </c>
      <c r="B35" s="13" t="s">
        <v>412</v>
      </c>
      <c r="C35" s="13" t="s">
        <v>413</v>
      </c>
      <c r="D35" s="13" t="s">
        <v>414</v>
      </c>
      <c r="E35" s="13" t="s">
        <v>415</v>
      </c>
      <c r="F35" s="13" t="s">
        <v>399</v>
      </c>
      <c r="G35" s="18"/>
    </row>
    <row r="36" spans="1:11">
      <c r="A36" s="351"/>
      <c r="B36" s="32"/>
      <c r="C36" s="352"/>
      <c r="D36" s="352"/>
      <c r="E36" s="81"/>
      <c r="F36" s="22"/>
      <c r="G36" s="19"/>
    </row>
    <row r="37" spans="1:11">
      <c r="A37" s="353" t="s">
        <v>416</v>
      </c>
      <c r="B37" s="354" t="s">
        <v>417</v>
      </c>
      <c r="C37" s="354" t="s">
        <v>193</v>
      </c>
      <c r="D37" s="354" t="s">
        <v>418</v>
      </c>
      <c r="E37" s="354" t="s">
        <v>398</v>
      </c>
      <c r="F37" s="354" t="s">
        <v>399</v>
      </c>
      <c r="G37" s="19"/>
      <c r="I37" s="941"/>
      <c r="J37" s="941"/>
      <c r="K37" s="941"/>
    </row>
    <row r="38" spans="1:11">
      <c r="A38" s="28"/>
      <c r="B38" s="355"/>
      <c r="C38" s="355"/>
      <c r="D38" s="81"/>
      <c r="E38" s="34"/>
      <c r="F38" s="22"/>
      <c r="G38" s="16"/>
      <c r="I38" s="83"/>
      <c r="J38" s="83"/>
      <c r="K38" s="83"/>
    </row>
    <row r="39" spans="1:11" ht="17.25" thickBot="1">
      <c r="A39" s="29"/>
      <c r="B39" s="24"/>
      <c r="C39" s="24"/>
      <c r="D39" s="24"/>
      <c r="E39" s="33"/>
      <c r="F39" s="33"/>
      <c r="G39" s="17"/>
      <c r="H39" s="380"/>
      <c r="I39" s="83"/>
      <c r="J39" s="83"/>
      <c r="K39" s="379"/>
    </row>
    <row r="40" spans="1:11" ht="17.25" thickBot="1">
      <c r="F40" s="4" t="s">
        <v>400</v>
      </c>
      <c r="G40" s="11">
        <f>SUM(F36:F39)</f>
        <v>0</v>
      </c>
      <c r="H40" s="380"/>
      <c r="I40" s="83"/>
      <c r="J40" s="377"/>
      <c r="K40" s="379"/>
    </row>
    <row r="41" spans="1:11" ht="17.25" thickBot="1">
      <c r="A41" s="923" t="s">
        <v>419</v>
      </c>
      <c r="B41" s="923"/>
      <c r="H41" s="380"/>
    </row>
    <row r="42" spans="1:11">
      <c r="A42" s="12" t="s">
        <v>416</v>
      </c>
      <c r="B42" s="13" t="s">
        <v>417</v>
      </c>
      <c r="C42" s="13" t="s">
        <v>193</v>
      </c>
      <c r="D42" s="13" t="s">
        <v>418</v>
      </c>
      <c r="E42" s="13" t="s">
        <v>398</v>
      </c>
      <c r="F42" s="13" t="s">
        <v>399</v>
      </c>
      <c r="G42" s="18"/>
      <c r="K42" s="379"/>
    </row>
    <row r="43" spans="1:11" ht="17.25" thickBot="1">
      <c r="A43" s="441" t="str">
        <f>Insumos!B39</f>
        <v xml:space="preserve">Oficial HVAC+Ayudante </v>
      </c>
      <c r="B43" s="355">
        <f>+Insumos!C40</f>
        <v>26152.364711232374</v>
      </c>
      <c r="C43" s="438">
        <f>+Insumos!D40</f>
        <v>14323.728638017281</v>
      </c>
      <c r="D43" s="326">
        <f>SUM(B43:C43)</f>
        <v>40476.093349249655</v>
      </c>
      <c r="E43" s="361">
        <v>2</v>
      </c>
      <c r="F43" s="326">
        <f>D43*E43</f>
        <v>80952.18669849931</v>
      </c>
      <c r="G43" s="357"/>
    </row>
    <row r="44" spans="1:11" ht="17.25" thickBot="1">
      <c r="F44" s="4" t="s">
        <v>400</v>
      </c>
      <c r="G44" s="11">
        <f>SUM(F43:F43)</f>
        <v>80952.18669849931</v>
      </c>
    </row>
    <row r="45" spans="1:11" ht="17.25" thickBot="1"/>
    <row r="46" spans="1:11" ht="17.25" thickBot="1">
      <c r="F46" s="4" t="s">
        <v>420</v>
      </c>
      <c r="G46" s="71">
        <f>SUM(G44,G40,G33,G23,G13)</f>
        <v>104191.29970009094</v>
      </c>
    </row>
  </sheetData>
  <mergeCells count="32">
    <mergeCell ref="A17:B17"/>
    <mergeCell ref="A1:C1"/>
    <mergeCell ref="D1:G1"/>
    <mergeCell ref="A3:G3"/>
    <mergeCell ref="A4:G4"/>
    <mergeCell ref="B6:G6"/>
    <mergeCell ref="A8:B8"/>
    <mergeCell ref="A9:B9"/>
    <mergeCell ref="A10:B10"/>
    <mergeCell ref="A12:B12"/>
    <mergeCell ref="A15:B15"/>
    <mergeCell ref="A16:B16"/>
    <mergeCell ref="A11:B11"/>
    <mergeCell ref="A18:B18"/>
    <mergeCell ref="A19:B19"/>
    <mergeCell ref="A20:B20"/>
    <mergeCell ref="A21:B21"/>
    <mergeCell ref="A22:B22"/>
    <mergeCell ref="A41:B41"/>
    <mergeCell ref="A29:B29"/>
    <mergeCell ref="A23:B23"/>
    <mergeCell ref="A24:B24"/>
    <mergeCell ref="A25:B25"/>
    <mergeCell ref="A26:B26"/>
    <mergeCell ref="A27:B27"/>
    <mergeCell ref="A28:B28"/>
    <mergeCell ref="I23:K23"/>
    <mergeCell ref="I37:K37"/>
    <mergeCell ref="A30:B30"/>
    <mergeCell ref="A31:B31"/>
    <mergeCell ref="A32:B32"/>
    <mergeCell ref="A34:B34"/>
  </mergeCells>
  <pageMargins left="0.7" right="0.7" top="0.75" bottom="0.75" header="0.3" footer="0.3"/>
  <pageSetup orientation="portrait" horizontalDpi="4294967295" verticalDpi="4294967295"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6"/>
  <sheetViews>
    <sheetView topLeftCell="A13" zoomScaleNormal="100" workbookViewId="0">
      <selection activeCell="D10" sqref="D10"/>
    </sheetView>
  </sheetViews>
  <sheetFormatPr baseColWidth="10" defaultColWidth="11.42578125" defaultRowHeight="16.5"/>
  <cols>
    <col min="1" max="1" width="33" style="2" customWidth="1"/>
    <col min="2" max="2" width="18.570312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2" ht="77.25" customHeight="1" thickBot="1">
      <c r="A1" s="975"/>
      <c r="B1" s="976"/>
      <c r="C1" s="976"/>
      <c r="D1" s="747" t="s">
        <v>388</v>
      </c>
      <c r="E1" s="748"/>
      <c r="F1" s="748"/>
      <c r="G1" s="749"/>
    </row>
    <row r="2" spans="1:12" ht="22.5" customHeight="1" thickBot="1">
      <c r="A2" s="452"/>
      <c r="B2" s="452"/>
      <c r="C2" s="452"/>
      <c r="D2" s="452"/>
      <c r="E2" s="452"/>
      <c r="F2" s="452"/>
      <c r="G2" s="452"/>
    </row>
    <row r="3" spans="1:12" ht="23.25" customHeight="1" thickBot="1">
      <c r="A3" s="747" t="str">
        <f>+'AU  Consul P2'!A3:I3</f>
        <v>SECRETARÍA DE TALENTO HUMANO Y SERVICIOS ADMINISTRATIVOS- DIRECCIÓN DE SERVICIOS GENERALES</v>
      </c>
      <c r="B3" s="748"/>
      <c r="C3" s="748"/>
      <c r="D3" s="748"/>
      <c r="E3" s="748"/>
      <c r="F3" s="748"/>
      <c r="G3" s="749"/>
    </row>
    <row r="4" spans="1:12" s="1" customFormat="1" ht="4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12" ht="22.5" customHeight="1" thickBot="1">
      <c r="A5" s="453" t="s">
        <v>389</v>
      </c>
      <c r="B5" s="454">
        <f>+'PRESUPUESTO OFICIAL 2026'!B17</f>
        <v>1.7</v>
      </c>
      <c r="C5" s="455"/>
      <c r="D5" s="455"/>
      <c r="E5" s="455"/>
      <c r="F5" s="456" t="s">
        <v>391</v>
      </c>
      <c r="G5" s="457" t="str">
        <f>+'PRESUPUESTO OFICIAL 2026'!H17</f>
        <v>GLO</v>
      </c>
    </row>
    <row r="6" spans="1:12" ht="63.75" customHeight="1" thickBot="1">
      <c r="A6" s="458" t="s">
        <v>392</v>
      </c>
      <c r="B6" s="977" t="s">
        <v>337</v>
      </c>
      <c r="C6" s="978"/>
      <c r="D6" s="978"/>
      <c r="E6" s="978"/>
      <c r="F6" s="978"/>
      <c r="G6" s="979"/>
    </row>
    <row r="7" spans="1:12">
      <c r="A7" s="459"/>
      <c r="B7" s="459"/>
      <c r="C7" s="459"/>
      <c r="D7" s="459"/>
      <c r="E7" s="459"/>
      <c r="F7" s="459"/>
      <c r="G7" s="459"/>
    </row>
    <row r="8" spans="1:12" ht="17.25" thickBot="1">
      <c r="A8" s="923" t="s">
        <v>394</v>
      </c>
      <c r="B8" s="923"/>
      <c r="C8" s="459"/>
      <c r="D8" s="459"/>
      <c r="E8" s="459"/>
      <c r="F8" s="459"/>
      <c r="G8" s="459"/>
    </row>
    <row r="9" spans="1:12">
      <c r="A9" s="955" t="s">
        <v>395</v>
      </c>
      <c r="B9" s="956"/>
      <c r="C9" s="461" t="s">
        <v>396</v>
      </c>
      <c r="D9" s="461" t="s">
        <v>397</v>
      </c>
      <c r="E9" s="461" t="s">
        <v>398</v>
      </c>
      <c r="F9" s="461" t="s">
        <v>399</v>
      </c>
      <c r="G9" s="462"/>
    </row>
    <row r="10" spans="1:12">
      <c r="A10" s="926" t="s">
        <v>427</v>
      </c>
      <c r="B10" s="927"/>
      <c r="C10" s="26" t="s">
        <v>428</v>
      </c>
      <c r="D10" s="21">
        <f>G44</f>
        <v>101190.23337312414</v>
      </c>
      <c r="E10" s="31">
        <v>0.05</v>
      </c>
      <c r="F10" s="22">
        <f>E10*D10</f>
        <v>5059.5116686562069</v>
      </c>
      <c r="G10" s="463"/>
    </row>
    <row r="11" spans="1:12" ht="17.25" thickBot="1">
      <c r="A11" s="959"/>
      <c r="B11" s="960"/>
      <c r="C11" s="436"/>
      <c r="D11" s="512"/>
      <c r="E11" s="514"/>
      <c r="F11" s="22"/>
      <c r="G11" s="463"/>
    </row>
    <row r="12" spans="1:12" ht="17.25" thickBot="1">
      <c r="A12" s="957"/>
      <c r="B12" s="958"/>
      <c r="C12" s="506"/>
      <c r="D12" s="513"/>
      <c r="E12" s="434"/>
      <c r="F12" s="22"/>
      <c r="G12" s="464"/>
    </row>
    <row r="13" spans="1:12" ht="17.25" thickBot="1">
      <c r="A13" s="459"/>
      <c r="B13" s="459"/>
      <c r="C13" s="459"/>
      <c r="D13" s="459"/>
      <c r="E13" s="459"/>
      <c r="F13" s="465" t="s">
        <v>400</v>
      </c>
      <c r="G13" s="25">
        <f>SUM(F10:F12)</f>
        <v>5059.5116686562069</v>
      </c>
    </row>
    <row r="14" spans="1:12">
      <c r="A14" s="459"/>
      <c r="B14" s="459"/>
      <c r="C14" s="459"/>
      <c r="D14" s="459"/>
      <c r="E14" s="459"/>
      <c r="F14" s="465"/>
      <c r="G14" s="336"/>
      <c r="L14" s="378"/>
    </row>
    <row r="15" spans="1:12" ht="17.25" thickBot="1">
      <c r="A15" s="930" t="s">
        <v>401</v>
      </c>
      <c r="B15" s="930"/>
      <c r="C15" s="459"/>
      <c r="D15" s="459"/>
      <c r="E15" s="459"/>
      <c r="F15" s="459"/>
      <c r="G15" s="459"/>
      <c r="L15" s="378"/>
    </row>
    <row r="16" spans="1:12">
      <c r="A16" s="953" t="s">
        <v>395</v>
      </c>
      <c r="B16" s="954"/>
      <c r="C16" s="461" t="s">
        <v>402</v>
      </c>
      <c r="D16" s="461" t="s">
        <v>403</v>
      </c>
      <c r="E16" s="461" t="s">
        <v>404</v>
      </c>
      <c r="F16" s="461" t="s">
        <v>399</v>
      </c>
      <c r="G16" s="467"/>
      <c r="L16" s="378"/>
    </row>
    <row r="17" spans="1:12" ht="16.5" customHeight="1">
      <c r="A17" s="916" t="s">
        <v>429</v>
      </c>
      <c r="B17" s="917"/>
      <c r="C17" s="323" t="s">
        <v>430</v>
      </c>
      <c r="D17" s="468">
        <v>7000</v>
      </c>
      <c r="E17" s="369">
        <f>20/60</f>
        <v>0.33333333333333331</v>
      </c>
      <c r="F17" s="22">
        <f t="shared" ref="F17:F22" si="0">+D17*E17</f>
        <v>2333.333333333333</v>
      </c>
      <c r="G17" s="463"/>
      <c r="L17" s="378"/>
    </row>
    <row r="18" spans="1:12">
      <c r="A18" s="916" t="s">
        <v>431</v>
      </c>
      <c r="B18" s="917"/>
      <c r="C18" s="323" t="s">
        <v>430</v>
      </c>
      <c r="D18" s="468">
        <v>3500</v>
      </c>
      <c r="E18" s="469">
        <v>0.17</v>
      </c>
      <c r="F18" s="22">
        <f t="shared" si="0"/>
        <v>595</v>
      </c>
      <c r="G18" s="463"/>
      <c r="L18" s="378"/>
    </row>
    <row r="19" spans="1:12">
      <c r="A19" s="950" t="s">
        <v>432</v>
      </c>
      <c r="B19" s="951"/>
      <c r="C19" s="323" t="s">
        <v>430</v>
      </c>
      <c r="D19" s="468">
        <v>3500</v>
      </c>
      <c r="E19" s="470">
        <v>0.17</v>
      </c>
      <c r="F19" s="22">
        <f t="shared" si="0"/>
        <v>595</v>
      </c>
      <c r="G19" s="471"/>
    </row>
    <row r="20" spans="1:12">
      <c r="A20" s="933"/>
      <c r="B20" s="934"/>
      <c r="C20" s="338"/>
      <c r="D20" s="472"/>
      <c r="E20" s="470"/>
      <c r="F20" s="22">
        <f t="shared" si="0"/>
        <v>0</v>
      </c>
      <c r="G20" s="471"/>
    </row>
    <row r="21" spans="1:12">
      <c r="A21" s="933"/>
      <c r="B21" s="934"/>
      <c r="C21" s="338"/>
      <c r="D21" s="472"/>
      <c r="E21" s="470"/>
      <c r="F21" s="22">
        <f t="shared" si="0"/>
        <v>0</v>
      </c>
      <c r="G21" s="471"/>
    </row>
    <row r="22" spans="1:12" ht="17.25" thickBot="1">
      <c r="A22" s="946"/>
      <c r="B22" s="973"/>
      <c r="C22" s="325"/>
      <c r="D22" s="473"/>
      <c r="E22" s="474"/>
      <c r="F22" s="326">
        <f t="shared" si="0"/>
        <v>0</v>
      </c>
      <c r="G22" s="475"/>
    </row>
    <row r="23" spans="1:12" ht="17.25" thickBot="1">
      <c r="A23" s="952"/>
      <c r="B23" s="952"/>
      <c r="C23" s="459"/>
      <c r="D23" s="459"/>
      <c r="E23" s="459"/>
      <c r="F23" s="465" t="s">
        <v>400</v>
      </c>
      <c r="G23" s="25">
        <f>SUM(F22,F21,F20,F19,F18,F17)</f>
        <v>3523.333333333333</v>
      </c>
    </row>
    <row r="24" spans="1:12" ht="17.25" thickBot="1">
      <c r="A24" s="930" t="s">
        <v>405</v>
      </c>
      <c r="B24" s="930"/>
      <c r="C24" s="459"/>
      <c r="D24" s="459"/>
      <c r="E24" s="459"/>
      <c r="F24" s="459"/>
      <c r="G24" s="459"/>
    </row>
    <row r="25" spans="1:12">
      <c r="A25" s="953" t="s">
        <v>395</v>
      </c>
      <c r="B25" s="954"/>
      <c r="C25" s="461" t="s">
        <v>402</v>
      </c>
      <c r="D25" s="461" t="s">
        <v>403</v>
      </c>
      <c r="E25" s="461" t="s">
        <v>404</v>
      </c>
      <c r="F25" s="461" t="s">
        <v>399</v>
      </c>
      <c r="G25" s="467"/>
    </row>
    <row r="26" spans="1:12">
      <c r="A26" s="969" t="s">
        <v>435</v>
      </c>
      <c r="B26" s="969"/>
      <c r="C26" s="323" t="s">
        <v>436</v>
      </c>
      <c r="D26" s="445">
        <v>28100</v>
      </c>
      <c r="E26" s="489">
        <v>0.1</v>
      </c>
      <c r="F26" s="22">
        <f>+D26*E26</f>
        <v>2810</v>
      </c>
      <c r="G26" s="463"/>
    </row>
    <row r="27" spans="1:12">
      <c r="A27" s="970" t="s">
        <v>437</v>
      </c>
      <c r="B27" s="969"/>
      <c r="C27" s="338" t="s">
        <v>436</v>
      </c>
      <c r="D27" s="446">
        <v>10000</v>
      </c>
      <c r="E27" s="490">
        <v>0.18</v>
      </c>
      <c r="F27" s="22">
        <f t="shared" ref="F27:F32" si="1">+D27*E27</f>
        <v>1800</v>
      </c>
      <c r="G27" s="463"/>
    </row>
    <row r="28" spans="1:12">
      <c r="A28" s="970" t="s">
        <v>439</v>
      </c>
      <c r="B28" s="970"/>
      <c r="C28" s="26" t="s">
        <v>440</v>
      </c>
      <c r="D28" s="447">
        <v>3400</v>
      </c>
      <c r="E28" s="489">
        <v>1</v>
      </c>
      <c r="F28" s="22">
        <f t="shared" si="1"/>
        <v>3400</v>
      </c>
      <c r="G28" s="463"/>
    </row>
    <row r="29" spans="1:12">
      <c r="A29" s="969" t="s">
        <v>441</v>
      </c>
      <c r="B29" s="969"/>
      <c r="C29" s="415" t="s">
        <v>442</v>
      </c>
      <c r="D29" s="448">
        <f>+'APU 1,1'!D29</f>
        <v>58303.406666666669</v>
      </c>
      <c r="E29" s="489">
        <v>0.1</v>
      </c>
      <c r="F29" s="22">
        <f t="shared" si="1"/>
        <v>5830.3406666666669</v>
      </c>
      <c r="G29" s="463"/>
    </row>
    <row r="30" spans="1:12">
      <c r="A30" s="969" t="s">
        <v>443</v>
      </c>
      <c r="B30" s="969"/>
      <c r="C30" s="323" t="s">
        <v>440</v>
      </c>
      <c r="D30" s="449">
        <f>+'APU 1,1'!D30</f>
        <v>5553.333333333333</v>
      </c>
      <c r="E30" s="489">
        <v>0.12</v>
      </c>
      <c r="F30" s="22">
        <f t="shared" si="1"/>
        <v>666.4</v>
      </c>
      <c r="G30" s="463"/>
    </row>
    <row r="31" spans="1:12">
      <c r="A31" s="969" t="s">
        <v>444</v>
      </c>
      <c r="B31" s="969"/>
      <c r="C31" s="323" t="s">
        <v>442</v>
      </c>
      <c r="D31" s="449">
        <v>42100</v>
      </c>
      <c r="E31" s="489">
        <v>0.1</v>
      </c>
      <c r="F31" s="22">
        <f t="shared" si="1"/>
        <v>4210</v>
      </c>
      <c r="G31" s="463"/>
    </row>
    <row r="32" spans="1:12" ht="17.25" thickBot="1">
      <c r="A32" s="946"/>
      <c r="B32" s="947"/>
      <c r="C32" s="325"/>
      <c r="D32" s="476"/>
      <c r="E32" s="350"/>
      <c r="F32" s="326">
        <f t="shared" si="1"/>
        <v>0</v>
      </c>
      <c r="G32" s="464"/>
    </row>
    <row r="33" spans="1:7" ht="17.25" thickBot="1">
      <c r="A33" s="459"/>
      <c r="B33" s="459"/>
      <c r="C33" s="459"/>
      <c r="D33" s="459"/>
      <c r="E33" s="459"/>
      <c r="F33" s="465" t="s">
        <v>400</v>
      </c>
      <c r="G33" s="25">
        <f>SUM(F26:F32)</f>
        <v>18716.740666666665</v>
      </c>
    </row>
    <row r="34" spans="1:7" ht="17.25" thickBot="1">
      <c r="A34" s="923" t="s">
        <v>410</v>
      </c>
      <c r="B34" s="923"/>
      <c r="C34" s="459"/>
      <c r="D34" s="459"/>
      <c r="E34" s="459"/>
      <c r="F34" s="459"/>
      <c r="G34" s="459"/>
    </row>
    <row r="35" spans="1:7">
      <c r="A35" s="460" t="s">
        <v>411</v>
      </c>
      <c r="B35" s="461" t="s">
        <v>412</v>
      </c>
      <c r="C35" s="461" t="s">
        <v>413</v>
      </c>
      <c r="D35" s="461" t="s">
        <v>414</v>
      </c>
      <c r="E35" s="461" t="s">
        <v>415</v>
      </c>
      <c r="F35" s="461" t="s">
        <v>399</v>
      </c>
      <c r="G35" s="467"/>
    </row>
    <row r="36" spans="1:7">
      <c r="A36" s="351"/>
      <c r="B36" s="32"/>
      <c r="C36" s="352"/>
      <c r="D36" s="352"/>
      <c r="E36" s="81"/>
      <c r="F36" s="22"/>
      <c r="G36" s="477"/>
    </row>
    <row r="37" spans="1:7">
      <c r="A37" s="478" t="s">
        <v>416</v>
      </c>
      <c r="B37" s="479" t="s">
        <v>417</v>
      </c>
      <c r="C37" s="479" t="s">
        <v>193</v>
      </c>
      <c r="D37" s="479" t="s">
        <v>418</v>
      </c>
      <c r="E37" s="479" t="s">
        <v>398</v>
      </c>
      <c r="F37" s="479" t="s">
        <v>399</v>
      </c>
      <c r="G37" s="477"/>
    </row>
    <row r="38" spans="1:7">
      <c r="A38" s="28"/>
      <c r="B38" s="355"/>
      <c r="C38" s="355"/>
      <c r="D38" s="81"/>
      <c r="E38" s="34"/>
      <c r="F38" s="22"/>
      <c r="G38" s="463"/>
    </row>
    <row r="39" spans="1:7" ht="17.25" thickBot="1">
      <c r="A39" s="29"/>
      <c r="B39" s="24"/>
      <c r="C39" s="24"/>
      <c r="D39" s="24"/>
      <c r="E39" s="33"/>
      <c r="F39" s="33"/>
      <c r="G39" s="464"/>
    </row>
    <row r="40" spans="1:7" ht="17.25" thickBot="1">
      <c r="A40" s="459"/>
      <c r="B40" s="459"/>
      <c r="C40" s="459"/>
      <c r="D40" s="459"/>
      <c r="E40" s="459"/>
      <c r="F40" s="465" t="s">
        <v>400</v>
      </c>
      <c r="G40" s="25">
        <f>SUM(F36:F39)</f>
        <v>0</v>
      </c>
    </row>
    <row r="41" spans="1:7" ht="17.25" thickBot="1">
      <c r="A41" s="923" t="s">
        <v>419</v>
      </c>
      <c r="B41" s="923"/>
      <c r="C41" s="459"/>
      <c r="D41" s="459"/>
      <c r="E41" s="459"/>
      <c r="F41" s="459"/>
      <c r="G41" s="459"/>
    </row>
    <row r="42" spans="1:7">
      <c r="A42" s="460" t="s">
        <v>416</v>
      </c>
      <c r="B42" s="461" t="s">
        <v>417</v>
      </c>
      <c r="C42" s="461" t="s">
        <v>193</v>
      </c>
      <c r="D42" s="461" t="s">
        <v>418</v>
      </c>
      <c r="E42" s="461" t="s">
        <v>398</v>
      </c>
      <c r="F42" s="461" t="s">
        <v>399</v>
      </c>
      <c r="G42" s="467"/>
    </row>
    <row r="43" spans="1:7" ht="17.25" thickBot="1">
      <c r="A43" s="441" t="str">
        <f>Insumos!B39</f>
        <v xml:space="preserve">Oficial HVAC+Ayudante </v>
      </c>
      <c r="B43" s="355">
        <f>+Insumos!C40</f>
        <v>26152.364711232374</v>
      </c>
      <c r="C43" s="438">
        <f>+Insumos!D40</f>
        <v>14323.728638017281</v>
      </c>
      <c r="D43" s="326">
        <f>SUM(B43:C43)</f>
        <v>40476.093349249655</v>
      </c>
      <c r="E43" s="361">
        <v>2.5</v>
      </c>
      <c r="F43" s="326">
        <f>D43*E43</f>
        <v>101190.23337312414</v>
      </c>
      <c r="G43" s="480"/>
    </row>
    <row r="44" spans="1:7" ht="17.25" thickBot="1">
      <c r="A44" s="459"/>
      <c r="B44" s="459"/>
      <c r="C44" s="459"/>
      <c r="D44" s="459"/>
      <c r="E44" s="459"/>
      <c r="F44" s="465" t="s">
        <v>400</v>
      </c>
      <c r="G44" s="25">
        <f>SUM(F43:F43)</f>
        <v>101190.23337312414</v>
      </c>
    </row>
    <row r="45" spans="1:7" ht="17.25" thickBot="1">
      <c r="A45" s="459"/>
      <c r="B45" s="459"/>
      <c r="C45" s="459"/>
      <c r="D45" s="459"/>
      <c r="E45" s="459"/>
      <c r="F45" s="459"/>
      <c r="G45" s="459"/>
    </row>
    <row r="46" spans="1:7" ht="17.25" thickBot="1">
      <c r="A46" s="459"/>
      <c r="B46" s="459"/>
      <c r="C46" s="459"/>
      <c r="D46" s="459"/>
      <c r="E46" s="459"/>
      <c r="F46" s="465" t="s">
        <v>420</v>
      </c>
      <c r="G46" s="481">
        <f>SUM(G44,G40,G33,G23,G13)</f>
        <v>128489.81904178034</v>
      </c>
    </row>
  </sheetData>
  <mergeCells count="30">
    <mergeCell ref="A17:B17"/>
    <mergeCell ref="A1:C1"/>
    <mergeCell ref="D1:G1"/>
    <mergeCell ref="A3:G3"/>
    <mergeCell ref="A4:G4"/>
    <mergeCell ref="B6:G6"/>
    <mergeCell ref="A8:B8"/>
    <mergeCell ref="A9:B9"/>
    <mergeCell ref="A10:B10"/>
    <mergeCell ref="A12:B12"/>
    <mergeCell ref="A15:B15"/>
    <mergeCell ref="A16:B16"/>
    <mergeCell ref="A11:B11"/>
    <mergeCell ref="A29:B29"/>
    <mergeCell ref="A18:B18"/>
    <mergeCell ref="A19:B19"/>
    <mergeCell ref="A20:B20"/>
    <mergeCell ref="A21:B21"/>
    <mergeCell ref="A22:B22"/>
    <mergeCell ref="A23:B23"/>
    <mergeCell ref="A24:B24"/>
    <mergeCell ref="A25:B25"/>
    <mergeCell ref="A26:B26"/>
    <mergeCell ref="A27:B27"/>
    <mergeCell ref="A28:B28"/>
    <mergeCell ref="A30:B30"/>
    <mergeCell ref="A31:B31"/>
    <mergeCell ref="A32:B32"/>
    <mergeCell ref="A34:B34"/>
    <mergeCell ref="A41:B41"/>
  </mergeCells>
  <pageMargins left="0.7" right="0.7" top="0.75" bottom="0.75" header="0.3" footer="0.3"/>
  <pageSetup orientation="portrait" horizontalDpi="4294967295" verticalDpi="4294967295"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V45"/>
  <sheetViews>
    <sheetView topLeftCell="A33" zoomScale="106" zoomScaleNormal="106" workbookViewId="0">
      <selection activeCell="A30" sqref="A30:B30"/>
    </sheetView>
  </sheetViews>
  <sheetFormatPr baseColWidth="10" defaultColWidth="11.42578125" defaultRowHeight="16.5"/>
  <cols>
    <col min="1" max="1" width="33" style="2" customWidth="1"/>
    <col min="2" max="2" width="17.7109375" style="2" customWidth="1"/>
    <col min="3" max="3" width="14.85546875" style="2" customWidth="1"/>
    <col min="4" max="4" width="13.85546875" style="2" customWidth="1"/>
    <col min="5" max="5" width="17.5703125" style="2" customWidth="1"/>
    <col min="6" max="6" width="16.140625" style="2" customWidth="1"/>
    <col min="7" max="7" width="16.7109375" style="2" customWidth="1"/>
    <col min="8" max="16384" width="11.42578125" style="2"/>
  </cols>
  <sheetData>
    <row r="1" spans="1:12" ht="77.25" customHeight="1" thickBot="1">
      <c r="A1" s="918"/>
      <c r="B1" s="919"/>
      <c r="C1" s="919"/>
      <c r="D1" s="704" t="s">
        <v>388</v>
      </c>
      <c r="E1" s="705"/>
      <c r="F1" s="705"/>
      <c r="G1" s="706"/>
    </row>
    <row r="2" spans="1:12" ht="22.5" customHeight="1" thickBot="1">
      <c r="A2" s="8"/>
      <c r="B2" s="8"/>
      <c r="C2" s="8"/>
      <c r="D2" s="9"/>
      <c r="E2" s="9"/>
      <c r="F2" s="9"/>
      <c r="G2" s="9"/>
    </row>
    <row r="3" spans="1:12" ht="23.25" customHeight="1" thickBot="1">
      <c r="A3" s="747" t="str">
        <f>+'AU  Consul P2'!A3:I3</f>
        <v>SECRETARÍA DE TALENTO HUMANO Y SERVICIOS ADMINISTRATIVOS- DIRECCIÓN DE SERVICIOS GENERALES</v>
      </c>
      <c r="B3" s="748"/>
      <c r="C3" s="748"/>
      <c r="D3" s="748"/>
      <c r="E3" s="748"/>
      <c r="F3" s="748"/>
      <c r="G3" s="749"/>
    </row>
    <row r="4" spans="1:12" s="1" customFormat="1" ht="40.9"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12" ht="22.5" customHeight="1" thickBot="1">
      <c r="A5" s="364" t="s">
        <v>389</v>
      </c>
      <c r="B5" s="372">
        <f>+'PRESUPUESTO OFICIAL 2026'!B18</f>
        <v>1.8</v>
      </c>
      <c r="C5" s="3"/>
      <c r="D5" s="3"/>
      <c r="E5" s="3"/>
      <c r="F5" s="7" t="s">
        <v>391</v>
      </c>
      <c r="G5" s="363" t="str">
        <f>+'PRESUPUESTO OFICIAL 2026'!H18</f>
        <v>GLO</v>
      </c>
    </row>
    <row r="6" spans="1:12" ht="63" customHeight="1" thickBot="1">
      <c r="A6" s="10" t="s">
        <v>392</v>
      </c>
      <c r="B6" s="974" t="s">
        <v>502</v>
      </c>
      <c r="C6" s="971"/>
      <c r="D6" s="971"/>
      <c r="E6" s="971"/>
      <c r="F6" s="971"/>
      <c r="G6" s="972"/>
    </row>
    <row r="8" spans="1:12" ht="17.25" thickBot="1">
      <c r="A8" s="923" t="s">
        <v>394</v>
      </c>
      <c r="B8" s="923"/>
    </row>
    <row r="9" spans="1:12">
      <c r="A9" s="924" t="s">
        <v>395</v>
      </c>
      <c r="B9" s="925"/>
      <c r="C9" s="13" t="s">
        <v>396</v>
      </c>
      <c r="D9" s="13" t="s">
        <v>397</v>
      </c>
      <c r="E9" s="13" t="s">
        <v>398</v>
      </c>
      <c r="F9" s="13" t="s">
        <v>399</v>
      </c>
      <c r="G9" s="14"/>
    </row>
    <row r="10" spans="1:12">
      <c r="A10" s="926" t="s">
        <v>427</v>
      </c>
      <c r="B10" s="927"/>
      <c r="C10" s="26" t="s">
        <v>428</v>
      </c>
      <c r="D10" s="21">
        <f>G43</f>
        <v>80952.18669849931</v>
      </c>
      <c r="E10" s="335">
        <v>0.1</v>
      </c>
      <c r="F10" s="22">
        <f>E10*D10</f>
        <v>8095.2186698499318</v>
      </c>
      <c r="G10" s="15"/>
      <c r="J10" s="378"/>
      <c r="K10" s="83"/>
      <c r="L10" s="378"/>
    </row>
    <row r="11" spans="1:12" ht="17.25" thickBot="1">
      <c r="A11" s="928"/>
      <c r="B11" s="929"/>
      <c r="C11" s="24"/>
      <c r="D11" s="24"/>
      <c r="E11" s="368"/>
      <c r="F11" s="326">
        <f>E11*D11</f>
        <v>0</v>
      </c>
      <c r="G11" s="17"/>
      <c r="J11" s="378"/>
      <c r="K11" s="83"/>
      <c r="L11" s="378"/>
    </row>
    <row r="12" spans="1:12" ht="17.25" thickBot="1">
      <c r="F12" s="4" t="s">
        <v>400</v>
      </c>
      <c r="G12" s="25">
        <f>SUM(F10:F11)</f>
        <v>8095.2186698499318</v>
      </c>
      <c r="K12" s="377"/>
      <c r="L12" s="378"/>
    </row>
    <row r="13" spans="1:12">
      <c r="F13" s="4"/>
      <c r="G13" s="336"/>
      <c r="L13" s="378"/>
    </row>
    <row r="14" spans="1:12" ht="17.25" thickBot="1">
      <c r="A14" s="930" t="s">
        <v>401</v>
      </c>
      <c r="B14" s="930"/>
    </row>
    <row r="15" spans="1:12">
      <c r="A15" s="931" t="s">
        <v>395</v>
      </c>
      <c r="B15" s="932"/>
      <c r="C15" s="13" t="s">
        <v>402</v>
      </c>
      <c r="D15" s="13" t="s">
        <v>403</v>
      </c>
      <c r="E15" s="13" t="s">
        <v>398</v>
      </c>
      <c r="F15" s="13" t="s">
        <v>399</v>
      </c>
      <c r="G15" s="18"/>
    </row>
    <row r="16" spans="1:12" ht="16.5" customHeight="1">
      <c r="A16" s="980"/>
      <c r="B16" s="981"/>
      <c r="C16" s="323"/>
      <c r="D16" s="366"/>
      <c r="E16" s="371"/>
      <c r="F16" s="22"/>
      <c r="G16" s="16"/>
    </row>
    <row r="17" spans="1:13">
      <c r="A17" s="916"/>
      <c r="B17" s="917"/>
      <c r="C17" s="338"/>
      <c r="D17" s="366"/>
      <c r="E17" s="371"/>
      <c r="F17" s="22"/>
      <c r="G17" s="16"/>
    </row>
    <row r="18" spans="1:13">
      <c r="A18" s="935"/>
      <c r="B18" s="936"/>
      <c r="C18" s="323"/>
      <c r="D18" s="366"/>
      <c r="E18" s="342"/>
      <c r="F18" s="22"/>
      <c r="G18" s="343"/>
    </row>
    <row r="19" spans="1:13">
      <c r="A19" s="933"/>
      <c r="B19" s="934"/>
      <c r="C19" s="83"/>
      <c r="D19" s="367"/>
      <c r="E19" s="342"/>
      <c r="F19" s="22"/>
      <c r="G19" s="343"/>
    </row>
    <row r="20" spans="1:13">
      <c r="A20" s="933"/>
      <c r="B20" s="934"/>
      <c r="C20" s="338"/>
      <c r="D20" s="367"/>
      <c r="E20" s="342"/>
      <c r="F20" s="22"/>
      <c r="G20" s="343"/>
    </row>
    <row r="21" spans="1:13" ht="17.25" thickBot="1">
      <c r="A21" s="946"/>
      <c r="B21" s="973"/>
      <c r="C21" s="325"/>
      <c r="D21" s="344"/>
      <c r="E21" s="345"/>
      <c r="F21" s="326"/>
      <c r="G21" s="346"/>
    </row>
    <row r="22" spans="1:13" ht="17.25" thickBot="1">
      <c r="A22" s="941"/>
      <c r="B22" s="941"/>
      <c r="F22" s="4" t="s">
        <v>400</v>
      </c>
      <c r="G22" s="25">
        <f>SUM(F21,F20,F19,F18,F17,F16)</f>
        <v>0</v>
      </c>
      <c r="K22" s="2">
        <v>3358</v>
      </c>
      <c r="M22"/>
    </row>
    <row r="23" spans="1:13" ht="17.25" thickBot="1">
      <c r="A23" s="930" t="s">
        <v>405</v>
      </c>
      <c r="B23" s="930"/>
      <c r="K23" s="2">
        <v>5300</v>
      </c>
    </row>
    <row r="24" spans="1:13">
      <c r="A24" s="931" t="s">
        <v>395</v>
      </c>
      <c r="B24" s="932"/>
      <c r="C24" s="13" t="s">
        <v>402</v>
      </c>
      <c r="D24" s="13" t="s">
        <v>403</v>
      </c>
      <c r="E24" s="13" t="s">
        <v>404</v>
      </c>
      <c r="F24" s="13" t="s">
        <v>399</v>
      </c>
      <c r="G24" s="18"/>
      <c r="K24" s="2">
        <v>7505</v>
      </c>
    </row>
    <row r="25" spans="1:13">
      <c r="A25" s="980" t="s">
        <v>521</v>
      </c>
      <c r="B25" s="981"/>
      <c r="C25" s="323" t="s">
        <v>440</v>
      </c>
      <c r="D25" s="640">
        <v>500000</v>
      </c>
      <c r="E25" s="371">
        <v>1</v>
      </c>
      <c r="F25" s="22">
        <f t="shared" ref="F25:F31" si="0">+D25*E25</f>
        <v>500000</v>
      </c>
      <c r="G25" s="16"/>
      <c r="K25" s="2">
        <f>AVERAGE(K22:K24)</f>
        <v>5387.666666666667</v>
      </c>
    </row>
    <row r="26" spans="1:13">
      <c r="A26" s="916" t="s">
        <v>451</v>
      </c>
      <c r="B26" s="917"/>
      <c r="C26" s="338" t="s">
        <v>452</v>
      </c>
      <c r="D26" s="366">
        <v>45000</v>
      </c>
      <c r="E26" s="371">
        <v>1</v>
      </c>
      <c r="F26" s="22">
        <f t="shared" si="0"/>
        <v>45000</v>
      </c>
      <c r="G26" s="16"/>
    </row>
    <row r="27" spans="1:13">
      <c r="A27" s="935"/>
      <c r="B27" s="936"/>
      <c r="C27" s="323"/>
      <c r="D27" s="366"/>
      <c r="E27" s="342"/>
      <c r="F27" s="22">
        <f t="shared" si="0"/>
        <v>0</v>
      </c>
      <c r="G27" s="16"/>
    </row>
    <row r="28" spans="1:13">
      <c r="A28" s="933"/>
      <c r="B28" s="934"/>
      <c r="C28" s="83"/>
      <c r="D28" s="367"/>
      <c r="E28" s="342"/>
      <c r="F28" s="22">
        <f t="shared" si="0"/>
        <v>0</v>
      </c>
      <c r="G28" s="16"/>
    </row>
    <row r="29" spans="1:13">
      <c r="A29" s="933"/>
      <c r="B29" s="934"/>
      <c r="C29" s="338"/>
      <c r="D29" s="367"/>
      <c r="E29" s="342"/>
      <c r="F29" s="22">
        <f t="shared" si="0"/>
        <v>0</v>
      </c>
      <c r="G29" s="16"/>
    </row>
    <row r="30" spans="1:13">
      <c r="A30" s="945"/>
      <c r="B30" s="944"/>
      <c r="C30" s="323"/>
      <c r="D30" s="324"/>
      <c r="E30" s="347"/>
      <c r="F30" s="22">
        <f t="shared" si="0"/>
        <v>0</v>
      </c>
      <c r="G30" s="16"/>
    </row>
    <row r="31" spans="1:13" ht="17.25" thickBot="1">
      <c r="A31" s="946"/>
      <c r="B31" s="947"/>
      <c r="C31" s="325"/>
      <c r="D31" s="349"/>
      <c r="E31" s="350"/>
      <c r="F31" s="326">
        <f t="shared" si="0"/>
        <v>0</v>
      </c>
      <c r="G31" s="17"/>
    </row>
    <row r="32" spans="1:13" ht="17.25" thickBot="1">
      <c r="F32" s="4" t="s">
        <v>400</v>
      </c>
      <c r="G32" s="11">
        <f>SUM(F25:F31)</f>
        <v>545000</v>
      </c>
    </row>
    <row r="33" spans="1:22" ht="17.25" thickBot="1">
      <c r="A33" s="923" t="s">
        <v>410</v>
      </c>
      <c r="B33" s="923"/>
    </row>
    <row r="34" spans="1:22">
      <c r="A34" s="12" t="s">
        <v>411</v>
      </c>
      <c r="B34" s="13" t="s">
        <v>412</v>
      </c>
      <c r="C34" s="13" t="s">
        <v>413</v>
      </c>
      <c r="D34" s="13" t="s">
        <v>414</v>
      </c>
      <c r="E34" s="13" t="s">
        <v>415</v>
      </c>
      <c r="F34" s="13" t="s">
        <v>399</v>
      </c>
      <c r="G34" s="18"/>
    </row>
    <row r="35" spans="1:22">
      <c r="A35" s="351"/>
      <c r="B35" s="32"/>
      <c r="C35" s="352"/>
      <c r="D35" s="352"/>
      <c r="E35" s="81"/>
      <c r="F35" s="22"/>
      <c r="G35" s="19"/>
    </row>
    <row r="36" spans="1:22">
      <c r="A36" s="353" t="s">
        <v>416</v>
      </c>
      <c r="B36" s="354" t="s">
        <v>417</v>
      </c>
      <c r="C36" s="354" t="s">
        <v>193</v>
      </c>
      <c r="D36" s="354" t="s">
        <v>418</v>
      </c>
      <c r="E36" s="354" t="s">
        <v>398</v>
      </c>
      <c r="F36" s="354" t="s">
        <v>399</v>
      </c>
      <c r="G36" s="19"/>
    </row>
    <row r="37" spans="1:22">
      <c r="A37" s="28"/>
      <c r="B37" s="355"/>
      <c r="C37" s="355"/>
      <c r="D37" s="81"/>
      <c r="E37" s="34"/>
      <c r="F37" s="22"/>
      <c r="G37" s="16"/>
    </row>
    <row r="38" spans="1:22" ht="17.25" thickBot="1">
      <c r="A38" s="29"/>
      <c r="B38" s="24"/>
      <c r="C38" s="24"/>
      <c r="D38" s="24"/>
      <c r="E38" s="33"/>
      <c r="F38" s="33"/>
      <c r="G38" s="17"/>
    </row>
    <row r="39" spans="1:22" ht="17.25" thickBot="1">
      <c r="F39" s="4" t="s">
        <v>400</v>
      </c>
      <c r="G39" s="11">
        <f>SUM(F35:F38)</f>
        <v>0</v>
      </c>
      <c r="V39"/>
    </row>
    <row r="40" spans="1:22" ht="17.25" thickBot="1">
      <c r="A40" s="923" t="s">
        <v>419</v>
      </c>
      <c r="B40" s="923"/>
      <c r="C40" s="459"/>
      <c r="D40" s="459"/>
      <c r="E40" s="459"/>
      <c r="F40" s="459"/>
      <c r="G40" s="459"/>
    </row>
    <row r="41" spans="1:22">
      <c r="A41" s="460" t="s">
        <v>416</v>
      </c>
      <c r="B41" s="461" t="s">
        <v>417</v>
      </c>
      <c r="C41" s="461" t="s">
        <v>193</v>
      </c>
      <c r="D41" s="461" t="s">
        <v>418</v>
      </c>
      <c r="E41" s="461" t="s">
        <v>398</v>
      </c>
      <c r="F41" s="461" t="s">
        <v>399</v>
      </c>
      <c r="G41" s="467"/>
    </row>
    <row r="42" spans="1:22" ht="17.25" thickBot="1">
      <c r="A42" s="441" t="str">
        <f>Insumos!B39</f>
        <v xml:space="preserve">Oficial HVAC+Ayudante </v>
      </c>
      <c r="B42" s="355">
        <f>+Insumos!C40</f>
        <v>26152.364711232374</v>
      </c>
      <c r="C42" s="355">
        <f>+Insumos!D40</f>
        <v>14323.728638017281</v>
      </c>
      <c r="D42" s="326">
        <f>SUM(B42:C42)</f>
        <v>40476.093349249655</v>
      </c>
      <c r="E42" s="361">
        <v>2</v>
      </c>
      <c r="F42" s="326">
        <f>D42*E42</f>
        <v>80952.18669849931</v>
      </c>
      <c r="G42" s="480"/>
    </row>
    <row r="43" spans="1:22" ht="17.25" thickBot="1">
      <c r="A43" s="459"/>
      <c r="B43" s="459"/>
      <c r="C43" s="459"/>
      <c r="D43" s="459"/>
      <c r="E43" s="459"/>
      <c r="F43" s="465" t="s">
        <v>400</v>
      </c>
      <c r="G43" s="25">
        <f>SUM(F42:F42)</f>
        <v>80952.18669849931</v>
      </c>
    </row>
    <row r="44" spans="1:22" ht="17.25" thickBot="1">
      <c r="A44" s="459"/>
      <c r="B44" s="459"/>
      <c r="C44" s="459"/>
      <c r="D44" s="495"/>
      <c r="E44" s="459"/>
      <c r="F44" s="459"/>
      <c r="G44" s="459"/>
    </row>
    <row r="45" spans="1:22" ht="17.25" thickBot="1">
      <c r="A45" s="459"/>
      <c r="B45" s="459"/>
      <c r="C45" s="459"/>
      <c r="D45" s="459"/>
      <c r="E45" s="459"/>
      <c r="F45" s="465" t="s">
        <v>420</v>
      </c>
      <c r="G45" s="481">
        <f>SUM(G12,G22,G32,G39,G43)</f>
        <v>634047.40536834928</v>
      </c>
    </row>
  </sheetData>
  <mergeCells count="29">
    <mergeCell ref="A16:B16"/>
    <mergeCell ref="A1:C1"/>
    <mergeCell ref="D1:G1"/>
    <mergeCell ref="A3:G3"/>
    <mergeCell ref="A4:G4"/>
    <mergeCell ref="B6:G6"/>
    <mergeCell ref="A8:B8"/>
    <mergeCell ref="A9:B9"/>
    <mergeCell ref="A10:B10"/>
    <mergeCell ref="A11:B11"/>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3:B33"/>
  </mergeCells>
  <pageMargins left="0.7" right="0.7" top="0.75" bottom="0.75" header="0.3" footer="0.3"/>
  <pageSetup orientation="portrait" horizontalDpi="4294967295" verticalDpi="4294967295"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45"/>
  <sheetViews>
    <sheetView topLeftCell="A24" zoomScale="106" zoomScaleNormal="106" workbookViewId="0">
      <selection activeCell="J23" sqref="J23"/>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7" ht="77.25" customHeight="1" thickBot="1">
      <c r="A1" s="918"/>
      <c r="B1" s="919"/>
      <c r="C1" s="919"/>
      <c r="D1" s="704" t="s">
        <v>388</v>
      </c>
      <c r="E1" s="705"/>
      <c r="F1" s="705"/>
      <c r="G1" s="706"/>
    </row>
    <row r="2" spans="1:7" ht="22.5" customHeight="1" thickBot="1">
      <c r="A2" s="8"/>
      <c r="B2" s="8"/>
      <c r="C2" s="8"/>
      <c r="D2" s="9"/>
      <c r="E2" s="9"/>
      <c r="F2" s="9"/>
      <c r="G2" s="9"/>
    </row>
    <row r="3" spans="1:7" ht="23.25" customHeight="1" thickBot="1">
      <c r="A3" s="747" t="str">
        <f>+'AU  Consul P2'!A3:I3</f>
        <v>SECRETARÍA DE TALENTO HUMANO Y SERVICIOS ADMINISTRATIVOS- DIRECCIÓN DE SERVICIOS GENERALES</v>
      </c>
      <c r="B3" s="748"/>
      <c r="C3" s="748"/>
      <c r="D3" s="748"/>
      <c r="E3" s="748"/>
      <c r="F3" s="748"/>
      <c r="G3" s="749"/>
    </row>
    <row r="4" spans="1:7" s="1" customFormat="1" ht="46.9"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thickBot="1">
      <c r="A5" s="364" t="s">
        <v>389</v>
      </c>
      <c r="B5" s="372">
        <f>+'PRESUPUESTO OFICIAL 2026'!B19</f>
        <v>1.9</v>
      </c>
      <c r="C5" s="3"/>
      <c r="D5" s="3"/>
      <c r="E5" s="3"/>
      <c r="F5" s="7" t="s">
        <v>391</v>
      </c>
      <c r="G5" s="363" t="str">
        <f>+'PRESUPUESTO OFICIAL 2026'!H19</f>
        <v>GLO</v>
      </c>
    </row>
    <row r="6" spans="1:7" ht="49.5" customHeight="1" thickBot="1">
      <c r="A6" s="10" t="s">
        <v>392</v>
      </c>
      <c r="B6" s="974" t="s">
        <v>505</v>
      </c>
      <c r="C6" s="971"/>
      <c r="D6" s="971"/>
      <c r="E6" s="971"/>
      <c r="F6" s="971"/>
      <c r="G6" s="972"/>
    </row>
    <row r="8" spans="1:7" ht="17.25" thickBot="1">
      <c r="A8" s="923" t="s">
        <v>394</v>
      </c>
      <c r="B8" s="923"/>
    </row>
    <row r="9" spans="1:7">
      <c r="A9" s="924" t="s">
        <v>395</v>
      </c>
      <c r="B9" s="925"/>
      <c r="C9" s="13" t="s">
        <v>396</v>
      </c>
      <c r="D9" s="13" t="s">
        <v>397</v>
      </c>
      <c r="E9" s="13" t="s">
        <v>398</v>
      </c>
      <c r="F9" s="13" t="s">
        <v>399</v>
      </c>
      <c r="G9" s="14"/>
    </row>
    <row r="10" spans="1:7">
      <c r="A10" s="926" t="s">
        <v>427</v>
      </c>
      <c r="B10" s="927"/>
      <c r="C10" s="26" t="s">
        <v>428</v>
      </c>
      <c r="D10" s="21">
        <f>G42</f>
        <v>121428.28004774897</v>
      </c>
      <c r="E10" s="335">
        <v>0.05</v>
      </c>
      <c r="F10" s="22">
        <f>E10*D10</f>
        <v>6071.4140023874488</v>
      </c>
      <c r="G10" s="15"/>
    </row>
    <row r="11" spans="1:7" ht="17.25" thickBot="1">
      <c r="A11" s="928"/>
      <c r="B11" s="929"/>
      <c r="C11" s="24"/>
      <c r="D11" s="24"/>
      <c r="E11" s="368"/>
      <c r="F11" s="326">
        <f>E11*D11</f>
        <v>0</v>
      </c>
      <c r="G11" s="17"/>
    </row>
    <row r="12" spans="1:7" ht="17.25" thickBot="1">
      <c r="F12" s="4" t="s">
        <v>400</v>
      </c>
      <c r="G12" s="25">
        <f>SUM(F10:F11)</f>
        <v>6071.4140023874488</v>
      </c>
    </row>
    <row r="13" spans="1:7">
      <c r="F13" s="4"/>
      <c r="G13" s="336"/>
    </row>
    <row r="14" spans="1:7" ht="17.25" thickBot="1">
      <c r="A14" s="930" t="s">
        <v>401</v>
      </c>
      <c r="B14" s="930"/>
    </row>
    <row r="15" spans="1:7">
      <c r="A15" s="931" t="s">
        <v>395</v>
      </c>
      <c r="B15" s="932"/>
      <c r="C15" s="13" t="s">
        <v>402</v>
      </c>
      <c r="D15" s="13" t="s">
        <v>403</v>
      </c>
      <c r="E15" s="13" t="s">
        <v>404</v>
      </c>
      <c r="F15" s="13" t="s">
        <v>399</v>
      </c>
      <c r="G15" s="18"/>
    </row>
    <row r="16" spans="1:7">
      <c r="A16" s="916"/>
      <c r="B16" s="917"/>
      <c r="C16" s="338"/>
      <c r="D16" s="366"/>
      <c r="E16" s="371"/>
      <c r="F16" s="22">
        <f t="shared" ref="F16:F20" si="0">+D16*E16</f>
        <v>0</v>
      </c>
      <c r="G16" s="16"/>
    </row>
    <row r="17" spans="1:10">
      <c r="A17" s="935"/>
      <c r="B17" s="936"/>
      <c r="C17" s="323"/>
      <c r="D17" s="366"/>
      <c r="E17" s="342"/>
      <c r="F17" s="22">
        <f t="shared" si="0"/>
        <v>0</v>
      </c>
      <c r="G17" s="343"/>
    </row>
    <row r="18" spans="1:10">
      <c r="A18" s="933"/>
      <c r="B18" s="934"/>
      <c r="C18" s="83"/>
      <c r="D18" s="367"/>
      <c r="E18" s="342"/>
      <c r="F18" s="22">
        <f t="shared" si="0"/>
        <v>0</v>
      </c>
      <c r="G18" s="343"/>
    </row>
    <row r="19" spans="1:10">
      <c r="A19" s="933"/>
      <c r="B19" s="934"/>
      <c r="C19" s="338"/>
      <c r="D19" s="367"/>
      <c r="E19" s="342"/>
      <c r="F19" s="22">
        <f t="shared" si="0"/>
        <v>0</v>
      </c>
      <c r="G19" s="343"/>
    </row>
    <row r="20" spans="1:10" ht="17.25" thickBot="1">
      <c r="A20" s="946"/>
      <c r="B20" s="973"/>
      <c r="C20" s="325"/>
      <c r="D20" s="344"/>
      <c r="E20" s="345"/>
      <c r="F20" s="326">
        <f t="shared" si="0"/>
        <v>0</v>
      </c>
      <c r="G20" s="346"/>
    </row>
    <row r="21" spans="1:10" ht="17.25" thickBot="1">
      <c r="A21" s="982"/>
      <c r="B21" s="982"/>
      <c r="F21" s="4" t="s">
        <v>400</v>
      </c>
      <c r="G21" s="25">
        <f>SUM(F20,F19,F18,F17,F16)</f>
        <v>0</v>
      </c>
    </row>
    <row r="22" spans="1:10" ht="17.25" thickBot="1">
      <c r="A22" s="930" t="s">
        <v>405</v>
      </c>
      <c r="B22" s="930"/>
    </row>
    <row r="23" spans="1:10">
      <c r="A23" s="931" t="s">
        <v>395</v>
      </c>
      <c r="B23" s="932"/>
      <c r="C23" s="13" t="s">
        <v>402</v>
      </c>
      <c r="D23" s="13" t="s">
        <v>403</v>
      </c>
      <c r="E23" s="13" t="s">
        <v>404</v>
      </c>
      <c r="F23" s="13" t="s">
        <v>399</v>
      </c>
      <c r="G23" s="18"/>
      <c r="J23"/>
    </row>
    <row r="24" spans="1:10">
      <c r="A24" s="983" t="s">
        <v>456</v>
      </c>
      <c r="B24" s="984"/>
      <c r="C24" s="522" t="s">
        <v>436</v>
      </c>
      <c r="D24" s="505">
        <v>44600</v>
      </c>
      <c r="E24" s="504">
        <v>1</v>
      </c>
      <c r="F24" s="22">
        <f t="shared" ref="F24:F25" si="1">+D24*E24</f>
        <v>44600</v>
      </c>
      <c r="G24" s="16"/>
    </row>
    <row r="25" spans="1:10">
      <c r="A25" s="970" t="s">
        <v>439</v>
      </c>
      <c r="B25" s="970"/>
      <c r="C25" s="26" t="s">
        <v>440</v>
      </c>
      <c r="D25" s="447">
        <v>3400</v>
      </c>
      <c r="E25" s="450">
        <v>1</v>
      </c>
      <c r="F25" s="22">
        <f t="shared" si="1"/>
        <v>3400</v>
      </c>
      <c r="G25" s="16"/>
    </row>
    <row r="26" spans="1:10">
      <c r="A26" s="933"/>
      <c r="B26" s="934"/>
      <c r="C26" s="323"/>
      <c r="D26" s="324"/>
      <c r="E26" s="347"/>
      <c r="F26" s="22">
        <f t="shared" ref="F26:F30" si="2">+D26*E26</f>
        <v>0</v>
      </c>
      <c r="G26" s="16"/>
    </row>
    <row r="27" spans="1:10">
      <c r="A27" s="933"/>
      <c r="B27" s="934"/>
      <c r="C27" s="323"/>
      <c r="D27" s="348"/>
      <c r="E27" s="347"/>
      <c r="F27" s="22">
        <f t="shared" si="2"/>
        <v>0</v>
      </c>
      <c r="G27" s="16"/>
    </row>
    <row r="28" spans="1:10">
      <c r="A28" s="945"/>
      <c r="B28" s="944"/>
      <c r="C28" s="323"/>
      <c r="D28" s="324"/>
      <c r="E28" s="347"/>
      <c r="F28" s="22">
        <f t="shared" si="2"/>
        <v>0</v>
      </c>
      <c r="G28" s="16"/>
    </row>
    <row r="29" spans="1:10">
      <c r="A29" s="945"/>
      <c r="B29" s="944"/>
      <c r="C29" s="323"/>
      <c r="D29" s="324"/>
      <c r="E29" s="347"/>
      <c r="F29" s="22">
        <f t="shared" si="2"/>
        <v>0</v>
      </c>
      <c r="G29" s="16"/>
    </row>
    <row r="30" spans="1:10" ht="17.25" thickBot="1">
      <c r="A30" s="946"/>
      <c r="B30" s="973"/>
      <c r="C30" s="325"/>
      <c r="D30" s="349"/>
      <c r="E30" s="350"/>
      <c r="F30" s="326">
        <f t="shared" si="2"/>
        <v>0</v>
      </c>
      <c r="G30" s="17"/>
    </row>
    <row r="31" spans="1:10" ht="17.25" thickBot="1">
      <c r="F31" s="4" t="s">
        <v>400</v>
      </c>
      <c r="G31" s="11">
        <f>SUM(F24:F30)</f>
        <v>48000</v>
      </c>
    </row>
    <row r="32" spans="1:10" ht="17.25" thickBot="1">
      <c r="A32" s="930" t="s">
        <v>410</v>
      </c>
      <c r="B32" s="930"/>
    </row>
    <row r="33" spans="1:7">
      <c r="A33" s="12" t="s">
        <v>411</v>
      </c>
      <c r="B33" s="13" t="s">
        <v>412</v>
      </c>
      <c r="C33" s="13" t="s">
        <v>413</v>
      </c>
      <c r="D33" s="13" t="s">
        <v>414</v>
      </c>
      <c r="E33" s="13" t="s">
        <v>415</v>
      </c>
      <c r="F33" s="13" t="s">
        <v>399</v>
      </c>
      <c r="G33" s="18"/>
    </row>
    <row r="34" spans="1:7">
      <c r="A34" s="351"/>
      <c r="B34" s="32"/>
      <c r="C34" s="352"/>
      <c r="D34" s="352"/>
      <c r="E34" s="81"/>
      <c r="F34" s="22"/>
      <c r="G34" s="19"/>
    </row>
    <row r="35" spans="1:7">
      <c r="A35" s="353" t="s">
        <v>416</v>
      </c>
      <c r="B35" s="354" t="s">
        <v>417</v>
      </c>
      <c r="C35" s="354" t="s">
        <v>193</v>
      </c>
      <c r="D35" s="354" t="s">
        <v>418</v>
      </c>
      <c r="E35" s="354" t="s">
        <v>398</v>
      </c>
      <c r="F35" s="354" t="s">
        <v>399</v>
      </c>
      <c r="G35" s="19"/>
    </row>
    <row r="36" spans="1:7">
      <c r="A36" s="28"/>
      <c r="B36" s="355"/>
      <c r="C36" s="355"/>
      <c r="D36" s="81"/>
      <c r="E36" s="373"/>
      <c r="F36" s="22"/>
      <c r="G36" s="16"/>
    </row>
    <row r="37" spans="1:7" ht="17.25" thickBot="1">
      <c r="A37" s="29"/>
      <c r="B37" s="24"/>
      <c r="C37" s="24"/>
      <c r="D37" s="24"/>
      <c r="E37" s="33"/>
      <c r="F37" s="33"/>
      <c r="G37" s="17"/>
    </row>
    <row r="38" spans="1:7" ht="17.25" thickBot="1">
      <c r="F38" s="4" t="s">
        <v>400</v>
      </c>
      <c r="G38" s="11">
        <f>SUM(F34:F37)</f>
        <v>0</v>
      </c>
    </row>
    <row r="39" spans="1:7" ht="17.25" thickBot="1">
      <c r="A39" s="923" t="s">
        <v>419</v>
      </c>
      <c r="B39" s="923"/>
      <c r="C39" s="459"/>
      <c r="D39" s="459"/>
      <c r="E39" s="459"/>
      <c r="F39" s="459"/>
      <c r="G39" s="459"/>
    </row>
    <row r="40" spans="1:7" ht="13.15" customHeight="1">
      <c r="A40" s="460" t="s">
        <v>416</v>
      </c>
      <c r="B40" s="461" t="s">
        <v>417</v>
      </c>
      <c r="C40" s="461" t="s">
        <v>193</v>
      </c>
      <c r="D40" s="461" t="s">
        <v>418</v>
      </c>
      <c r="E40" s="461" t="s">
        <v>398</v>
      </c>
      <c r="F40" s="461" t="s">
        <v>399</v>
      </c>
      <c r="G40" s="467"/>
    </row>
    <row r="41" spans="1:7" ht="17.25" thickBot="1">
      <c r="A41" s="441" t="str">
        <f>Insumos!B39</f>
        <v xml:space="preserve">Oficial HVAC+Ayudante </v>
      </c>
      <c r="B41" s="355">
        <f>+Insumos!C40</f>
        <v>26152.364711232374</v>
      </c>
      <c r="C41" s="438">
        <f>+Insumos!D40</f>
        <v>14323.728638017281</v>
      </c>
      <c r="D41" s="326">
        <f>SUM(B41:C41)</f>
        <v>40476.093349249655</v>
      </c>
      <c r="E41" s="361">
        <v>3</v>
      </c>
      <c r="F41" s="326">
        <f>D41*E41</f>
        <v>121428.28004774897</v>
      </c>
      <c r="G41" s="480"/>
    </row>
    <row r="42" spans="1:7" ht="17.25" thickBot="1">
      <c r="A42" s="459"/>
      <c r="B42" s="459"/>
      <c r="C42" s="459"/>
      <c r="D42" s="459"/>
      <c r="E42" s="459"/>
      <c r="F42" s="465" t="s">
        <v>400</v>
      </c>
      <c r="G42" s="25">
        <f>SUM(F41:F41)</f>
        <v>121428.28004774897</v>
      </c>
    </row>
    <row r="43" spans="1:7" ht="17.25" thickBot="1">
      <c r="A43" s="459"/>
      <c r="B43" s="459"/>
      <c r="C43" s="459"/>
      <c r="D43" s="459"/>
      <c r="E43" s="459"/>
      <c r="F43" s="459"/>
      <c r="G43" s="459"/>
    </row>
    <row r="44" spans="1:7" ht="17.25" thickBot="1">
      <c r="A44" s="459"/>
      <c r="B44" s="459"/>
      <c r="C44" s="459"/>
      <c r="D44" s="459"/>
      <c r="E44" s="459"/>
      <c r="F44" s="465" t="s">
        <v>420</v>
      </c>
      <c r="G44" s="481">
        <f>SUM(G42,G38,G31,G21,G12)</f>
        <v>175499.6940501364</v>
      </c>
    </row>
    <row r="45" spans="1:7" ht="17.25" thickBot="1">
      <c r="A45" s="930"/>
      <c r="B45" s="930"/>
    </row>
  </sheetData>
  <mergeCells count="29">
    <mergeCell ref="A1:C1"/>
    <mergeCell ref="D1:G1"/>
    <mergeCell ref="A3:G3"/>
    <mergeCell ref="A4:G4"/>
    <mergeCell ref="B6:G6"/>
    <mergeCell ref="A8:B8"/>
    <mergeCell ref="A9:B9"/>
    <mergeCell ref="A10:B10"/>
    <mergeCell ref="A11:B11"/>
    <mergeCell ref="A14:B14"/>
    <mergeCell ref="A15:B15"/>
    <mergeCell ref="A27:B27"/>
    <mergeCell ref="A16:B16"/>
    <mergeCell ref="A17:B17"/>
    <mergeCell ref="A18:B18"/>
    <mergeCell ref="A19:B19"/>
    <mergeCell ref="A20:B20"/>
    <mergeCell ref="A21:B21"/>
    <mergeCell ref="A22:B22"/>
    <mergeCell ref="A23:B23"/>
    <mergeCell ref="A24:B24"/>
    <mergeCell ref="A25:B25"/>
    <mergeCell ref="A26:B26"/>
    <mergeCell ref="A45:B45"/>
    <mergeCell ref="A28:B28"/>
    <mergeCell ref="A29:B29"/>
    <mergeCell ref="A30:B30"/>
    <mergeCell ref="A32:B32"/>
    <mergeCell ref="A39:B39"/>
  </mergeCells>
  <pageMargins left="0.7" right="0.7" top="0.75" bottom="0.75" header="0.3" footer="0.3"/>
  <pageSetup orientation="portrait" horizontalDpi="4294967295" verticalDpi="4294967295"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46"/>
  <sheetViews>
    <sheetView topLeftCell="A18" zoomScale="96" zoomScaleNormal="96" workbookViewId="0">
      <selection activeCell="D10" sqref="D10"/>
    </sheetView>
  </sheetViews>
  <sheetFormatPr baseColWidth="10" defaultColWidth="11.42578125" defaultRowHeight="16.5"/>
  <cols>
    <col min="1" max="1" width="33" style="459" customWidth="1"/>
    <col min="2" max="2" width="24.85546875" style="459" customWidth="1"/>
    <col min="3" max="3" width="14.85546875" style="459" customWidth="1"/>
    <col min="4" max="4" width="19" style="459" customWidth="1"/>
    <col min="5" max="5" width="14.85546875" style="459" customWidth="1"/>
    <col min="6" max="6" width="16.140625" style="459" customWidth="1"/>
    <col min="7" max="7" width="16.7109375" style="459" customWidth="1"/>
    <col min="8" max="8" width="15.85546875" style="2" customWidth="1"/>
    <col min="9" max="9" width="15.42578125" style="2" customWidth="1"/>
    <col min="10" max="16384" width="11.42578125" style="2"/>
  </cols>
  <sheetData>
    <row r="1" spans="1:9" ht="77.25" customHeight="1" thickBot="1">
      <c r="A1" s="975"/>
      <c r="B1" s="976"/>
      <c r="C1" s="976"/>
      <c r="D1" s="747" t="s">
        <v>388</v>
      </c>
      <c r="E1" s="748"/>
      <c r="F1" s="748"/>
      <c r="G1" s="749"/>
    </row>
    <row r="2" spans="1:9" ht="22.5" customHeight="1" thickBot="1">
      <c r="A2" s="452"/>
      <c r="B2" s="452"/>
      <c r="C2" s="452"/>
      <c r="D2" s="452"/>
      <c r="E2" s="452"/>
      <c r="F2" s="452"/>
      <c r="G2" s="452"/>
    </row>
    <row r="3" spans="1:9" ht="23.25" customHeight="1" thickBot="1">
      <c r="A3" s="747" t="str">
        <f>+'AU  Consul P2'!A3:I3</f>
        <v>SECRETARÍA DE TALENTO HUMANO Y SERVICIOS ADMINISTRATIVOS- DIRECCIÓN DE SERVICIOS GENERALES</v>
      </c>
      <c r="B3" s="748"/>
      <c r="C3" s="748"/>
      <c r="D3" s="748"/>
      <c r="E3" s="748"/>
      <c r="F3" s="748"/>
      <c r="G3" s="749"/>
    </row>
    <row r="4" spans="1:9" s="1" customFormat="1" ht="35.2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9" ht="22.5" customHeight="1" thickBot="1">
      <c r="A5" s="453" t="s">
        <v>389</v>
      </c>
      <c r="B5" s="562">
        <f>+'PRESUPUESTO OFICIAL 2026'!B20</f>
        <v>1.1000000000000001</v>
      </c>
      <c r="C5" s="455"/>
      <c r="D5" s="455"/>
      <c r="E5" s="455"/>
      <c r="F5" s="456" t="s">
        <v>391</v>
      </c>
      <c r="G5" s="457" t="str">
        <f>+'PRESUPUESTO OFICIAL 2026'!H20</f>
        <v>GLO</v>
      </c>
    </row>
    <row r="6" spans="1:9" ht="59.45" customHeight="1" thickBot="1">
      <c r="A6" s="458" t="s">
        <v>392</v>
      </c>
      <c r="B6" s="977" t="s">
        <v>338</v>
      </c>
      <c r="C6" s="985"/>
      <c r="D6" s="985"/>
      <c r="E6" s="985"/>
      <c r="F6" s="985"/>
      <c r="G6" s="986"/>
    </row>
    <row r="8" spans="1:9" ht="17.25" thickBot="1">
      <c r="A8" s="923" t="s">
        <v>394</v>
      </c>
      <c r="B8" s="923"/>
    </row>
    <row r="9" spans="1:9">
      <c r="A9" s="955" t="s">
        <v>395</v>
      </c>
      <c r="B9" s="956"/>
      <c r="C9" s="461" t="s">
        <v>396</v>
      </c>
      <c r="D9" s="461" t="s">
        <v>397</v>
      </c>
      <c r="E9" s="461" t="s">
        <v>398</v>
      </c>
      <c r="F9" s="461" t="s">
        <v>399</v>
      </c>
      <c r="G9" s="462"/>
    </row>
    <row r="10" spans="1:9">
      <c r="A10" s="926" t="s">
        <v>427</v>
      </c>
      <c r="B10" s="927"/>
      <c r="C10" s="26" t="s">
        <v>428</v>
      </c>
      <c r="D10" s="21">
        <f>G44</f>
        <v>272670.16405866301</v>
      </c>
      <c r="E10" s="335">
        <v>0.05</v>
      </c>
      <c r="F10" s="22">
        <f>E10*D10</f>
        <v>13633.508202933152</v>
      </c>
      <c r="G10" s="463"/>
    </row>
    <row r="11" spans="1:9" ht="17.25" thickBot="1">
      <c r="A11" s="928"/>
      <c r="B11" s="929"/>
      <c r="C11" s="24"/>
      <c r="D11" s="24"/>
      <c r="E11" s="368"/>
      <c r="F11" s="326">
        <f>E11*D11</f>
        <v>0</v>
      </c>
      <c r="G11" s="464"/>
    </row>
    <row r="12" spans="1:9" ht="17.25" thickBot="1">
      <c r="F12" s="465" t="s">
        <v>400</v>
      </c>
      <c r="G12" s="25">
        <f>SUM(F10:F11)</f>
        <v>13633.508202933152</v>
      </c>
    </row>
    <row r="13" spans="1:9">
      <c r="F13" s="465"/>
      <c r="G13" s="336"/>
    </row>
    <row r="14" spans="1:9" ht="17.25" thickBot="1">
      <c r="A14" s="930" t="s">
        <v>401</v>
      </c>
      <c r="B14" s="930"/>
    </row>
    <row r="15" spans="1:9">
      <c r="A15" s="953" t="s">
        <v>395</v>
      </c>
      <c r="B15" s="954"/>
      <c r="C15" s="461" t="s">
        <v>402</v>
      </c>
      <c r="D15" s="461" t="s">
        <v>403</v>
      </c>
      <c r="E15" s="461" t="s">
        <v>404</v>
      </c>
      <c r="F15" s="461" t="s">
        <v>399</v>
      </c>
      <c r="G15" s="467"/>
    </row>
    <row r="16" spans="1:9" ht="16.5" customHeight="1">
      <c r="A16" s="916" t="s">
        <v>429</v>
      </c>
      <c r="B16" s="917"/>
      <c r="C16" s="323" t="s">
        <v>430</v>
      </c>
      <c r="D16" s="468">
        <v>7000</v>
      </c>
      <c r="E16" s="369">
        <f>20/60</f>
        <v>0.33333333333333331</v>
      </c>
      <c r="F16" s="22">
        <f>+E16*D16</f>
        <v>2333.333333333333</v>
      </c>
      <c r="G16" s="463"/>
      <c r="H16" s="380"/>
      <c r="I16" s="374"/>
    </row>
    <row r="17" spans="1:9">
      <c r="A17" s="916" t="s">
        <v>431</v>
      </c>
      <c r="B17" s="917"/>
      <c r="C17" s="323" t="s">
        <v>430</v>
      </c>
      <c r="D17" s="468">
        <v>3500</v>
      </c>
      <c r="E17" s="469">
        <v>0.17</v>
      </c>
      <c r="F17" s="22">
        <f>+D17*E17</f>
        <v>595</v>
      </c>
      <c r="G17" s="463"/>
      <c r="H17" s="380"/>
      <c r="I17" s="374"/>
    </row>
    <row r="18" spans="1:9">
      <c r="A18" s="950" t="s">
        <v>432</v>
      </c>
      <c r="B18" s="951"/>
      <c r="C18" s="323" t="s">
        <v>430</v>
      </c>
      <c r="D18" s="468">
        <v>3500</v>
      </c>
      <c r="E18" s="470">
        <v>0.17</v>
      </c>
      <c r="F18" s="22">
        <f>+D18*E18</f>
        <v>595</v>
      </c>
      <c r="G18" s="471"/>
      <c r="H18" s="380"/>
      <c r="I18" s="391"/>
    </row>
    <row r="19" spans="1:9">
      <c r="A19" s="933"/>
      <c r="B19" s="934"/>
      <c r="C19" s="338"/>
      <c r="D19" s="472"/>
      <c r="E19" s="470"/>
      <c r="F19" s="22">
        <f>+D19*E19</f>
        <v>0</v>
      </c>
      <c r="G19" s="471"/>
      <c r="H19" s="380"/>
      <c r="I19" s="374"/>
    </row>
    <row r="20" spans="1:9">
      <c r="A20" s="933"/>
      <c r="B20" s="934"/>
      <c r="C20" s="338"/>
      <c r="D20" s="472"/>
      <c r="E20" s="470"/>
      <c r="F20" s="22">
        <f>+D20*E20</f>
        <v>0</v>
      </c>
      <c r="G20" s="471"/>
    </row>
    <row r="21" spans="1:9" ht="17.25" thickBot="1">
      <c r="A21" s="946"/>
      <c r="B21" s="973"/>
      <c r="C21" s="325"/>
      <c r="D21" s="473"/>
      <c r="E21" s="474"/>
      <c r="F21" s="326">
        <f>+D21*E21</f>
        <v>0</v>
      </c>
      <c r="G21" s="475"/>
    </row>
    <row r="22" spans="1:9" ht="17.25" thickBot="1">
      <c r="A22" s="952"/>
      <c r="B22" s="952"/>
      <c r="F22" s="465" t="s">
        <v>400</v>
      </c>
      <c r="G22" s="25">
        <f>SUM(F21,F20,F19,F18,F17,F16)</f>
        <v>3523.333333333333</v>
      </c>
    </row>
    <row r="23" spans="1:9" ht="17.25" thickBot="1">
      <c r="A23" s="923" t="s">
        <v>405</v>
      </c>
      <c r="B23" s="923"/>
    </row>
    <row r="24" spans="1:9">
      <c r="A24" s="987" t="s">
        <v>395</v>
      </c>
      <c r="B24" s="987"/>
      <c r="C24" s="479" t="s">
        <v>402</v>
      </c>
      <c r="D24" s="479" t="s">
        <v>403</v>
      </c>
      <c r="E24" s="479" t="s">
        <v>404</v>
      </c>
      <c r="F24" s="479" t="s">
        <v>399</v>
      </c>
      <c r="G24" s="467"/>
      <c r="I24" s="374"/>
    </row>
    <row r="25" spans="1:9">
      <c r="A25" s="969" t="s">
        <v>435</v>
      </c>
      <c r="B25" s="969"/>
      <c r="C25" s="323" t="s">
        <v>436</v>
      </c>
      <c r="D25" s="483">
        <v>28100</v>
      </c>
      <c r="E25" s="488">
        <v>0.2</v>
      </c>
      <c r="F25" s="484">
        <f>+D25*E25</f>
        <v>5620</v>
      </c>
      <c r="G25" s="463"/>
    </row>
    <row r="26" spans="1:9">
      <c r="A26" s="970" t="s">
        <v>437</v>
      </c>
      <c r="B26" s="969"/>
      <c r="C26" s="323" t="s">
        <v>436</v>
      </c>
      <c r="D26" s="485">
        <v>10000</v>
      </c>
      <c r="E26" s="486">
        <v>0.2</v>
      </c>
      <c r="F26" s="484">
        <f t="shared" ref="F26:F31" si="0">+D26*E26</f>
        <v>2000</v>
      </c>
      <c r="G26" s="463"/>
    </row>
    <row r="27" spans="1:9">
      <c r="A27" s="970" t="s">
        <v>439</v>
      </c>
      <c r="B27" s="970"/>
      <c r="C27" s="26" t="s">
        <v>440</v>
      </c>
      <c r="D27" s="487">
        <v>3400</v>
      </c>
      <c r="E27" s="486">
        <v>1</v>
      </c>
      <c r="F27" s="484">
        <f t="shared" si="0"/>
        <v>3400</v>
      </c>
      <c r="G27" s="463"/>
    </row>
    <row r="28" spans="1:9">
      <c r="A28" s="969" t="s">
        <v>441</v>
      </c>
      <c r="B28" s="969"/>
      <c r="C28" s="323" t="s">
        <v>442</v>
      </c>
      <c r="D28" s="487">
        <f>+'APU 1,1'!D29</f>
        <v>58303.406666666669</v>
      </c>
      <c r="E28" s="486">
        <v>0.05</v>
      </c>
      <c r="F28" s="484">
        <f t="shared" si="0"/>
        <v>2915.1703333333335</v>
      </c>
      <c r="G28" s="463"/>
    </row>
    <row r="29" spans="1:9">
      <c r="A29" s="969" t="s">
        <v>443</v>
      </c>
      <c r="B29" s="969"/>
      <c r="C29" s="323" t="s">
        <v>440</v>
      </c>
      <c r="D29" s="487">
        <f>+'APU 1,1'!D30</f>
        <v>5553.333333333333</v>
      </c>
      <c r="E29" s="486">
        <v>0.2</v>
      </c>
      <c r="F29" s="484">
        <f t="shared" si="0"/>
        <v>1110.6666666666667</v>
      </c>
      <c r="G29" s="463"/>
      <c r="I29" s="374"/>
    </row>
    <row r="30" spans="1:9">
      <c r="A30" s="969" t="s">
        <v>444</v>
      </c>
      <c r="B30" s="969"/>
      <c r="C30" s="323" t="s">
        <v>442</v>
      </c>
      <c r="D30" s="487">
        <v>42100</v>
      </c>
      <c r="E30" s="488">
        <v>0.1</v>
      </c>
      <c r="F30" s="484">
        <f t="shared" si="0"/>
        <v>4210</v>
      </c>
      <c r="G30" s="463"/>
    </row>
    <row r="31" spans="1:9" ht="17.25" thickBot="1">
      <c r="A31" s="949"/>
      <c r="B31" s="949"/>
      <c r="C31" s="323"/>
      <c r="D31" s="482"/>
      <c r="E31" s="418"/>
      <c r="F31" s="22">
        <f t="shared" si="0"/>
        <v>0</v>
      </c>
      <c r="G31" s="464"/>
    </row>
    <row r="32" spans="1:9" ht="17.25" thickBot="1">
      <c r="F32" s="465" t="s">
        <v>400</v>
      </c>
      <c r="G32" s="25">
        <f>SUM(F25:F31)</f>
        <v>19255.837</v>
      </c>
    </row>
    <row r="33" spans="1:9" ht="17.25" thickBot="1">
      <c r="A33" s="930" t="s">
        <v>410</v>
      </c>
      <c r="B33" s="930"/>
    </row>
    <row r="34" spans="1:9">
      <c r="A34" s="460" t="s">
        <v>411</v>
      </c>
      <c r="B34" s="461" t="s">
        <v>412</v>
      </c>
      <c r="C34" s="461" t="s">
        <v>413</v>
      </c>
      <c r="D34" s="461" t="s">
        <v>414</v>
      </c>
      <c r="E34" s="461" t="s">
        <v>415</v>
      </c>
      <c r="F34" s="461" t="s">
        <v>399</v>
      </c>
      <c r="G34" s="467"/>
    </row>
    <row r="35" spans="1:9">
      <c r="A35" s="376"/>
      <c r="B35" s="32"/>
      <c r="C35" s="352"/>
      <c r="D35" s="352"/>
      <c r="E35" s="81"/>
      <c r="F35" s="22"/>
      <c r="G35" s="477"/>
      <c r="I35" s="374"/>
    </row>
    <row r="36" spans="1:9">
      <c r="A36" s="478" t="s">
        <v>416</v>
      </c>
      <c r="B36" s="479" t="s">
        <v>417</v>
      </c>
      <c r="C36" s="479" t="s">
        <v>193</v>
      </c>
      <c r="D36" s="479" t="s">
        <v>418</v>
      </c>
      <c r="E36" s="479" t="s">
        <v>398</v>
      </c>
      <c r="F36" s="479" t="s">
        <v>399</v>
      </c>
      <c r="G36" s="477"/>
    </row>
    <row r="37" spans="1:9">
      <c r="A37" s="28"/>
      <c r="B37" s="355"/>
      <c r="C37" s="355"/>
      <c r="D37" s="81"/>
      <c r="E37" s="373"/>
      <c r="F37" s="22">
        <f>+D37*E37</f>
        <v>0</v>
      </c>
      <c r="G37" s="463"/>
    </row>
    <row r="38" spans="1:9" ht="17.25" thickBot="1">
      <c r="A38" s="29"/>
      <c r="B38" s="24"/>
      <c r="C38" s="24"/>
      <c r="D38" s="24"/>
      <c r="E38" s="33"/>
      <c r="F38" s="33"/>
      <c r="G38" s="464"/>
    </row>
    <row r="39" spans="1:9" ht="17.25" thickBot="1">
      <c r="F39" s="465" t="s">
        <v>400</v>
      </c>
      <c r="G39" s="25">
        <f>SUM(F35:F38)</f>
        <v>0</v>
      </c>
    </row>
    <row r="40" spans="1:9" ht="17.25" thickBot="1">
      <c r="A40" s="923" t="s">
        <v>419</v>
      </c>
      <c r="B40" s="923"/>
    </row>
    <row r="41" spans="1:9">
      <c r="A41" s="460" t="s">
        <v>416</v>
      </c>
      <c r="B41" s="461" t="s">
        <v>417</v>
      </c>
      <c r="C41" s="461" t="s">
        <v>193</v>
      </c>
      <c r="D41" s="461" t="s">
        <v>418</v>
      </c>
      <c r="E41" s="461" t="s">
        <v>398</v>
      </c>
      <c r="F41" s="461" t="s">
        <v>399</v>
      </c>
      <c r="G41" s="467"/>
    </row>
    <row r="42" spans="1:9">
      <c r="A42" s="441" t="str">
        <f>Insumos!B18</f>
        <v>Ingeniero Electrico HVAC</v>
      </c>
      <c r="B42" s="439">
        <f>Insumos!C18/7.33</f>
        <v>31849.113233287859</v>
      </c>
      <c r="C42" s="438">
        <f>Insumos!D18/7.33</f>
        <v>18564.848103683489</v>
      </c>
      <c r="D42" s="326">
        <f>SUM(B42:C42)</f>
        <v>50413.961336971348</v>
      </c>
      <c r="E42" s="26">
        <v>3</v>
      </c>
      <c r="F42" s="326">
        <f>D42*E42</f>
        <v>151241.88401091404</v>
      </c>
      <c r="G42" s="477"/>
    </row>
    <row r="43" spans="1:9">
      <c r="A43" s="441" t="str">
        <f>Insumos!B39</f>
        <v xml:space="preserve">Oficial HVAC+Ayudante </v>
      </c>
      <c r="B43" s="355">
        <f>+Insumos!C40</f>
        <v>26152.364711232374</v>
      </c>
      <c r="C43" s="438">
        <f>+Insumos!D40</f>
        <v>14323.728638017281</v>
      </c>
      <c r="D43" s="521">
        <f>SUM(B43:C43)</f>
        <v>40476.093349249655</v>
      </c>
      <c r="E43" s="361">
        <v>3</v>
      </c>
      <c r="F43" s="326">
        <f>D43*E43</f>
        <v>121428.28004774897</v>
      </c>
      <c r="G43" s="480"/>
    </row>
    <row r="44" spans="1:9" ht="17.25" thickBot="1">
      <c r="F44" s="465" t="s">
        <v>400</v>
      </c>
      <c r="G44" s="25">
        <f>SUM(F42:F43)</f>
        <v>272670.16405866301</v>
      </c>
    </row>
    <row r="45" spans="1:9" ht="17.25" thickBot="1"/>
    <row r="46" spans="1:9" ht="17.25" thickBot="1">
      <c r="F46" s="465" t="s">
        <v>420</v>
      </c>
      <c r="G46" s="481">
        <f>SUM(G44,G39,G32,G22,G12)</f>
        <v>309082.84259492945</v>
      </c>
    </row>
  </sheetData>
  <mergeCells count="29">
    <mergeCell ref="A33:B33"/>
    <mergeCell ref="A40:B40"/>
    <mergeCell ref="A24:B24"/>
    <mergeCell ref="A25:B25"/>
    <mergeCell ref="A26:B26"/>
    <mergeCell ref="A27:B27"/>
    <mergeCell ref="A29:B29"/>
    <mergeCell ref="A28:B28"/>
    <mergeCell ref="A19:B19"/>
    <mergeCell ref="A20:B20"/>
    <mergeCell ref="A21:B21"/>
    <mergeCell ref="A30:B30"/>
    <mergeCell ref="A31:B31"/>
    <mergeCell ref="A22:B22"/>
    <mergeCell ref="A23:B23"/>
    <mergeCell ref="A17:B17"/>
    <mergeCell ref="A18:B18"/>
    <mergeCell ref="A16:B16"/>
    <mergeCell ref="A1:C1"/>
    <mergeCell ref="D1:G1"/>
    <mergeCell ref="A3:G3"/>
    <mergeCell ref="A4:G4"/>
    <mergeCell ref="B6:G6"/>
    <mergeCell ref="A8:B8"/>
    <mergeCell ref="A9:B9"/>
    <mergeCell ref="A10:B10"/>
    <mergeCell ref="A11:B11"/>
    <mergeCell ref="A14:B14"/>
    <mergeCell ref="A15:B15"/>
  </mergeCells>
  <pageMargins left="0.7" right="0.7" top="0.75" bottom="0.75" header="0.3" footer="0.3"/>
  <pageSetup orientation="portrait" horizontalDpi="4294967295" verticalDpi="4294967295"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D30F9-317B-46CD-945D-66F4325893FB}">
  <dimension ref="A1:K46"/>
  <sheetViews>
    <sheetView topLeftCell="A16" zoomScale="106" zoomScaleNormal="106" workbookViewId="0">
      <selection activeCell="A28" sqref="A28:F28"/>
    </sheetView>
  </sheetViews>
  <sheetFormatPr baseColWidth="10" defaultColWidth="11.42578125" defaultRowHeight="16.5"/>
  <cols>
    <col min="1" max="1" width="33" style="2" customWidth="1"/>
    <col min="2" max="2" width="19.5703125" style="2" customWidth="1"/>
    <col min="3" max="3" width="12"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7" ht="77.25" customHeight="1" thickBot="1">
      <c r="A1" s="918"/>
      <c r="B1" s="919"/>
      <c r="C1" s="919"/>
      <c r="D1" s="704" t="s">
        <v>388</v>
      </c>
      <c r="E1" s="705"/>
      <c r="F1" s="705"/>
      <c r="G1" s="706"/>
    </row>
    <row r="2" spans="1:7" ht="22.5" customHeight="1" thickBot="1">
      <c r="A2" s="8"/>
      <c r="B2" s="8"/>
      <c r="C2" s="8"/>
      <c r="D2" s="9"/>
      <c r="E2" s="9"/>
      <c r="F2" s="9"/>
      <c r="G2" s="9"/>
    </row>
    <row r="3" spans="1:7" ht="23.25" customHeight="1" thickBot="1">
      <c r="A3" s="747" t="str">
        <f>+'AU  Consul P2'!A3:I3</f>
        <v>SECRETARÍA DE TALENTO HUMANO Y SERVICIOS ADMINISTRATIVOS- DIRECCIÓN DE SERVICIOS GENERALES</v>
      </c>
      <c r="B3" s="748"/>
      <c r="C3" s="748"/>
      <c r="D3" s="748"/>
      <c r="E3" s="748"/>
      <c r="F3" s="748"/>
      <c r="G3" s="749"/>
    </row>
    <row r="4" spans="1:7" s="1" customFormat="1" ht="43.1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thickBot="1">
      <c r="A5" s="364" t="s">
        <v>389</v>
      </c>
      <c r="B5" s="558">
        <f>+'PRESUPUESTO OFICIAL 2026'!B21</f>
        <v>1.1100000000000001</v>
      </c>
      <c r="C5" s="3"/>
      <c r="D5" s="3"/>
      <c r="E5" s="3"/>
      <c r="F5" s="7" t="s">
        <v>391</v>
      </c>
      <c r="G5" s="363" t="str">
        <f>+'PRESUPUESTO OFICIAL 2026'!H21</f>
        <v xml:space="preserve">GLO </v>
      </c>
    </row>
    <row r="6" spans="1:7" ht="94.5" customHeight="1" thickBot="1">
      <c r="A6" s="10" t="s">
        <v>392</v>
      </c>
      <c r="B6" s="974" t="s">
        <v>339</v>
      </c>
      <c r="C6" s="971"/>
      <c r="D6" s="971"/>
      <c r="E6" s="971"/>
      <c r="F6" s="971"/>
      <c r="G6" s="972"/>
    </row>
    <row r="8" spans="1:7" ht="17.25" thickBot="1">
      <c r="A8" s="923" t="s">
        <v>394</v>
      </c>
      <c r="B8" s="923"/>
    </row>
    <row r="9" spans="1:7">
      <c r="A9" s="924" t="s">
        <v>395</v>
      </c>
      <c r="B9" s="925"/>
      <c r="C9" s="13" t="s">
        <v>396</v>
      </c>
      <c r="D9" s="13" t="s">
        <v>397</v>
      </c>
      <c r="E9" s="13" t="s">
        <v>398</v>
      </c>
      <c r="F9" s="13" t="s">
        <v>399</v>
      </c>
      <c r="G9" s="14"/>
    </row>
    <row r="10" spans="1:7">
      <c r="A10" s="926" t="s">
        <v>427</v>
      </c>
      <c r="B10" s="927"/>
      <c r="C10" s="26" t="s">
        <v>428</v>
      </c>
      <c r="D10" s="21">
        <f>G44</f>
        <v>80952.18669849931</v>
      </c>
      <c r="E10" s="31">
        <v>0.05</v>
      </c>
      <c r="F10" s="22">
        <f>E10*D10</f>
        <v>4047.6093349249659</v>
      </c>
      <c r="G10" s="15"/>
    </row>
    <row r="11" spans="1:7" ht="17.25" thickBot="1">
      <c r="A11" s="959"/>
      <c r="B11" s="960"/>
      <c r="C11" s="436"/>
      <c r="D11" s="512"/>
      <c r="E11" s="514"/>
      <c r="F11" s="22"/>
      <c r="G11" s="15"/>
    </row>
    <row r="12" spans="1:7" ht="17.25" thickBot="1">
      <c r="A12" s="957"/>
      <c r="B12" s="958"/>
      <c r="C12" s="506"/>
      <c r="D12" s="513"/>
      <c r="E12" s="434"/>
      <c r="F12" s="22"/>
      <c r="G12" s="17"/>
    </row>
    <row r="13" spans="1:7" ht="17.25" thickBot="1">
      <c r="F13" s="4" t="s">
        <v>400</v>
      </c>
      <c r="G13" s="25">
        <f>SUM(F10:F12)</f>
        <v>4047.6093349249659</v>
      </c>
    </row>
    <row r="14" spans="1:7">
      <c r="F14" s="4"/>
      <c r="G14" s="336"/>
    </row>
    <row r="15" spans="1:7" ht="17.25" thickBot="1">
      <c r="A15" s="930" t="s">
        <v>401</v>
      </c>
      <c r="B15" s="930"/>
    </row>
    <row r="16" spans="1:7">
      <c r="A16" s="931" t="s">
        <v>395</v>
      </c>
      <c r="B16" s="932"/>
      <c r="C16" s="13" t="s">
        <v>402</v>
      </c>
      <c r="D16" s="13" t="s">
        <v>403</v>
      </c>
      <c r="E16" s="13" t="s">
        <v>404</v>
      </c>
      <c r="F16" s="13" t="s">
        <v>399</v>
      </c>
      <c r="G16" s="18"/>
    </row>
    <row r="17" spans="1:11" ht="16.5" customHeight="1">
      <c r="A17" s="916" t="s">
        <v>429</v>
      </c>
      <c r="B17" s="917"/>
      <c r="C17" s="323" t="s">
        <v>430</v>
      </c>
      <c r="D17" s="366">
        <v>7000</v>
      </c>
      <c r="E17" s="369">
        <f>20/60</f>
        <v>0.33333333333333331</v>
      </c>
      <c r="F17" s="22">
        <f t="shared" ref="F17:F22" si="0">+D17*E17</f>
        <v>2333.333333333333</v>
      </c>
      <c r="G17" s="16"/>
    </row>
    <row r="18" spans="1:11">
      <c r="A18" s="916" t="s">
        <v>431</v>
      </c>
      <c r="B18" s="917"/>
      <c r="C18" s="323" t="s">
        <v>430</v>
      </c>
      <c r="D18" s="366">
        <v>3500</v>
      </c>
      <c r="E18" s="370">
        <v>0.17</v>
      </c>
      <c r="F18" s="22">
        <f t="shared" si="0"/>
        <v>595</v>
      </c>
      <c r="G18" s="16"/>
    </row>
    <row r="19" spans="1:11">
      <c r="A19" s="950" t="s">
        <v>432</v>
      </c>
      <c r="B19" s="951"/>
      <c r="C19" s="323" t="s">
        <v>430</v>
      </c>
      <c r="D19" s="366">
        <v>3500</v>
      </c>
      <c r="E19" s="342">
        <v>0.17</v>
      </c>
      <c r="F19" s="22">
        <f t="shared" si="0"/>
        <v>595</v>
      </c>
      <c r="G19" s="343"/>
    </row>
    <row r="20" spans="1:11">
      <c r="A20" s="933"/>
      <c r="B20" s="934"/>
      <c r="C20" s="338"/>
      <c r="D20" s="367"/>
      <c r="E20" s="342"/>
      <c r="F20" s="22">
        <f t="shared" si="0"/>
        <v>0</v>
      </c>
      <c r="G20" s="343"/>
    </row>
    <row r="21" spans="1:11">
      <c r="A21" s="933"/>
      <c r="B21" s="934"/>
      <c r="C21" s="338"/>
      <c r="D21" s="367"/>
      <c r="E21" s="342"/>
      <c r="F21" s="22">
        <f t="shared" si="0"/>
        <v>0</v>
      </c>
      <c r="G21" s="343"/>
    </row>
    <row r="22" spans="1:11" ht="17.25" thickBot="1">
      <c r="A22" s="946"/>
      <c r="B22" s="973"/>
      <c r="C22" s="325"/>
      <c r="D22" s="344"/>
      <c r="E22" s="345"/>
      <c r="F22" s="326">
        <f t="shared" si="0"/>
        <v>0</v>
      </c>
      <c r="G22" s="346"/>
    </row>
    <row r="23" spans="1:11" ht="17.25" thickBot="1">
      <c r="A23" s="941"/>
      <c r="B23" s="941"/>
      <c r="F23" s="4" t="s">
        <v>400</v>
      </c>
      <c r="G23" s="25">
        <f>SUM(F22,F21,F20,F19,F18,F17)</f>
        <v>3523.333333333333</v>
      </c>
      <c r="I23" s="941"/>
      <c r="J23" s="941"/>
      <c r="K23" s="941"/>
    </row>
    <row r="24" spans="1:11" ht="17.25" thickBot="1">
      <c r="A24" s="930" t="s">
        <v>405</v>
      </c>
      <c r="B24" s="930"/>
      <c r="I24" s="83"/>
      <c r="J24" s="83"/>
      <c r="K24" s="83"/>
    </row>
    <row r="25" spans="1:11">
      <c r="A25" s="931" t="s">
        <v>395</v>
      </c>
      <c r="B25" s="932"/>
      <c r="C25" s="13" t="s">
        <v>402</v>
      </c>
      <c r="D25" s="13" t="s">
        <v>403</v>
      </c>
      <c r="E25" s="13" t="s">
        <v>404</v>
      </c>
      <c r="F25" s="13" t="s">
        <v>399</v>
      </c>
      <c r="G25" s="18"/>
      <c r="H25" s="380"/>
      <c r="I25" s="83"/>
      <c r="J25" s="83"/>
      <c r="K25" s="379"/>
    </row>
    <row r="26" spans="1:11">
      <c r="A26" s="969" t="s">
        <v>435</v>
      </c>
      <c r="B26" s="969"/>
      <c r="C26" s="323" t="s">
        <v>436</v>
      </c>
      <c r="D26" s="445">
        <v>28100</v>
      </c>
      <c r="E26" s="450">
        <v>0.1</v>
      </c>
      <c r="F26" s="22">
        <f>+D26*E26</f>
        <v>2810</v>
      </c>
      <c r="G26" s="16"/>
      <c r="H26" s="380"/>
      <c r="I26" s="83"/>
      <c r="J26" s="377"/>
      <c r="K26" s="379"/>
    </row>
    <row r="27" spans="1:11">
      <c r="A27" s="970" t="s">
        <v>437</v>
      </c>
      <c r="B27" s="969"/>
      <c r="C27" s="338" t="s">
        <v>436</v>
      </c>
      <c r="D27" s="446">
        <v>10000</v>
      </c>
      <c r="E27" s="510">
        <v>0.15</v>
      </c>
      <c r="F27" s="22">
        <f t="shared" ref="F27:F32" si="1">+D27*E27</f>
        <v>1500</v>
      </c>
      <c r="G27" s="16"/>
      <c r="H27" s="380"/>
    </row>
    <row r="28" spans="1:11">
      <c r="A28" s="970" t="s">
        <v>439</v>
      </c>
      <c r="B28" s="970"/>
      <c r="C28" s="26" t="s">
        <v>440</v>
      </c>
      <c r="D28" s="447">
        <v>3400</v>
      </c>
      <c r="E28" s="450">
        <v>1</v>
      </c>
      <c r="F28" s="22">
        <f t="shared" si="1"/>
        <v>3400</v>
      </c>
      <c r="G28" s="16"/>
      <c r="K28" s="379"/>
    </row>
    <row r="29" spans="1:11">
      <c r="A29" s="969" t="s">
        <v>441</v>
      </c>
      <c r="B29" s="969"/>
      <c r="C29" s="415" t="s">
        <v>442</v>
      </c>
      <c r="D29" s="448">
        <f>+'APU 1,1'!D29</f>
        <v>58303.406666666669</v>
      </c>
      <c r="E29" s="450">
        <v>0.05</v>
      </c>
      <c r="F29" s="22">
        <f t="shared" si="1"/>
        <v>2915.1703333333335</v>
      </c>
      <c r="G29" s="16"/>
    </row>
    <row r="30" spans="1:11">
      <c r="A30" s="969" t="s">
        <v>443</v>
      </c>
      <c r="B30" s="969"/>
      <c r="C30" s="323" t="s">
        <v>440</v>
      </c>
      <c r="D30" s="449">
        <f>+'APU 1,1'!D30</f>
        <v>5553.333333333333</v>
      </c>
      <c r="E30" s="450">
        <v>0.15</v>
      </c>
      <c r="F30" s="22">
        <f t="shared" si="1"/>
        <v>832.99999999999989</v>
      </c>
      <c r="G30" s="16"/>
    </row>
    <row r="31" spans="1:11">
      <c r="A31" s="969" t="s">
        <v>444</v>
      </c>
      <c r="B31" s="969"/>
      <c r="C31" s="323" t="s">
        <v>442</v>
      </c>
      <c r="D31" s="449">
        <v>42100</v>
      </c>
      <c r="E31" s="450">
        <v>0.1</v>
      </c>
      <c r="F31" s="22">
        <f t="shared" si="1"/>
        <v>4210</v>
      </c>
      <c r="G31" s="16"/>
    </row>
    <row r="32" spans="1:11" ht="17.25" thickBot="1">
      <c r="A32" s="946"/>
      <c r="B32" s="947"/>
      <c r="C32" s="325"/>
      <c r="D32" s="349"/>
      <c r="E32" s="350"/>
      <c r="F32" s="326">
        <f t="shared" si="1"/>
        <v>0</v>
      </c>
      <c r="G32" s="17"/>
    </row>
    <row r="33" spans="1:11" ht="17.25" thickBot="1">
      <c r="F33" s="4" t="s">
        <v>400</v>
      </c>
      <c r="G33" s="11">
        <f>SUM(F26:F32)</f>
        <v>15668.170333333333</v>
      </c>
    </row>
    <row r="34" spans="1:11" ht="17.25" thickBot="1">
      <c r="A34" s="923" t="s">
        <v>410</v>
      </c>
      <c r="B34" s="923"/>
    </row>
    <row r="35" spans="1:11">
      <c r="A35" s="12" t="s">
        <v>411</v>
      </c>
      <c r="B35" s="13" t="s">
        <v>412</v>
      </c>
      <c r="C35" s="13" t="s">
        <v>413</v>
      </c>
      <c r="D35" s="13" t="s">
        <v>414</v>
      </c>
      <c r="E35" s="13" t="s">
        <v>415</v>
      </c>
      <c r="F35" s="13" t="s">
        <v>399</v>
      </c>
      <c r="G35" s="18"/>
    </row>
    <row r="36" spans="1:11">
      <c r="A36" s="351"/>
      <c r="B36" s="32"/>
      <c r="C36" s="352"/>
      <c r="D36" s="352"/>
      <c r="E36" s="81"/>
      <c r="F36" s="22"/>
      <c r="G36" s="19"/>
    </row>
    <row r="37" spans="1:11">
      <c r="A37" s="353" t="s">
        <v>416</v>
      </c>
      <c r="B37" s="354" t="s">
        <v>417</v>
      </c>
      <c r="C37" s="354" t="s">
        <v>193</v>
      </c>
      <c r="D37" s="354" t="s">
        <v>418</v>
      </c>
      <c r="E37" s="354" t="s">
        <v>398</v>
      </c>
      <c r="F37" s="354" t="s">
        <v>399</v>
      </c>
      <c r="G37" s="19"/>
      <c r="I37" s="941"/>
      <c r="J37" s="941"/>
      <c r="K37" s="941"/>
    </row>
    <row r="38" spans="1:11">
      <c r="A38" s="28"/>
      <c r="B38" s="355"/>
      <c r="C38" s="355"/>
      <c r="D38" s="81"/>
      <c r="E38" s="34"/>
      <c r="F38" s="22"/>
      <c r="G38" s="16"/>
      <c r="I38" s="83"/>
      <c r="J38" s="83"/>
      <c r="K38" s="83"/>
    </row>
    <row r="39" spans="1:11" ht="17.25" thickBot="1">
      <c r="A39" s="29"/>
      <c r="B39" s="24"/>
      <c r="C39" s="24"/>
      <c r="D39" s="24"/>
      <c r="E39" s="33"/>
      <c r="F39" s="33"/>
      <c r="G39" s="17"/>
      <c r="H39" s="380"/>
      <c r="I39" s="83"/>
      <c r="J39" s="83"/>
      <c r="K39" s="379"/>
    </row>
    <row r="40" spans="1:11" ht="17.25" thickBot="1">
      <c r="F40" s="4" t="s">
        <v>400</v>
      </c>
      <c r="G40" s="11">
        <f>SUM(F36:F39)</f>
        <v>0</v>
      </c>
      <c r="H40" s="380"/>
      <c r="I40" s="83"/>
      <c r="J40" s="377"/>
      <c r="K40" s="379"/>
    </row>
    <row r="41" spans="1:11" ht="17.25" thickBot="1">
      <c r="A41" s="923" t="s">
        <v>419</v>
      </c>
      <c r="B41" s="923"/>
      <c r="H41" s="380"/>
    </row>
    <row r="42" spans="1:11">
      <c r="A42" s="12" t="s">
        <v>416</v>
      </c>
      <c r="B42" s="13" t="s">
        <v>417</v>
      </c>
      <c r="C42" s="13" t="s">
        <v>193</v>
      </c>
      <c r="D42" s="13" t="s">
        <v>418</v>
      </c>
      <c r="E42" s="13" t="s">
        <v>398</v>
      </c>
      <c r="F42" s="13" t="s">
        <v>399</v>
      </c>
      <c r="G42" s="18"/>
      <c r="K42" s="379"/>
    </row>
    <row r="43" spans="1:11" ht="17.25" thickBot="1">
      <c r="A43" s="441" t="str">
        <f>Insumos!B39</f>
        <v xml:space="preserve">Oficial HVAC+Ayudante </v>
      </c>
      <c r="B43" s="355">
        <f>+Insumos!C40</f>
        <v>26152.364711232374</v>
      </c>
      <c r="C43" s="438">
        <f>+Insumos!D40</f>
        <v>14323.728638017281</v>
      </c>
      <c r="D43" s="326">
        <f>SUM(B43:C43)</f>
        <v>40476.093349249655</v>
      </c>
      <c r="E43" s="361">
        <v>2</v>
      </c>
      <c r="F43" s="326">
        <f>D43*E43</f>
        <v>80952.18669849931</v>
      </c>
      <c r="G43" s="357"/>
    </row>
    <row r="44" spans="1:11" ht="17.25" thickBot="1">
      <c r="F44" s="4" t="s">
        <v>400</v>
      </c>
      <c r="G44" s="11">
        <f>SUM(F43:F43)</f>
        <v>80952.18669849931</v>
      </c>
    </row>
    <row r="45" spans="1:11" ht="17.25" thickBot="1"/>
    <row r="46" spans="1:11" ht="17.25" thickBot="1">
      <c r="F46" s="4" t="s">
        <v>420</v>
      </c>
      <c r="G46" s="71">
        <f>SUM(G44,G40,G33,G23,G13)</f>
        <v>104191.29970009094</v>
      </c>
    </row>
  </sheetData>
  <mergeCells count="32">
    <mergeCell ref="A25:B25"/>
    <mergeCell ref="A26:B26"/>
    <mergeCell ref="I37:K37"/>
    <mergeCell ref="A27:B27"/>
    <mergeCell ref="A41:B41"/>
    <mergeCell ref="A28:B28"/>
    <mergeCell ref="A29:B29"/>
    <mergeCell ref="A30:B30"/>
    <mergeCell ref="A31:B31"/>
    <mergeCell ref="A32:B32"/>
    <mergeCell ref="A34:B34"/>
    <mergeCell ref="A19:B19"/>
    <mergeCell ref="A20:B20"/>
    <mergeCell ref="A21:B21"/>
    <mergeCell ref="I23:K23"/>
    <mergeCell ref="A24:B24"/>
    <mergeCell ref="A22:B22"/>
    <mergeCell ref="A23:B23"/>
    <mergeCell ref="A17:B17"/>
    <mergeCell ref="A18:B18"/>
    <mergeCell ref="A16:B16"/>
    <mergeCell ref="A1:C1"/>
    <mergeCell ref="D1:G1"/>
    <mergeCell ref="A3:G3"/>
    <mergeCell ref="A4:G4"/>
    <mergeCell ref="B6:G6"/>
    <mergeCell ref="A8:B8"/>
    <mergeCell ref="A9:B9"/>
    <mergeCell ref="A10:B10"/>
    <mergeCell ref="A11:B11"/>
    <mergeCell ref="A12:B12"/>
    <mergeCell ref="A15:B15"/>
  </mergeCells>
  <pageMargins left="0.7" right="0.7" top="0.75" bottom="0.75" header="0.3" footer="0.3"/>
  <pageSetup orientation="portrait" horizontalDpi="4294967295" verticalDpi="4294967295"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D6A69-828C-4B0E-86F2-0FFEC4EDC122}">
  <dimension ref="A1:K47"/>
  <sheetViews>
    <sheetView topLeftCell="A22" zoomScaleNormal="100" workbookViewId="0">
      <selection activeCell="K43" sqref="K43"/>
    </sheetView>
  </sheetViews>
  <sheetFormatPr baseColWidth="10" defaultColWidth="11.42578125" defaultRowHeight="16.5"/>
  <cols>
    <col min="1" max="1" width="33" style="2" customWidth="1"/>
    <col min="2" max="2" width="19.5703125" style="2" customWidth="1"/>
    <col min="3" max="3" width="12"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7" ht="77.25" customHeight="1" thickBot="1">
      <c r="A1" s="918"/>
      <c r="B1" s="919"/>
      <c r="C1" s="919"/>
      <c r="D1" s="704" t="s">
        <v>388</v>
      </c>
      <c r="E1" s="705"/>
      <c r="F1" s="705"/>
      <c r="G1" s="706"/>
    </row>
    <row r="2" spans="1:7" ht="22.5" customHeight="1" thickBot="1">
      <c r="A2" s="8"/>
      <c r="B2" s="8"/>
      <c r="C2" s="8"/>
      <c r="D2" s="9"/>
      <c r="E2" s="9"/>
      <c r="F2" s="9"/>
      <c r="G2" s="9"/>
    </row>
    <row r="3" spans="1:7" ht="23.25" customHeight="1" thickBot="1">
      <c r="A3" s="747" t="str">
        <f>+'AU  Consul P2'!A3:I3</f>
        <v>SECRETARÍA DE TALENTO HUMANO Y SERVICIOS ADMINISTRATIVOS- DIRECCIÓN DE SERVICIOS GENERALES</v>
      </c>
      <c r="B3" s="748"/>
      <c r="C3" s="748"/>
      <c r="D3" s="748"/>
      <c r="E3" s="748"/>
      <c r="F3" s="748"/>
      <c r="G3" s="749"/>
    </row>
    <row r="4" spans="1:7" s="1" customFormat="1" ht="43.1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thickBot="1">
      <c r="A5" s="364" t="s">
        <v>389</v>
      </c>
      <c r="B5" s="558">
        <f>+'PRESUPUESTO OFICIAL 2026'!B22</f>
        <v>1.1200000000000001</v>
      </c>
      <c r="C5" s="3"/>
      <c r="D5" s="3"/>
      <c r="E5" s="3"/>
      <c r="F5" s="7" t="s">
        <v>391</v>
      </c>
      <c r="G5" s="363" t="str">
        <f>+'PRESUPUESTO OFICIAL 2026'!H21</f>
        <v xml:space="preserve">GLO </v>
      </c>
    </row>
    <row r="6" spans="1:7" ht="117.75" customHeight="1">
      <c r="A6" s="10" t="s">
        <v>392</v>
      </c>
      <c r="B6" s="974" t="s">
        <v>453</v>
      </c>
      <c r="C6" s="971"/>
      <c r="D6" s="971"/>
      <c r="E6" s="971"/>
      <c r="F6" s="971"/>
      <c r="G6" s="972"/>
    </row>
    <row r="8" spans="1:7" ht="17.25" thickBot="1">
      <c r="A8" s="923" t="s">
        <v>394</v>
      </c>
      <c r="B8" s="923"/>
    </row>
    <row r="9" spans="1:7">
      <c r="A9" s="924" t="s">
        <v>395</v>
      </c>
      <c r="B9" s="925"/>
      <c r="C9" s="13" t="s">
        <v>396</v>
      </c>
      <c r="D9" s="13" t="s">
        <v>397</v>
      </c>
      <c r="E9" s="13" t="s">
        <v>398</v>
      </c>
      <c r="F9" s="13" t="s">
        <v>399</v>
      </c>
      <c r="G9" s="14"/>
    </row>
    <row r="10" spans="1:7">
      <c r="A10" s="926" t="s">
        <v>427</v>
      </c>
      <c r="B10" s="927"/>
      <c r="C10" s="26" t="s">
        <v>428</v>
      </c>
      <c r="D10" s="21">
        <f>G45</f>
        <v>636230.38280354696</v>
      </c>
      <c r="E10" s="31">
        <v>0.05</v>
      </c>
      <c r="F10" s="22">
        <f>E10*D10</f>
        <v>31811.519140177348</v>
      </c>
      <c r="G10" s="15"/>
    </row>
    <row r="11" spans="1:7" ht="17.25" thickBot="1">
      <c r="A11" s="959"/>
      <c r="B11" s="960"/>
      <c r="C11" s="436"/>
      <c r="D11" s="512"/>
      <c r="E11" s="514"/>
      <c r="F11" s="22"/>
      <c r="G11" s="15"/>
    </row>
    <row r="12" spans="1:7" ht="17.25" thickBot="1">
      <c r="A12" s="957"/>
      <c r="B12" s="958"/>
      <c r="C12" s="506"/>
      <c r="D12" s="513"/>
      <c r="E12" s="434"/>
      <c r="F12" s="22"/>
      <c r="G12" s="17"/>
    </row>
    <row r="13" spans="1:7" ht="17.25" thickBot="1">
      <c r="F13" s="4" t="s">
        <v>400</v>
      </c>
      <c r="G13" s="25">
        <f>SUM(F10:F12)</f>
        <v>31811.519140177348</v>
      </c>
    </row>
    <row r="14" spans="1:7">
      <c r="F14" s="4"/>
      <c r="G14" s="336"/>
    </row>
    <row r="15" spans="1:7" ht="17.25" thickBot="1">
      <c r="A15" s="930" t="s">
        <v>401</v>
      </c>
      <c r="B15" s="930"/>
    </row>
    <row r="16" spans="1:7">
      <c r="A16" s="931" t="s">
        <v>395</v>
      </c>
      <c r="B16" s="932"/>
      <c r="C16" s="13" t="s">
        <v>402</v>
      </c>
      <c r="D16" s="13" t="s">
        <v>403</v>
      </c>
      <c r="E16" s="13" t="s">
        <v>404</v>
      </c>
      <c r="F16" s="13" t="s">
        <v>399</v>
      </c>
      <c r="G16" s="18"/>
    </row>
    <row r="17" spans="1:11" ht="16.5" customHeight="1">
      <c r="A17" s="916" t="s">
        <v>429</v>
      </c>
      <c r="B17" s="917"/>
      <c r="C17" s="323" t="s">
        <v>430</v>
      </c>
      <c r="D17" s="366">
        <v>7000</v>
      </c>
      <c r="E17" s="369">
        <f>20/60</f>
        <v>0.33333333333333331</v>
      </c>
      <c r="F17" s="22">
        <f t="shared" ref="F17:F22" si="0">+D17*E17</f>
        <v>2333.333333333333</v>
      </c>
      <c r="G17" s="16"/>
    </row>
    <row r="18" spans="1:11">
      <c r="A18" s="916" t="s">
        <v>431</v>
      </c>
      <c r="B18" s="917"/>
      <c r="C18" s="323" t="s">
        <v>430</v>
      </c>
      <c r="D18" s="366">
        <v>3500</v>
      </c>
      <c r="E18" s="370">
        <v>0.17</v>
      </c>
      <c r="F18" s="22">
        <f t="shared" si="0"/>
        <v>595</v>
      </c>
      <c r="G18" s="16"/>
    </row>
    <row r="19" spans="1:11">
      <c r="A19" s="950" t="s">
        <v>432</v>
      </c>
      <c r="B19" s="951"/>
      <c r="C19" s="323" t="s">
        <v>430</v>
      </c>
      <c r="D19" s="366">
        <v>3500</v>
      </c>
      <c r="E19" s="342">
        <v>0.17</v>
      </c>
      <c r="F19" s="22">
        <f t="shared" si="0"/>
        <v>595</v>
      </c>
      <c r="G19" s="343"/>
    </row>
    <row r="20" spans="1:11">
      <c r="A20" s="933"/>
      <c r="B20" s="934"/>
      <c r="C20" s="338"/>
      <c r="D20" s="367"/>
      <c r="E20" s="342"/>
      <c r="F20" s="22">
        <f t="shared" si="0"/>
        <v>0</v>
      </c>
      <c r="G20" s="343"/>
    </row>
    <row r="21" spans="1:11">
      <c r="A21" s="933"/>
      <c r="B21" s="934"/>
      <c r="C21" s="338"/>
      <c r="D21" s="367"/>
      <c r="E21" s="342"/>
      <c r="F21" s="22">
        <f t="shared" si="0"/>
        <v>0</v>
      </c>
      <c r="G21" s="343"/>
    </row>
    <row r="22" spans="1:11" ht="17.25" thickBot="1">
      <c r="A22" s="946"/>
      <c r="B22" s="973"/>
      <c r="C22" s="325"/>
      <c r="D22" s="344"/>
      <c r="E22" s="345"/>
      <c r="F22" s="326">
        <f t="shared" si="0"/>
        <v>0</v>
      </c>
      <c r="G22" s="346"/>
    </row>
    <row r="23" spans="1:11" ht="17.25" thickBot="1">
      <c r="A23" s="941"/>
      <c r="B23" s="941"/>
      <c r="F23" s="4" t="s">
        <v>400</v>
      </c>
      <c r="G23" s="25">
        <f>SUM(F22,F21,F20,F19,F18,F17)</f>
        <v>3523.333333333333</v>
      </c>
      <c r="I23" s="941"/>
      <c r="J23" s="941"/>
      <c r="K23" s="941"/>
    </row>
    <row r="24" spans="1:11" ht="17.25" thickBot="1">
      <c r="A24" s="930" t="s">
        <v>405</v>
      </c>
      <c r="B24" s="930"/>
      <c r="I24" s="83"/>
      <c r="J24" s="83"/>
      <c r="K24" s="83"/>
    </row>
    <row r="25" spans="1:11">
      <c r="A25" s="931" t="s">
        <v>395</v>
      </c>
      <c r="B25" s="932"/>
      <c r="C25" s="13" t="s">
        <v>402</v>
      </c>
      <c r="D25" s="13" t="s">
        <v>403</v>
      </c>
      <c r="E25" s="13" t="s">
        <v>404</v>
      </c>
      <c r="F25" s="13" t="s">
        <v>399</v>
      </c>
      <c r="G25" s="18"/>
      <c r="H25" s="380"/>
      <c r="I25" s="83"/>
      <c r="J25" s="83"/>
      <c r="K25" s="379"/>
    </row>
    <row r="26" spans="1:11">
      <c r="A26" s="969" t="s">
        <v>435</v>
      </c>
      <c r="B26" s="969"/>
      <c r="C26" s="323" t="s">
        <v>436</v>
      </c>
      <c r="D26" s="445">
        <v>28100</v>
      </c>
      <c r="E26" s="450">
        <v>0.1</v>
      </c>
      <c r="F26" s="22">
        <f>+D26*E26</f>
        <v>2810</v>
      </c>
      <c r="G26" s="16"/>
      <c r="H26" s="380"/>
      <c r="I26" s="83"/>
      <c r="J26" s="377"/>
      <c r="K26" s="379"/>
    </row>
    <row r="27" spans="1:11">
      <c r="A27" s="970" t="s">
        <v>437</v>
      </c>
      <c r="B27" s="969"/>
      <c r="C27" s="338" t="s">
        <v>436</v>
      </c>
      <c r="D27" s="446">
        <v>10000</v>
      </c>
      <c r="E27" s="510">
        <v>0.15</v>
      </c>
      <c r="F27" s="22">
        <f t="shared" ref="F27:F32" si="1">+D27*E27</f>
        <v>1500</v>
      </c>
      <c r="G27" s="16"/>
      <c r="H27" s="380"/>
    </row>
    <row r="28" spans="1:11">
      <c r="A28" s="970" t="s">
        <v>439</v>
      </c>
      <c r="B28" s="970"/>
      <c r="C28" s="26" t="s">
        <v>440</v>
      </c>
      <c r="D28" s="447">
        <v>3400</v>
      </c>
      <c r="E28" s="450">
        <v>1</v>
      </c>
      <c r="F28" s="22">
        <f t="shared" si="1"/>
        <v>3400</v>
      </c>
      <c r="G28" s="16"/>
      <c r="K28" s="379"/>
    </row>
    <row r="29" spans="1:11">
      <c r="A29" s="969" t="s">
        <v>441</v>
      </c>
      <c r="B29" s="969"/>
      <c r="C29" s="415" t="s">
        <v>442</v>
      </c>
      <c r="D29" s="448">
        <f>+'APU 1,1'!D29</f>
        <v>58303.406666666669</v>
      </c>
      <c r="E29" s="450">
        <v>0.05</v>
      </c>
      <c r="F29" s="22">
        <f t="shared" si="1"/>
        <v>2915.1703333333335</v>
      </c>
      <c r="G29" s="16"/>
    </row>
    <row r="30" spans="1:11">
      <c r="A30" s="969" t="s">
        <v>443</v>
      </c>
      <c r="B30" s="969"/>
      <c r="C30" s="323" t="s">
        <v>440</v>
      </c>
      <c r="D30" s="449">
        <f>+'APU 1,1'!D30</f>
        <v>5553.333333333333</v>
      </c>
      <c r="E30" s="450">
        <v>0.15</v>
      </c>
      <c r="F30" s="22">
        <f t="shared" si="1"/>
        <v>832.99999999999989</v>
      </c>
      <c r="G30" s="16"/>
    </row>
    <row r="31" spans="1:11">
      <c r="A31" s="969" t="s">
        <v>444</v>
      </c>
      <c r="B31" s="969"/>
      <c r="C31" s="323" t="s">
        <v>442</v>
      </c>
      <c r="D31" s="449">
        <v>42100</v>
      </c>
      <c r="E31" s="450">
        <v>0.1</v>
      </c>
      <c r="F31" s="22">
        <f t="shared" si="1"/>
        <v>4210</v>
      </c>
      <c r="G31" s="16"/>
    </row>
    <row r="32" spans="1:11" ht="17.25" thickBot="1">
      <c r="A32" s="946"/>
      <c r="B32" s="947"/>
      <c r="C32" s="325"/>
      <c r="D32" s="349"/>
      <c r="E32" s="350"/>
      <c r="F32" s="326">
        <f t="shared" si="1"/>
        <v>0</v>
      </c>
      <c r="G32" s="17"/>
    </row>
    <row r="33" spans="1:11" ht="17.25" thickBot="1">
      <c r="F33" s="4" t="s">
        <v>400</v>
      </c>
      <c r="G33" s="11">
        <f>SUM(F26:F32)</f>
        <v>15668.170333333333</v>
      </c>
    </row>
    <row r="34" spans="1:11" ht="17.25" thickBot="1">
      <c r="A34" s="923" t="s">
        <v>410</v>
      </c>
      <c r="B34" s="923"/>
    </row>
    <row r="35" spans="1:11">
      <c r="A35" s="12" t="s">
        <v>411</v>
      </c>
      <c r="B35" s="13" t="s">
        <v>412</v>
      </c>
      <c r="C35" s="13" t="s">
        <v>413</v>
      </c>
      <c r="D35" s="13" t="s">
        <v>414</v>
      </c>
      <c r="E35" s="13" t="s">
        <v>415</v>
      </c>
      <c r="F35" s="13" t="s">
        <v>399</v>
      </c>
      <c r="G35" s="18"/>
    </row>
    <row r="36" spans="1:11">
      <c r="A36" s="351"/>
      <c r="B36" s="32"/>
      <c r="C36" s="352"/>
      <c r="D36" s="352"/>
      <c r="E36" s="81"/>
      <c r="F36" s="22"/>
      <c r="G36" s="19"/>
    </row>
    <row r="37" spans="1:11">
      <c r="A37" s="353" t="s">
        <v>416</v>
      </c>
      <c r="B37" s="354" t="s">
        <v>417</v>
      </c>
      <c r="C37" s="354" t="s">
        <v>193</v>
      </c>
      <c r="D37" s="354" t="s">
        <v>418</v>
      </c>
      <c r="E37" s="354" t="s">
        <v>398</v>
      </c>
      <c r="F37" s="354" t="s">
        <v>399</v>
      </c>
      <c r="G37" s="19"/>
      <c r="I37" s="941"/>
      <c r="J37" s="941"/>
      <c r="K37" s="941"/>
    </row>
    <row r="38" spans="1:11">
      <c r="A38" s="28"/>
      <c r="B38" s="355"/>
      <c r="C38" s="355"/>
      <c r="D38" s="81"/>
      <c r="E38" s="34"/>
      <c r="F38" s="22"/>
      <c r="G38" s="16"/>
      <c r="I38" s="83"/>
      <c r="J38" s="83"/>
      <c r="K38" s="83"/>
    </row>
    <row r="39" spans="1:11" ht="17.25" thickBot="1">
      <c r="A39" s="29"/>
      <c r="B39" s="24"/>
      <c r="C39" s="24"/>
      <c r="D39" s="24"/>
      <c r="E39" s="33"/>
      <c r="F39" s="33"/>
      <c r="G39" s="17"/>
      <c r="H39" s="380"/>
      <c r="I39" s="83"/>
      <c r="J39" s="83"/>
      <c r="K39" s="379"/>
    </row>
    <row r="40" spans="1:11" ht="17.25" thickBot="1">
      <c r="F40" s="4" t="s">
        <v>400</v>
      </c>
      <c r="G40" s="11">
        <f>SUM(F36:F39)</f>
        <v>0</v>
      </c>
      <c r="H40" s="380"/>
      <c r="I40" s="83"/>
      <c r="J40" s="377"/>
      <c r="K40" s="379"/>
    </row>
    <row r="41" spans="1:11" ht="17.25" thickBot="1">
      <c r="A41" s="923" t="s">
        <v>419</v>
      </c>
      <c r="B41" s="923"/>
      <c r="H41" s="380"/>
    </row>
    <row r="42" spans="1:11">
      <c r="A42" s="12" t="s">
        <v>416</v>
      </c>
      <c r="B42" s="13" t="s">
        <v>417</v>
      </c>
      <c r="C42" s="13" t="s">
        <v>193</v>
      </c>
      <c r="D42" s="13" t="s">
        <v>418</v>
      </c>
      <c r="E42" s="13" t="s">
        <v>398</v>
      </c>
      <c r="F42" s="13" t="s">
        <v>399</v>
      </c>
      <c r="G42" s="18"/>
      <c r="K42" s="379"/>
    </row>
    <row r="43" spans="1:11">
      <c r="A43" s="441" t="str">
        <f>Insumos!B18</f>
        <v>Ingeniero Electrico HVAC</v>
      </c>
      <c r="B43" s="439">
        <f>Insumos!C18/7.33</f>
        <v>31849.113233287859</v>
      </c>
      <c r="C43" s="438">
        <f>Insumos!D18/7.33</f>
        <v>18564.848103683489</v>
      </c>
      <c r="D43" s="326">
        <f>SUM(B43:C43)</f>
        <v>50413.961336971348</v>
      </c>
      <c r="E43" s="637">
        <v>7</v>
      </c>
      <c r="F43" s="326">
        <f>D43*E43</f>
        <v>352897.72935879941</v>
      </c>
      <c r="G43" s="19"/>
      <c r="K43" s="379"/>
    </row>
    <row r="44" spans="1:11">
      <c r="A44" s="441" t="str">
        <f>Insumos!B39</f>
        <v xml:space="preserve">Oficial HVAC+Ayudante </v>
      </c>
      <c r="B44" s="439">
        <f>+Insumos!C40</f>
        <v>26152.364711232374</v>
      </c>
      <c r="C44" s="438">
        <f>+Insumos!D40</f>
        <v>14323.728638017281</v>
      </c>
      <c r="D44" s="326">
        <f>SUM(B44:C44)</f>
        <v>40476.093349249655</v>
      </c>
      <c r="E44" s="637">
        <v>7</v>
      </c>
      <c r="F44" s="326">
        <f>D44*E44</f>
        <v>283332.65344474756</v>
      </c>
      <c r="G44" s="357"/>
    </row>
    <row r="45" spans="1:11">
      <c r="F45" s="4" t="s">
        <v>400</v>
      </c>
      <c r="G45" s="11">
        <f>SUM(F43:F44)</f>
        <v>636230.38280354696</v>
      </c>
    </row>
    <row r="46" spans="1:11" ht="17.25" thickBot="1"/>
    <row r="47" spans="1:11" ht="17.25" thickBot="1">
      <c r="F47" s="4" t="s">
        <v>420</v>
      </c>
      <c r="G47" s="71">
        <f>SUM(G45,G40,G33,G23,G13)</f>
        <v>687233.40561039094</v>
      </c>
    </row>
  </sheetData>
  <mergeCells count="32">
    <mergeCell ref="A17:B17"/>
    <mergeCell ref="A18:B18"/>
    <mergeCell ref="A16:B16"/>
    <mergeCell ref="A1:C1"/>
    <mergeCell ref="D1:G1"/>
    <mergeCell ref="A3:G3"/>
    <mergeCell ref="A4:G4"/>
    <mergeCell ref="B6:G6"/>
    <mergeCell ref="A8:B8"/>
    <mergeCell ref="A9:B9"/>
    <mergeCell ref="A10:B10"/>
    <mergeCell ref="A11:B11"/>
    <mergeCell ref="A12:B12"/>
    <mergeCell ref="A15:B15"/>
    <mergeCell ref="A19:B19"/>
    <mergeCell ref="A20:B20"/>
    <mergeCell ref="A21:B21"/>
    <mergeCell ref="I23:K23"/>
    <mergeCell ref="A24:B24"/>
    <mergeCell ref="A22:B22"/>
    <mergeCell ref="A23:B23"/>
    <mergeCell ref="A25:B25"/>
    <mergeCell ref="A26:B26"/>
    <mergeCell ref="I37:K37"/>
    <mergeCell ref="A27:B27"/>
    <mergeCell ref="A41:B41"/>
    <mergeCell ref="A28:B28"/>
    <mergeCell ref="A29:B29"/>
    <mergeCell ref="A30:B30"/>
    <mergeCell ref="A31:B31"/>
    <mergeCell ref="A32:B32"/>
    <mergeCell ref="A34:B34"/>
  </mergeCells>
  <pageMargins left="0.7" right="0.7" top="0.75" bottom="0.75" header="0.3" footer="0.3"/>
  <pageSetup orientation="portrait" horizontalDpi="4294967295" verticalDpi="4294967295"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8CF6D-5804-459D-B982-1E59A0F9E3E7}">
  <dimension ref="A1:K46"/>
  <sheetViews>
    <sheetView topLeftCell="A22" zoomScale="124" zoomScaleNormal="124" workbookViewId="0">
      <selection activeCell="A27" sqref="A27:F27"/>
    </sheetView>
  </sheetViews>
  <sheetFormatPr baseColWidth="10" defaultColWidth="11.42578125" defaultRowHeight="16.5"/>
  <cols>
    <col min="1" max="1" width="33" style="2" customWidth="1"/>
    <col min="2" max="2" width="19.5703125" style="2" customWidth="1"/>
    <col min="3" max="3" width="12"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7" ht="77.25" customHeight="1">
      <c r="A1" s="918"/>
      <c r="B1" s="919"/>
      <c r="C1" s="919"/>
      <c r="D1" s="704" t="s">
        <v>388</v>
      </c>
      <c r="E1" s="705"/>
      <c r="F1" s="705"/>
      <c r="G1" s="706"/>
    </row>
    <row r="2" spans="1:7" ht="22.5" customHeight="1">
      <c r="A2" s="8"/>
      <c r="B2" s="8"/>
      <c r="C2" s="8"/>
      <c r="D2" s="9"/>
      <c r="E2" s="9"/>
      <c r="F2" s="9"/>
      <c r="G2" s="9"/>
    </row>
    <row r="3" spans="1:7" ht="23.25" customHeight="1">
      <c r="A3" s="747" t="str">
        <f>+'AU  Consul P2'!A3:I3</f>
        <v>SECRETARÍA DE TALENTO HUMANO Y SERVICIOS ADMINISTRATIVOS- DIRECCIÓN DE SERVICIOS GENERALES</v>
      </c>
      <c r="B3" s="748"/>
      <c r="C3" s="748"/>
      <c r="D3" s="748"/>
      <c r="E3" s="748"/>
      <c r="F3" s="748"/>
      <c r="G3" s="749"/>
    </row>
    <row r="4" spans="1:7" s="1" customFormat="1" ht="43.15" customHeigh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c r="A5" s="364" t="s">
        <v>389</v>
      </c>
      <c r="B5" s="558">
        <f>+'PRESUPUESTO OFICIAL 2026'!B24</f>
        <v>1.1299999999999999</v>
      </c>
      <c r="C5" s="3"/>
      <c r="D5" s="3"/>
      <c r="E5" s="3"/>
      <c r="F5" s="7" t="s">
        <v>391</v>
      </c>
      <c r="G5" s="363" t="str">
        <f>+'PRESUPUESTO OFICIAL 2026'!H24</f>
        <v xml:space="preserve">GLO </v>
      </c>
    </row>
    <row r="6" spans="1:7" ht="67.5" customHeight="1">
      <c r="A6" s="10" t="s">
        <v>392</v>
      </c>
      <c r="B6" s="988" t="s">
        <v>344</v>
      </c>
      <c r="C6" s="989"/>
      <c r="D6" s="989"/>
      <c r="E6" s="989"/>
      <c r="F6" s="989"/>
      <c r="G6" s="990"/>
    </row>
    <row r="8" spans="1:7">
      <c r="A8" s="923" t="s">
        <v>394</v>
      </c>
      <c r="B8" s="923"/>
    </row>
    <row r="9" spans="1:7">
      <c r="A9" s="924" t="s">
        <v>395</v>
      </c>
      <c r="B9" s="925"/>
      <c r="C9" s="13" t="s">
        <v>396</v>
      </c>
      <c r="D9" s="13" t="s">
        <v>397</v>
      </c>
      <c r="E9" s="13" t="s">
        <v>398</v>
      </c>
      <c r="F9" s="13" t="s">
        <v>399</v>
      </c>
      <c r="G9" s="14"/>
    </row>
    <row r="10" spans="1:7">
      <c r="A10" s="926" t="s">
        <v>427</v>
      </c>
      <c r="B10" s="927"/>
      <c r="C10" s="26" t="s">
        <v>428</v>
      </c>
      <c r="D10" s="21">
        <f>G44</f>
        <v>121428.28004774897</v>
      </c>
      <c r="E10" s="31">
        <v>0.05</v>
      </c>
      <c r="F10" s="22">
        <f>E10*D10</f>
        <v>6071.4140023874488</v>
      </c>
      <c r="G10" s="15"/>
    </row>
    <row r="11" spans="1:7">
      <c r="A11" s="959"/>
      <c r="B11" s="960"/>
      <c r="C11" s="436"/>
      <c r="D11" s="512"/>
      <c r="E11" s="514"/>
      <c r="F11" s="22"/>
      <c r="G11" s="15"/>
    </row>
    <row r="12" spans="1:7">
      <c r="A12" s="957"/>
      <c r="B12" s="958"/>
      <c r="C12" s="506"/>
      <c r="D12" s="513"/>
      <c r="E12" s="434"/>
      <c r="F12" s="22"/>
      <c r="G12" s="17"/>
    </row>
    <row r="13" spans="1:7">
      <c r="F13" s="4" t="s">
        <v>400</v>
      </c>
      <c r="G13" s="25">
        <f>SUM(F10:F12)</f>
        <v>6071.4140023874488</v>
      </c>
    </row>
    <row r="14" spans="1:7">
      <c r="F14" s="4"/>
      <c r="G14" s="336"/>
    </row>
    <row r="15" spans="1:7">
      <c r="A15" s="930" t="s">
        <v>401</v>
      </c>
      <c r="B15" s="930"/>
    </row>
    <row r="16" spans="1:7">
      <c r="A16" s="931" t="s">
        <v>395</v>
      </c>
      <c r="B16" s="932"/>
      <c r="C16" s="13" t="s">
        <v>402</v>
      </c>
      <c r="D16" s="13" t="s">
        <v>403</v>
      </c>
      <c r="E16" s="13" t="s">
        <v>404</v>
      </c>
      <c r="F16" s="13" t="s">
        <v>399</v>
      </c>
      <c r="G16" s="18"/>
    </row>
    <row r="17" spans="1:11" ht="16.5" customHeight="1">
      <c r="A17" s="916" t="s">
        <v>429</v>
      </c>
      <c r="B17" s="917"/>
      <c r="C17" s="323" t="s">
        <v>430</v>
      </c>
      <c r="D17" s="366">
        <v>7000</v>
      </c>
      <c r="E17" s="369">
        <v>0.25</v>
      </c>
      <c r="F17" s="22">
        <f t="shared" ref="F17:F22" si="0">+D17*E17</f>
        <v>1750</v>
      </c>
      <c r="G17" s="16"/>
    </row>
    <row r="18" spans="1:11">
      <c r="A18" s="916"/>
      <c r="B18" s="917"/>
      <c r="C18" s="323"/>
      <c r="D18" s="366"/>
      <c r="E18" s="370"/>
      <c r="F18" s="22">
        <f t="shared" si="0"/>
        <v>0</v>
      </c>
      <c r="G18" s="16"/>
    </row>
    <row r="19" spans="1:11">
      <c r="A19" s="950"/>
      <c r="B19" s="951"/>
      <c r="C19" s="323"/>
      <c r="D19" s="366"/>
      <c r="E19" s="342"/>
      <c r="F19" s="22">
        <f t="shared" si="0"/>
        <v>0</v>
      </c>
      <c r="G19" s="343"/>
    </row>
    <row r="20" spans="1:11">
      <c r="A20" s="933"/>
      <c r="B20" s="934"/>
      <c r="C20" s="338"/>
      <c r="D20" s="367"/>
      <c r="E20" s="342"/>
      <c r="F20" s="22">
        <f t="shared" si="0"/>
        <v>0</v>
      </c>
      <c r="G20" s="343"/>
    </row>
    <row r="21" spans="1:11">
      <c r="A21" s="933"/>
      <c r="B21" s="934"/>
      <c r="C21" s="338"/>
      <c r="D21" s="367"/>
      <c r="E21" s="342"/>
      <c r="F21" s="22">
        <f t="shared" si="0"/>
        <v>0</v>
      </c>
      <c r="G21" s="343"/>
    </row>
    <row r="22" spans="1:11">
      <c r="A22" s="946"/>
      <c r="B22" s="973"/>
      <c r="C22" s="325"/>
      <c r="D22" s="344"/>
      <c r="E22" s="345"/>
      <c r="F22" s="326">
        <f t="shared" si="0"/>
        <v>0</v>
      </c>
      <c r="G22" s="346"/>
    </row>
    <row r="23" spans="1:11">
      <c r="A23" s="941"/>
      <c r="B23" s="941"/>
      <c r="F23" s="4" t="s">
        <v>400</v>
      </c>
      <c r="G23" s="25">
        <f>SUM(F22,F21,F20,F19,F18,F17)</f>
        <v>1750</v>
      </c>
      <c r="I23" s="941"/>
      <c r="J23" s="941"/>
      <c r="K23" s="941"/>
    </row>
    <row r="24" spans="1:11">
      <c r="A24" s="923" t="s">
        <v>405</v>
      </c>
      <c r="B24" s="923"/>
      <c r="I24" s="83"/>
      <c r="J24" s="83"/>
      <c r="K24" s="83"/>
    </row>
    <row r="25" spans="1:11">
      <c r="A25" s="991" t="s">
        <v>395</v>
      </c>
      <c r="B25" s="992"/>
      <c r="C25" s="574" t="s">
        <v>402</v>
      </c>
      <c r="D25" s="574" t="s">
        <v>403</v>
      </c>
      <c r="E25" s="574" t="s">
        <v>404</v>
      </c>
      <c r="F25" s="574" t="s">
        <v>399</v>
      </c>
      <c r="G25" s="575"/>
      <c r="H25" s="380"/>
      <c r="I25" s="83"/>
      <c r="J25" s="83"/>
      <c r="K25" s="379"/>
    </row>
    <row r="26" spans="1:11">
      <c r="A26" s="983" t="s">
        <v>454</v>
      </c>
      <c r="B26" s="984"/>
      <c r="C26" s="522" t="s">
        <v>436</v>
      </c>
      <c r="D26" s="337">
        <v>10000</v>
      </c>
      <c r="E26" s="504">
        <v>0.1</v>
      </c>
      <c r="F26" s="22">
        <f t="shared" ref="F26:F32" si="1">+D26*E26</f>
        <v>1000</v>
      </c>
      <c r="G26" s="576"/>
      <c r="H26" s="380"/>
      <c r="I26" s="83"/>
      <c r="J26" s="377"/>
      <c r="K26" s="572" t="s">
        <v>455</v>
      </c>
    </row>
    <row r="27" spans="1:11">
      <c r="A27" s="983" t="s">
        <v>456</v>
      </c>
      <c r="B27" s="984"/>
      <c r="C27" s="522" t="s">
        <v>436</v>
      </c>
      <c r="D27" s="505">
        <v>44600</v>
      </c>
      <c r="E27" s="504">
        <v>0.05</v>
      </c>
      <c r="F27" s="22">
        <f t="shared" si="1"/>
        <v>2230</v>
      </c>
      <c r="G27" s="576"/>
      <c r="H27" s="380"/>
      <c r="K27" s="573" t="s">
        <v>457</v>
      </c>
    </row>
    <row r="28" spans="1:11">
      <c r="A28" s="983" t="s">
        <v>458</v>
      </c>
      <c r="B28" s="984"/>
      <c r="C28" s="522" t="s">
        <v>440</v>
      </c>
      <c r="D28" s="492">
        <v>42100</v>
      </c>
      <c r="E28" s="504">
        <v>0.05</v>
      </c>
      <c r="F28" s="22">
        <f t="shared" si="1"/>
        <v>2105</v>
      </c>
      <c r="G28" s="576"/>
      <c r="K28" s="379"/>
    </row>
    <row r="29" spans="1:11">
      <c r="A29" s="983" t="s">
        <v>439</v>
      </c>
      <c r="B29" s="984"/>
      <c r="C29" s="522" t="s">
        <v>440</v>
      </c>
      <c r="D29" s="482">
        <v>3400</v>
      </c>
      <c r="E29" s="504">
        <v>1</v>
      </c>
      <c r="F29" s="22">
        <f t="shared" si="1"/>
        <v>3400</v>
      </c>
      <c r="G29" s="576"/>
    </row>
    <row r="30" spans="1:11">
      <c r="A30" s="983" t="s">
        <v>450</v>
      </c>
      <c r="B30" s="984"/>
      <c r="C30" s="522" t="s">
        <v>440</v>
      </c>
      <c r="D30" s="492">
        <f>+'APU 1,1'!D30</f>
        <v>5553.333333333333</v>
      </c>
      <c r="E30" s="504">
        <v>0.15</v>
      </c>
      <c r="F30" s="22">
        <f t="shared" si="1"/>
        <v>832.99999999999989</v>
      </c>
      <c r="G30" s="576"/>
    </row>
    <row r="31" spans="1:11">
      <c r="A31" s="993"/>
      <c r="B31" s="969"/>
      <c r="C31" s="323"/>
      <c r="D31" s="449"/>
      <c r="E31" s="450"/>
      <c r="F31" s="22">
        <f t="shared" si="1"/>
        <v>0</v>
      </c>
      <c r="G31" s="576"/>
    </row>
    <row r="32" spans="1:11">
      <c r="A32" s="994"/>
      <c r="B32" s="995"/>
      <c r="C32" s="577"/>
      <c r="D32" s="578"/>
      <c r="E32" s="579"/>
      <c r="F32" s="580">
        <f t="shared" si="1"/>
        <v>0</v>
      </c>
      <c r="G32" s="581"/>
    </row>
    <row r="33" spans="1:11">
      <c r="F33" s="4" t="s">
        <v>400</v>
      </c>
      <c r="G33" s="11">
        <f>SUM(F26:F32)</f>
        <v>9568</v>
      </c>
    </row>
    <row r="34" spans="1:11">
      <c r="A34" s="923" t="s">
        <v>410</v>
      </c>
      <c r="B34" s="923"/>
    </row>
    <row r="35" spans="1:11">
      <c r="A35" s="12" t="s">
        <v>411</v>
      </c>
      <c r="B35" s="13" t="s">
        <v>412</v>
      </c>
      <c r="C35" s="13" t="s">
        <v>413</v>
      </c>
      <c r="D35" s="13" t="s">
        <v>414</v>
      </c>
      <c r="E35" s="13" t="s">
        <v>415</v>
      </c>
      <c r="F35" s="13" t="s">
        <v>399</v>
      </c>
      <c r="G35" s="18"/>
    </row>
    <row r="36" spans="1:11">
      <c r="A36" s="351"/>
      <c r="B36" s="32"/>
      <c r="C36" s="352"/>
      <c r="D36" s="352"/>
      <c r="E36" s="81"/>
      <c r="F36" s="22"/>
      <c r="G36" s="19"/>
    </row>
    <row r="37" spans="1:11">
      <c r="A37" s="353" t="s">
        <v>416</v>
      </c>
      <c r="B37" s="354" t="s">
        <v>417</v>
      </c>
      <c r="C37" s="354" t="s">
        <v>193</v>
      </c>
      <c r="D37" s="354" t="s">
        <v>418</v>
      </c>
      <c r="E37" s="354" t="s">
        <v>398</v>
      </c>
      <c r="F37" s="354" t="s">
        <v>399</v>
      </c>
      <c r="G37" s="19"/>
      <c r="I37" s="941"/>
      <c r="J37" s="941"/>
      <c r="K37" s="941"/>
    </row>
    <row r="38" spans="1:11">
      <c r="A38" s="28"/>
      <c r="B38" s="355"/>
      <c r="C38" s="355"/>
      <c r="D38" s="81"/>
      <c r="E38" s="34"/>
      <c r="F38" s="22"/>
      <c r="G38" s="16"/>
      <c r="I38" s="83"/>
      <c r="J38" s="83"/>
      <c r="K38" s="83"/>
    </row>
    <row r="39" spans="1:11">
      <c r="A39" s="29"/>
      <c r="B39" s="24"/>
      <c r="C39" s="24"/>
      <c r="D39" s="24"/>
      <c r="E39" s="33"/>
      <c r="F39" s="33"/>
      <c r="G39" s="17"/>
      <c r="H39" s="380"/>
      <c r="I39" s="83"/>
      <c r="J39" s="83"/>
      <c r="K39" s="379"/>
    </row>
    <row r="40" spans="1:11">
      <c r="F40" s="4" t="s">
        <v>400</v>
      </c>
      <c r="G40" s="11">
        <f>SUM(F36:F39)</f>
        <v>0</v>
      </c>
      <c r="H40" s="380"/>
      <c r="I40" s="83"/>
      <c r="J40" s="377"/>
      <c r="K40" s="379"/>
    </row>
    <row r="41" spans="1:11">
      <c r="A41" s="923" t="s">
        <v>419</v>
      </c>
      <c r="B41" s="923"/>
      <c r="H41" s="380"/>
    </row>
    <row r="42" spans="1:11">
      <c r="A42" s="12" t="s">
        <v>416</v>
      </c>
      <c r="B42" s="13" t="s">
        <v>417</v>
      </c>
      <c r="C42" s="13" t="s">
        <v>193</v>
      </c>
      <c r="D42" s="13" t="s">
        <v>418</v>
      </c>
      <c r="E42" s="13" t="s">
        <v>398</v>
      </c>
      <c r="F42" s="13" t="s">
        <v>399</v>
      </c>
      <c r="G42" s="18"/>
      <c r="K42" s="379"/>
    </row>
    <row r="43" spans="1:11">
      <c r="A43" s="441" t="str">
        <f>Insumos!B39</f>
        <v xml:space="preserve">Oficial HVAC+Ayudante </v>
      </c>
      <c r="B43" s="355">
        <f>+Insumos!C40</f>
        <v>26152.364711232374</v>
      </c>
      <c r="C43" s="438">
        <f>+Insumos!D40</f>
        <v>14323.728638017281</v>
      </c>
      <c r="D43" s="326">
        <f>SUM(B43:C43)</f>
        <v>40476.093349249655</v>
      </c>
      <c r="E43" s="361">
        <v>3</v>
      </c>
      <c r="F43" s="326">
        <f>D43*E43</f>
        <v>121428.28004774897</v>
      </c>
      <c r="G43" s="357"/>
    </row>
    <row r="44" spans="1:11">
      <c r="F44" s="4" t="s">
        <v>400</v>
      </c>
      <c r="G44" s="11">
        <f>SUM(F43:F43)</f>
        <v>121428.28004774897</v>
      </c>
    </row>
    <row r="46" spans="1:11">
      <c r="F46" s="4" t="s">
        <v>420</v>
      </c>
      <c r="G46" s="71">
        <f>SUM(G44,G40,G33,G23,G13)</f>
        <v>138817.6940501364</v>
      </c>
    </row>
  </sheetData>
  <mergeCells count="32">
    <mergeCell ref="A25:B25"/>
    <mergeCell ref="A26:B26"/>
    <mergeCell ref="I37:K37"/>
    <mergeCell ref="A27:B27"/>
    <mergeCell ref="A41:B41"/>
    <mergeCell ref="A28:B28"/>
    <mergeCell ref="A29:B29"/>
    <mergeCell ref="A30:B30"/>
    <mergeCell ref="A31:B31"/>
    <mergeCell ref="A32:B32"/>
    <mergeCell ref="A34:B34"/>
    <mergeCell ref="A19:B19"/>
    <mergeCell ref="A20:B20"/>
    <mergeCell ref="A21:B21"/>
    <mergeCell ref="I23:K23"/>
    <mergeCell ref="A24:B24"/>
    <mergeCell ref="A22:B22"/>
    <mergeCell ref="A23:B23"/>
    <mergeCell ref="A17:B17"/>
    <mergeCell ref="A18:B18"/>
    <mergeCell ref="A16:B16"/>
    <mergeCell ref="A1:C1"/>
    <mergeCell ref="D1:G1"/>
    <mergeCell ref="A3:G3"/>
    <mergeCell ref="A4:G4"/>
    <mergeCell ref="B6:G6"/>
    <mergeCell ref="A8:B8"/>
    <mergeCell ref="A9:B9"/>
    <mergeCell ref="A10:B10"/>
    <mergeCell ref="A11:B11"/>
    <mergeCell ref="A12:B12"/>
    <mergeCell ref="A15:B15"/>
  </mergeCells>
  <pageMargins left="0.7" right="0.7" top="0.75" bottom="0.75" header="0.3" footer="0.3"/>
  <pageSetup orientation="portrait" horizontalDpi="4294967295" verticalDpi="4294967295"/>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72"/>
  <sheetViews>
    <sheetView topLeftCell="A15" zoomScale="85" zoomScaleNormal="85" workbookViewId="0">
      <selection activeCell="G45" sqref="G45"/>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8" width="11.42578125" style="2"/>
    <col min="9" max="9" width="15" style="2" bestFit="1" customWidth="1"/>
    <col min="10" max="16384" width="11.42578125" style="2"/>
  </cols>
  <sheetData>
    <row r="1" spans="1:11" ht="77.25" customHeight="1" thickBot="1">
      <c r="A1" s="918"/>
      <c r="B1" s="919"/>
      <c r="C1" s="919"/>
      <c r="D1" s="704" t="s">
        <v>388</v>
      </c>
      <c r="E1" s="705"/>
      <c r="F1" s="705"/>
      <c r="G1" s="706"/>
    </row>
    <row r="2" spans="1:11" ht="22.5" customHeight="1" thickBot="1">
      <c r="A2" s="8"/>
      <c r="B2" s="8"/>
      <c r="C2" s="8"/>
      <c r="D2" s="9"/>
      <c r="E2" s="9"/>
      <c r="F2" s="9"/>
      <c r="G2" s="9"/>
    </row>
    <row r="3" spans="1:11" ht="23.25" customHeight="1" thickBot="1">
      <c r="A3" s="747" t="str">
        <f>+'AU  Consul P2'!A3:I3</f>
        <v>SECRETARÍA DE TALENTO HUMANO Y SERVICIOS ADMINISTRATIVOS- DIRECCIÓN DE SERVICIOS GENERALES</v>
      </c>
      <c r="B3" s="748"/>
      <c r="C3" s="748"/>
      <c r="D3" s="748"/>
      <c r="E3" s="748"/>
      <c r="F3" s="748"/>
      <c r="G3" s="749"/>
      <c r="J3" s="996" t="s">
        <v>459</v>
      </c>
      <c r="K3" s="996"/>
    </row>
    <row r="4" spans="1:11" s="1" customFormat="1" ht="40.1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c r="J4" s="430" t="s">
        <v>460</v>
      </c>
      <c r="K4" s="430" t="s">
        <v>461</v>
      </c>
    </row>
    <row r="5" spans="1:11" ht="22.5" customHeight="1" thickBot="1">
      <c r="A5" s="364" t="s">
        <v>389</v>
      </c>
      <c r="B5" s="372">
        <f>+'PRESUPUESTO OFICIAL 2026'!B27</f>
        <v>2.1</v>
      </c>
      <c r="C5" s="3"/>
      <c r="D5" s="3"/>
      <c r="E5" s="3"/>
      <c r="F5" s="7" t="s">
        <v>391</v>
      </c>
      <c r="G5" s="363" t="str">
        <f>+'PRESUPUESTO OFICIAL 2026'!H27</f>
        <v xml:space="preserve">GLO </v>
      </c>
      <c r="J5" s="430">
        <v>3.48</v>
      </c>
      <c r="K5" s="430">
        <v>162792</v>
      </c>
    </row>
    <row r="6" spans="1:11" ht="48" customHeight="1" thickBot="1">
      <c r="A6" s="10" t="s">
        <v>392</v>
      </c>
      <c r="B6" s="974" t="s">
        <v>347</v>
      </c>
      <c r="C6" s="971"/>
      <c r="D6" s="971"/>
      <c r="E6" s="971"/>
      <c r="F6" s="971"/>
      <c r="G6" s="972"/>
      <c r="J6" s="430">
        <v>1</v>
      </c>
      <c r="K6" s="431">
        <f>J6*K5/J5</f>
        <v>46779.310344827587</v>
      </c>
    </row>
    <row r="8" spans="1:11" ht="17.25" thickBot="1">
      <c r="A8" s="923" t="s">
        <v>394</v>
      </c>
      <c r="B8" s="923"/>
      <c r="J8" s="996" t="s">
        <v>462</v>
      </c>
      <c r="K8" s="996"/>
    </row>
    <row r="9" spans="1:11">
      <c r="A9" s="924" t="s">
        <v>395</v>
      </c>
      <c r="B9" s="925"/>
      <c r="C9" s="13" t="s">
        <v>396</v>
      </c>
      <c r="D9" s="13" t="s">
        <v>397</v>
      </c>
      <c r="E9" s="13" t="s">
        <v>398</v>
      </c>
      <c r="F9" s="13" t="s">
        <v>399</v>
      </c>
      <c r="G9" s="14"/>
      <c r="J9" s="430" t="s">
        <v>460</v>
      </c>
      <c r="K9" s="430" t="s">
        <v>461</v>
      </c>
    </row>
    <row r="10" spans="1:11">
      <c r="A10" s="926" t="s">
        <v>427</v>
      </c>
      <c r="B10" s="927"/>
      <c r="C10" s="26" t="s">
        <v>428</v>
      </c>
      <c r="D10" s="21">
        <f>G43</f>
        <v>296689.76425000001</v>
      </c>
      <c r="E10" s="335">
        <v>0.05</v>
      </c>
      <c r="F10" s="22">
        <f>E10*D10</f>
        <v>14834.4882125</v>
      </c>
      <c r="G10" s="15"/>
      <c r="J10" s="430">
        <f>10*(1.2*3)</f>
        <v>36</v>
      </c>
      <c r="K10" s="430">
        <f>1618560+(0.19*1618560)</f>
        <v>1926086.4</v>
      </c>
    </row>
    <row r="11" spans="1:11">
      <c r="A11" s="999" t="s">
        <v>463</v>
      </c>
      <c r="B11" s="1000"/>
      <c r="C11" s="436" t="s">
        <v>464</v>
      </c>
      <c r="D11" s="437">
        <v>1400</v>
      </c>
      <c r="E11" s="535">
        <v>0.3</v>
      </c>
      <c r="F11" s="414">
        <f>D11*E11</f>
        <v>420</v>
      </c>
      <c r="G11" s="15"/>
      <c r="J11" s="430"/>
      <c r="K11" s="430"/>
    </row>
    <row r="12" spans="1:11" ht="17.25" thickBot="1">
      <c r="A12" s="959"/>
      <c r="B12" s="960"/>
      <c r="C12" s="24"/>
      <c r="D12" s="24"/>
      <c r="E12" s="368"/>
      <c r="F12" s="326">
        <f>E12*D12</f>
        <v>0</v>
      </c>
      <c r="G12" s="17"/>
      <c r="J12" s="430">
        <v>1</v>
      </c>
      <c r="K12" s="431">
        <f>J12*K10/J10</f>
        <v>53502.399999999994</v>
      </c>
    </row>
    <row r="13" spans="1:11" ht="17.25" thickBot="1">
      <c r="F13" s="4" t="s">
        <v>400</v>
      </c>
      <c r="G13" s="25">
        <f>SUM(F10:F12)</f>
        <v>15254.4882125</v>
      </c>
    </row>
    <row r="14" spans="1:11">
      <c r="F14" s="4"/>
      <c r="G14" s="336"/>
      <c r="J14" s="996" t="s">
        <v>462</v>
      </c>
      <c r="K14" s="996"/>
    </row>
    <row r="15" spans="1:11" ht="17.25" thickBot="1">
      <c r="A15" s="930" t="s">
        <v>401</v>
      </c>
      <c r="B15" s="930"/>
      <c r="J15" s="430" t="s">
        <v>460</v>
      </c>
      <c r="K15" s="430" t="s">
        <v>461</v>
      </c>
    </row>
    <row r="16" spans="1:11">
      <c r="A16" s="931" t="s">
        <v>395</v>
      </c>
      <c r="B16" s="932"/>
      <c r="C16" s="13" t="s">
        <v>402</v>
      </c>
      <c r="D16" s="13" t="s">
        <v>403</v>
      </c>
      <c r="E16" s="13" t="s">
        <v>404</v>
      </c>
      <c r="F16" s="13" t="s">
        <v>399</v>
      </c>
      <c r="G16" s="18"/>
      <c r="J16" s="430">
        <f>10*(1.2*3)</f>
        <v>36</v>
      </c>
      <c r="K16" s="430">
        <f>2023200+(0.19*2023200)</f>
        <v>2407608</v>
      </c>
    </row>
    <row r="17" spans="1:11" ht="16.5" customHeight="1">
      <c r="A17" s="997"/>
      <c r="B17" s="998"/>
      <c r="C17" s="323"/>
      <c r="D17" s="366"/>
      <c r="E17" s="371"/>
      <c r="F17" s="22">
        <f>+E17*D17</f>
        <v>0</v>
      </c>
      <c r="G17" s="16"/>
      <c r="J17" s="430">
        <v>1</v>
      </c>
      <c r="K17" s="431">
        <f>J17*K16/J16</f>
        <v>66878</v>
      </c>
    </row>
    <row r="18" spans="1:11">
      <c r="A18" s="916"/>
      <c r="B18" s="917"/>
      <c r="C18" s="338"/>
      <c r="D18" s="366"/>
      <c r="E18" s="371"/>
      <c r="F18" s="22">
        <f>+D18*E18</f>
        <v>0</v>
      </c>
      <c r="G18" s="16"/>
      <c r="I18" s="374"/>
    </row>
    <row r="19" spans="1:11">
      <c r="A19" s="935"/>
      <c r="B19" s="936"/>
      <c r="C19" s="323"/>
      <c r="D19" s="366"/>
      <c r="E19" s="342"/>
      <c r="F19" s="22">
        <f>+D19*E19</f>
        <v>0</v>
      </c>
      <c r="G19" s="343"/>
      <c r="I19" s="374"/>
      <c r="K19" s="432">
        <f>AVERAGE(K6,K12,K17)</f>
        <v>55719.903448275865</v>
      </c>
    </row>
    <row r="20" spans="1:11">
      <c r="A20" s="933"/>
      <c r="B20" s="934"/>
      <c r="C20" s="338"/>
      <c r="D20" s="367"/>
      <c r="E20" s="342"/>
      <c r="F20" s="22">
        <f>+D20*E20</f>
        <v>0</v>
      </c>
      <c r="G20" s="343"/>
      <c r="I20" s="374"/>
    </row>
    <row r="21" spans="1:11">
      <c r="A21" s="933"/>
      <c r="B21" s="934"/>
      <c r="C21" s="338"/>
      <c r="D21" s="367"/>
      <c r="E21" s="342"/>
      <c r="F21" s="22">
        <f>+D21*E21</f>
        <v>0</v>
      </c>
      <c r="G21" s="343"/>
      <c r="J21" s="996" t="s">
        <v>462</v>
      </c>
      <c r="K21" s="996"/>
    </row>
    <row r="22" spans="1:11" ht="17.25" thickBot="1">
      <c r="A22" s="946"/>
      <c r="B22" s="973"/>
      <c r="C22" s="325"/>
      <c r="D22" s="344"/>
      <c r="E22" s="345"/>
      <c r="F22" s="326">
        <f>+D22*E22</f>
        <v>0</v>
      </c>
      <c r="G22" s="346"/>
      <c r="J22" s="430" t="s">
        <v>465</v>
      </c>
      <c r="K22" s="430" t="s">
        <v>461</v>
      </c>
    </row>
    <row r="23" spans="1:11" ht="17.25" thickBot="1">
      <c r="A23" s="941"/>
      <c r="B23" s="941"/>
      <c r="F23" s="4" t="s">
        <v>400</v>
      </c>
      <c r="G23" s="25">
        <f>SUM(F22,F21,F20,F19,F18,F17)</f>
        <v>0</v>
      </c>
      <c r="J23" s="430">
        <v>50</v>
      </c>
      <c r="K23" s="430">
        <f>48000+(0.19*48000)</f>
        <v>57120</v>
      </c>
    </row>
    <row r="24" spans="1:11" ht="17.25" thickBot="1">
      <c r="A24" s="930" t="s">
        <v>405</v>
      </c>
      <c r="B24" s="930"/>
      <c r="J24" s="430">
        <v>1</v>
      </c>
      <c r="K24" s="433">
        <f>J24*K23/J23</f>
        <v>1142.4000000000001</v>
      </c>
    </row>
    <row r="25" spans="1:11">
      <c r="A25" s="931" t="s">
        <v>395</v>
      </c>
      <c r="B25" s="932"/>
      <c r="C25" s="13" t="s">
        <v>402</v>
      </c>
      <c r="D25" s="13" t="s">
        <v>403</v>
      </c>
      <c r="E25" s="13" t="s">
        <v>404</v>
      </c>
      <c r="F25" s="13" t="s">
        <v>399</v>
      </c>
      <c r="G25" s="18"/>
      <c r="I25" s="374"/>
    </row>
    <row r="26" spans="1:11">
      <c r="A26" s="508" t="s">
        <v>441</v>
      </c>
      <c r="B26" s="509"/>
      <c r="C26" s="338" t="s">
        <v>440</v>
      </c>
      <c r="D26" s="536">
        <f>+'APU 1,1'!D29</f>
        <v>58303.406666666669</v>
      </c>
      <c r="E26" s="510">
        <v>0.01</v>
      </c>
      <c r="F26" s="22">
        <f>+D26*E26</f>
        <v>583.03406666666672</v>
      </c>
      <c r="G26" s="16"/>
      <c r="J26" s="996" t="s">
        <v>466</v>
      </c>
      <c r="K26" s="996"/>
    </row>
    <row r="27" spans="1:11">
      <c r="A27" s="933"/>
      <c r="B27" s="944"/>
      <c r="C27" s="323"/>
      <c r="D27" s="537"/>
      <c r="E27" s="450"/>
      <c r="F27" s="22"/>
      <c r="G27" s="16"/>
      <c r="J27" s="430" t="s">
        <v>465</v>
      </c>
      <c r="K27" s="430" t="s">
        <v>461</v>
      </c>
    </row>
    <row r="28" spans="1:11">
      <c r="A28" s="933"/>
      <c r="B28" s="944"/>
      <c r="C28" s="323"/>
      <c r="D28" s="537"/>
      <c r="E28" s="450"/>
      <c r="F28" s="22"/>
      <c r="G28" s="16"/>
      <c r="J28" s="430">
        <v>50</v>
      </c>
      <c r="K28" s="430">
        <f>75500+(0.19*75500)</f>
        <v>89845</v>
      </c>
    </row>
    <row r="29" spans="1:11">
      <c r="A29" s="933"/>
      <c r="B29" s="934"/>
      <c r="C29" s="323"/>
      <c r="D29" s="348"/>
      <c r="E29" s="347"/>
      <c r="F29" s="22">
        <f>+D29*E29</f>
        <v>0</v>
      </c>
      <c r="G29" s="16"/>
      <c r="J29" s="430">
        <v>1</v>
      </c>
      <c r="K29" s="433">
        <f>J29*K28/J28</f>
        <v>1796.9</v>
      </c>
    </row>
    <row r="30" spans="1:11">
      <c r="A30" s="945"/>
      <c r="B30" s="944"/>
      <c r="C30" s="323"/>
      <c r="D30" s="324"/>
      <c r="E30" s="347"/>
      <c r="F30" s="22">
        <f>+D30*E30</f>
        <v>0</v>
      </c>
      <c r="G30" s="16"/>
      <c r="I30" s="374"/>
    </row>
    <row r="31" spans="1:11">
      <c r="A31" s="945"/>
      <c r="B31" s="944"/>
      <c r="C31" s="323"/>
      <c r="D31" s="324"/>
      <c r="E31" s="347"/>
      <c r="F31" s="22">
        <f>+D31*E31</f>
        <v>0</v>
      </c>
      <c r="G31" s="16"/>
    </row>
    <row r="32" spans="1:11" ht="17.25" thickBot="1">
      <c r="A32" s="946"/>
      <c r="B32" s="947"/>
      <c r="C32" s="325"/>
      <c r="D32" s="349"/>
      <c r="E32" s="350"/>
      <c r="F32" s="326">
        <f>+D32*E32</f>
        <v>0</v>
      </c>
      <c r="G32" s="17"/>
      <c r="J32" s="996" t="s">
        <v>467</v>
      </c>
      <c r="K32" s="996"/>
    </row>
    <row r="33" spans="1:11" ht="17.25" thickBot="1">
      <c r="F33" s="4" t="s">
        <v>400</v>
      </c>
      <c r="G33" s="11">
        <f>SUM(F26:F32)</f>
        <v>583.03406666666672</v>
      </c>
      <c r="J33" s="430" t="s">
        <v>465</v>
      </c>
      <c r="K33" s="430" t="s">
        <v>461</v>
      </c>
    </row>
    <row r="34" spans="1:11" ht="17.25" thickBot="1">
      <c r="A34" s="923" t="s">
        <v>410</v>
      </c>
      <c r="B34" s="923"/>
      <c r="J34" s="430">
        <v>50</v>
      </c>
      <c r="K34" s="430">
        <f>35538+(0.19*35538)</f>
        <v>42290.22</v>
      </c>
    </row>
    <row r="35" spans="1:11">
      <c r="A35" s="12" t="s">
        <v>411</v>
      </c>
      <c r="B35" s="13" t="s">
        <v>412</v>
      </c>
      <c r="C35" s="13" t="s">
        <v>413</v>
      </c>
      <c r="D35" s="13" t="s">
        <v>414</v>
      </c>
      <c r="E35" s="13" t="s">
        <v>415</v>
      </c>
      <c r="F35" s="13" t="s">
        <v>399</v>
      </c>
      <c r="G35" s="18"/>
      <c r="J35" s="430">
        <v>1</v>
      </c>
      <c r="K35" s="433">
        <f>J35*K34/J34</f>
        <v>845.80439999999999</v>
      </c>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f>AVERAGE(K24,K29,K35)</f>
        <v>1261.7014666666666</v>
      </c>
    </row>
    <row r="38" spans="1:11" ht="17.25" thickBot="1">
      <c r="A38" s="29"/>
      <c r="B38" s="24"/>
      <c r="C38" s="24"/>
      <c r="D38" s="24"/>
      <c r="E38" s="33"/>
      <c r="F38" s="33"/>
      <c r="G38" s="17"/>
    </row>
    <row r="39" spans="1:11" ht="17.25" thickBot="1">
      <c r="F39" s="4" t="s">
        <v>400</v>
      </c>
      <c r="G39" s="11">
        <f>SUM(F36:F38)</f>
        <v>0</v>
      </c>
    </row>
    <row r="40" spans="1:11" ht="17.25" thickBot="1">
      <c r="A40" s="923" t="s">
        <v>419</v>
      </c>
      <c r="B40" s="923"/>
    </row>
    <row r="41" spans="1:11">
      <c r="A41" s="12" t="s">
        <v>416</v>
      </c>
      <c r="B41" s="13" t="s">
        <v>417</v>
      </c>
      <c r="C41" s="13" t="s">
        <v>193</v>
      </c>
      <c r="D41" s="13" t="s">
        <v>418</v>
      </c>
      <c r="E41" s="13" t="s">
        <v>398</v>
      </c>
      <c r="F41" s="13" t="s">
        <v>399</v>
      </c>
      <c r="G41" s="18"/>
    </row>
    <row r="42" spans="1:11" ht="17.25" thickBot="1">
      <c r="A42" s="356" t="str">
        <f>+Insumos!B39</f>
        <v xml:space="preserve">Oficial HVAC+Ayudante </v>
      </c>
      <c r="B42" s="356">
        <f>+Insumos!C39</f>
        <v>191696.83333333331</v>
      </c>
      <c r="C42" s="356">
        <f>+Insumos!D39</f>
        <v>104992.93091666666</v>
      </c>
      <c r="D42" s="326">
        <f>+C42+B42</f>
        <v>296689.76425000001</v>
      </c>
      <c r="E42" s="361">
        <v>1</v>
      </c>
      <c r="F42" s="326">
        <f>+D42*E42</f>
        <v>296689.76425000001</v>
      </c>
      <c r="G42" s="357"/>
      <c r="I42" s="2" t="s">
        <v>468</v>
      </c>
    </row>
    <row r="43" spans="1:11" ht="17.25" thickBot="1">
      <c r="F43" s="4" t="s">
        <v>400</v>
      </c>
      <c r="G43" s="11">
        <f>SUM(F42:F42)</f>
        <v>296689.76425000001</v>
      </c>
    </row>
    <row r="44" spans="1:11" ht="17.25" thickBot="1">
      <c r="C44" s="634">
        <f>+C42/B42</f>
        <v>0.54770300109287151</v>
      </c>
      <c r="K44" s="2">
        <v>3750</v>
      </c>
    </row>
    <row r="45" spans="1:11" ht="17.25" thickBot="1">
      <c r="F45" s="4" t="s">
        <v>420</v>
      </c>
      <c r="G45" s="71">
        <f>SUM(G43,G39,G33,G23,G13)</f>
        <v>312527.28652916668</v>
      </c>
      <c r="I45" s="147"/>
    </row>
    <row r="48" spans="1:11">
      <c r="I48" s="147"/>
    </row>
    <row r="69" spans="10:10">
      <c r="J69" s="2">
        <v>97000</v>
      </c>
    </row>
    <row r="70" spans="10:10">
      <c r="J70" s="2">
        <v>100300</v>
      </c>
    </row>
    <row r="71" spans="10:10">
      <c r="J71" s="151">
        <v>119900</v>
      </c>
    </row>
    <row r="72" spans="10:10">
      <c r="J72" s="2">
        <f>AVERAGE(J69:J71)</f>
        <v>105733.33333333333</v>
      </c>
    </row>
  </sheetData>
  <mergeCells count="35">
    <mergeCell ref="A17:B17"/>
    <mergeCell ref="A1:C1"/>
    <mergeCell ref="D1:G1"/>
    <mergeCell ref="A3:G3"/>
    <mergeCell ref="A4:G4"/>
    <mergeCell ref="B6:G6"/>
    <mergeCell ref="A8:B8"/>
    <mergeCell ref="A9:B9"/>
    <mergeCell ref="A10:B10"/>
    <mergeCell ref="A12:B12"/>
    <mergeCell ref="A15:B15"/>
    <mergeCell ref="A16:B16"/>
    <mergeCell ref="A11:B11"/>
    <mergeCell ref="A29:B29"/>
    <mergeCell ref="A18:B18"/>
    <mergeCell ref="A19:B19"/>
    <mergeCell ref="A20:B20"/>
    <mergeCell ref="A21:B21"/>
    <mergeCell ref="A22:B22"/>
    <mergeCell ref="A23:B23"/>
    <mergeCell ref="A24:B24"/>
    <mergeCell ref="A25:B25"/>
    <mergeCell ref="A27:B27"/>
    <mergeCell ref="A28:B28"/>
    <mergeCell ref="A30:B30"/>
    <mergeCell ref="A31:B31"/>
    <mergeCell ref="A32:B32"/>
    <mergeCell ref="A34:B34"/>
    <mergeCell ref="A40:B40"/>
    <mergeCell ref="J32:K32"/>
    <mergeCell ref="J3:K3"/>
    <mergeCell ref="J8:K8"/>
    <mergeCell ref="J14:K14"/>
    <mergeCell ref="J21:K21"/>
    <mergeCell ref="J26:K26"/>
  </mergeCells>
  <pageMargins left="0.7" right="0.7" top="0.75" bottom="0.75" header="0.3" footer="0.3"/>
  <pageSetup orientation="portrait" horizontalDpi="4294967295" verticalDpi="4294967295"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61"/>
  <sheetViews>
    <sheetView topLeftCell="A7" zoomScale="96" zoomScaleNormal="96" workbookViewId="0">
      <selection activeCell="I37" sqref="I37"/>
    </sheetView>
  </sheetViews>
  <sheetFormatPr baseColWidth="10" defaultColWidth="11.42578125" defaultRowHeight="16.5"/>
  <cols>
    <col min="1" max="1" width="33" style="2" customWidth="1"/>
    <col min="2" max="2" width="24.85546875" style="2" customWidth="1"/>
    <col min="3" max="3" width="14.85546875" style="2" customWidth="1"/>
    <col min="4" max="4" width="19" style="2" customWidth="1"/>
    <col min="5" max="5" width="14.85546875" style="2" customWidth="1"/>
    <col min="6" max="6" width="16.140625" style="2" customWidth="1"/>
    <col min="7" max="7" width="16.7109375" style="2" customWidth="1"/>
    <col min="8" max="8" width="18.5703125" style="2" customWidth="1"/>
    <col min="9" max="9" width="14.7109375" style="2" customWidth="1"/>
    <col min="10" max="16384" width="11.42578125" style="2"/>
  </cols>
  <sheetData>
    <row r="1" spans="1:9" ht="77.25" customHeight="1" thickBot="1">
      <c r="A1" s="918"/>
      <c r="B1" s="919"/>
      <c r="C1" s="919"/>
      <c r="D1" s="704" t="s">
        <v>388</v>
      </c>
      <c r="E1" s="705"/>
      <c r="F1" s="705"/>
      <c r="G1" s="706"/>
    </row>
    <row r="2" spans="1:9" ht="22.5" customHeight="1" thickBot="1">
      <c r="A2" s="8"/>
      <c r="B2" s="8"/>
      <c r="C2" s="8"/>
      <c r="D2" s="9"/>
      <c r="E2" s="9"/>
      <c r="F2" s="9"/>
      <c r="G2" s="9"/>
    </row>
    <row r="3" spans="1:9" ht="23.25" customHeight="1" thickBot="1">
      <c r="A3" s="747" t="str">
        <f>+'AU  Consul P2'!A3:I3</f>
        <v>SECRETARÍA DE TALENTO HUMANO Y SERVICIOS ADMINISTRATIVOS- DIRECCIÓN DE SERVICIOS GENERALES</v>
      </c>
      <c r="B3" s="748"/>
      <c r="C3" s="748"/>
      <c r="D3" s="748"/>
      <c r="E3" s="748"/>
      <c r="F3" s="748"/>
      <c r="G3" s="749"/>
    </row>
    <row r="4" spans="1:9" s="1" customFormat="1" ht="44.4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9" ht="22.5" customHeight="1" thickBot="1">
      <c r="A5" s="364" t="s">
        <v>389</v>
      </c>
      <c r="B5" s="372">
        <f>+'PRESUPUESTO OFICIAL 2026'!B28</f>
        <v>2.2000000000000002</v>
      </c>
      <c r="C5" s="3"/>
      <c r="D5" s="3"/>
      <c r="E5" s="3"/>
      <c r="F5" s="7" t="s">
        <v>391</v>
      </c>
      <c r="G5" s="363" t="str">
        <f>+'PRESUPUESTO OFICIAL 2026'!H28</f>
        <v>UN</v>
      </c>
    </row>
    <row r="6" spans="1:9" ht="56.25" customHeight="1" thickBot="1">
      <c r="A6" s="10" t="s">
        <v>392</v>
      </c>
      <c r="B6" s="974" t="s">
        <v>348</v>
      </c>
      <c r="C6" s="971"/>
      <c r="D6" s="971"/>
      <c r="E6" s="971"/>
      <c r="F6" s="971"/>
      <c r="G6" s="972"/>
    </row>
    <row r="8" spans="1:9" ht="17.25" thickBot="1">
      <c r="A8" s="923" t="s">
        <v>394</v>
      </c>
      <c r="B8" s="923"/>
    </row>
    <row r="9" spans="1:9">
      <c r="A9" s="924" t="s">
        <v>395</v>
      </c>
      <c r="B9" s="925"/>
      <c r="C9" s="13" t="s">
        <v>396</v>
      </c>
      <c r="D9" s="13" t="s">
        <v>397</v>
      </c>
      <c r="E9" s="13" t="s">
        <v>398</v>
      </c>
      <c r="F9" s="13" t="s">
        <v>399</v>
      </c>
      <c r="G9" s="14"/>
    </row>
    <row r="10" spans="1:9">
      <c r="A10" s="926" t="s">
        <v>469</v>
      </c>
      <c r="B10" s="927"/>
      <c r="C10" s="26" t="s">
        <v>428</v>
      </c>
      <c r="D10" s="21">
        <f>G43</f>
        <v>12142.828004774896</v>
      </c>
      <c r="E10" s="335">
        <v>0.05</v>
      </c>
      <c r="F10" s="22">
        <f>E10*D10</f>
        <v>607.14140023874484</v>
      </c>
      <c r="G10" s="15"/>
    </row>
    <row r="11" spans="1:9" ht="17.25" thickBot="1">
      <c r="A11" s="928"/>
      <c r="B11" s="929"/>
      <c r="C11" s="24"/>
      <c r="D11" s="24"/>
      <c r="E11" s="368"/>
      <c r="F11" s="326">
        <f>E11*D11</f>
        <v>0</v>
      </c>
      <c r="G11" s="17"/>
    </row>
    <row r="12" spans="1:9" ht="17.25" thickBot="1">
      <c r="F12" s="4" t="s">
        <v>400</v>
      </c>
      <c r="G12" s="25">
        <f>SUM(F10:F11)</f>
        <v>607.14140023874484</v>
      </c>
    </row>
    <row r="13" spans="1:9">
      <c r="F13" s="4"/>
      <c r="G13" s="336"/>
    </row>
    <row r="14" spans="1:9" ht="17.25" thickBot="1">
      <c r="A14" s="930" t="s">
        <v>401</v>
      </c>
      <c r="B14" s="930"/>
      <c r="H14" s="380"/>
      <c r="I14" s="389"/>
    </row>
    <row r="15" spans="1:9">
      <c r="A15" s="931" t="s">
        <v>395</v>
      </c>
      <c r="B15" s="932"/>
      <c r="C15" s="13" t="s">
        <v>402</v>
      </c>
      <c r="D15" s="13" t="s">
        <v>403</v>
      </c>
      <c r="E15" s="13" t="s">
        <v>404</v>
      </c>
      <c r="F15" s="13" t="s">
        <v>399</v>
      </c>
      <c r="G15" s="18"/>
      <c r="H15" s="380"/>
      <c r="I15" s="389"/>
    </row>
    <row r="16" spans="1:9" ht="16.5" customHeight="1">
      <c r="A16" s="1001"/>
      <c r="B16" s="1002"/>
      <c r="C16" s="338"/>
      <c r="D16" s="446"/>
      <c r="E16" s="371"/>
      <c r="F16" s="22"/>
      <c r="G16" s="16"/>
      <c r="H16" s="380"/>
      <c r="I16" s="389"/>
    </row>
    <row r="17" spans="1:9">
      <c r="A17" s="970"/>
      <c r="B17" s="970"/>
      <c r="C17" s="26"/>
      <c r="D17" s="447"/>
      <c r="E17" s="371"/>
      <c r="F17" s="22"/>
      <c r="G17" s="16"/>
      <c r="H17" s="380"/>
      <c r="I17" s="389"/>
    </row>
    <row r="18" spans="1:9">
      <c r="A18" s="970"/>
      <c r="B18" s="970"/>
      <c r="C18" s="26"/>
      <c r="D18" s="447"/>
      <c r="E18" s="409"/>
      <c r="F18" s="22"/>
      <c r="G18" s="343"/>
      <c r="H18" s="380"/>
      <c r="I18" s="390"/>
    </row>
    <row r="19" spans="1:9">
      <c r="A19" s="969"/>
      <c r="B19" s="969"/>
      <c r="C19" s="415"/>
      <c r="D19" s="448"/>
      <c r="E19" s="342"/>
      <c r="F19" s="22">
        <f>+D19*E19</f>
        <v>0</v>
      </c>
      <c r="G19" s="343"/>
      <c r="I19" s="374"/>
    </row>
    <row r="20" spans="1:9">
      <c r="A20" s="969"/>
      <c r="B20" s="969"/>
      <c r="C20" s="323"/>
      <c r="D20" s="449"/>
      <c r="E20" s="342"/>
      <c r="F20" s="22">
        <f>+D20*E20</f>
        <v>0</v>
      </c>
      <c r="G20" s="343"/>
    </row>
    <row r="21" spans="1:9" ht="17.25" thickBot="1">
      <c r="A21" s="969"/>
      <c r="B21" s="969"/>
      <c r="C21" s="323"/>
      <c r="D21" s="449"/>
      <c r="E21" s="345"/>
      <c r="F21" s="326">
        <f>+D21*E21</f>
        <v>0</v>
      </c>
      <c r="G21" s="346"/>
    </row>
    <row r="22" spans="1:9" ht="17.25" thickBot="1">
      <c r="A22" s="941"/>
      <c r="B22" s="941"/>
      <c r="F22" s="4" t="s">
        <v>400</v>
      </c>
      <c r="G22" s="25">
        <f>SUM(F21,F20,F19,F18,F17,F16)</f>
        <v>0</v>
      </c>
    </row>
    <row r="23" spans="1:9" ht="17.25" thickBot="1">
      <c r="A23" s="930" t="s">
        <v>405</v>
      </c>
      <c r="B23" s="930"/>
    </row>
    <row r="24" spans="1:9">
      <c r="A24" s="931" t="s">
        <v>395</v>
      </c>
      <c r="B24" s="932"/>
      <c r="C24" s="13" t="s">
        <v>402</v>
      </c>
      <c r="D24" s="13" t="s">
        <v>403</v>
      </c>
      <c r="E24" s="13" t="s">
        <v>404</v>
      </c>
      <c r="F24" s="13" t="s">
        <v>399</v>
      </c>
      <c r="G24" s="18"/>
      <c r="I24" s="374"/>
    </row>
    <row r="25" spans="1:9">
      <c r="A25" s="1003" t="s">
        <v>437</v>
      </c>
      <c r="B25" s="934"/>
      <c r="C25" s="338" t="s">
        <v>436</v>
      </c>
      <c r="D25" s="446">
        <v>10000</v>
      </c>
      <c r="E25" s="371">
        <v>2.5000000000000001E-2</v>
      </c>
      <c r="F25" s="22">
        <f>D25*E25</f>
        <v>250</v>
      </c>
      <c r="G25" s="16"/>
    </row>
    <row r="26" spans="1:9">
      <c r="A26" s="949" t="s">
        <v>439</v>
      </c>
      <c r="B26" s="949"/>
      <c r="C26" s="26" t="s">
        <v>440</v>
      </c>
      <c r="D26" s="447">
        <v>3400</v>
      </c>
      <c r="E26" s="371">
        <v>0.25</v>
      </c>
      <c r="F26" s="22">
        <f>D26*E26</f>
        <v>850</v>
      </c>
      <c r="G26" s="16"/>
      <c r="H26" s="380"/>
      <c r="I26" s="390"/>
    </row>
    <row r="27" spans="1:9">
      <c r="A27" s="933"/>
      <c r="B27" s="934"/>
      <c r="C27" s="323"/>
      <c r="D27" s="388"/>
      <c r="E27" s="371"/>
      <c r="F27" s="22">
        <f>+D27*E27</f>
        <v>0</v>
      </c>
      <c r="G27" s="16"/>
      <c r="H27" s="380"/>
      <c r="I27" s="390"/>
    </row>
    <row r="28" spans="1:9">
      <c r="A28" s="933"/>
      <c r="B28" s="934"/>
      <c r="C28" s="323"/>
      <c r="D28" s="388"/>
      <c r="E28" s="371"/>
      <c r="F28" s="22">
        <f>+D28*E28</f>
        <v>0</v>
      </c>
      <c r="G28" s="16"/>
      <c r="H28" s="380"/>
      <c r="I28" s="390"/>
    </row>
    <row r="29" spans="1:9">
      <c r="A29" s="945"/>
      <c r="B29" s="944"/>
      <c r="C29" s="323"/>
      <c r="D29" s="388"/>
      <c r="E29" s="371"/>
      <c r="F29" s="22">
        <f>+D29*E29</f>
        <v>0</v>
      </c>
      <c r="G29" s="16"/>
      <c r="H29" s="380"/>
      <c r="I29" s="390"/>
    </row>
    <row r="30" spans="1:9">
      <c r="A30" s="945"/>
      <c r="B30" s="944"/>
      <c r="C30" s="323"/>
      <c r="D30" s="324"/>
      <c r="E30" s="347"/>
      <c r="F30" s="22">
        <f>+D30*E30</f>
        <v>0</v>
      </c>
      <c r="G30" s="16"/>
      <c r="H30" s="380"/>
      <c r="I30" s="390"/>
    </row>
    <row r="31" spans="1:9" ht="17.25" thickBot="1">
      <c r="A31" s="946"/>
      <c r="B31" s="973"/>
      <c r="C31" s="325"/>
      <c r="D31" s="349"/>
      <c r="E31" s="350"/>
      <c r="F31" s="326">
        <f>+D31*E31</f>
        <v>0</v>
      </c>
      <c r="G31" s="17"/>
      <c r="H31" s="380"/>
      <c r="I31" s="390"/>
    </row>
    <row r="32" spans="1:9" ht="17.25" thickBot="1">
      <c r="F32" s="4" t="s">
        <v>400</v>
      </c>
      <c r="G32" s="11">
        <f>SUM(F25:F31)</f>
        <v>1100</v>
      </c>
    </row>
    <row r="33" spans="1:9" ht="17.25" thickBot="1">
      <c r="A33" s="930" t="s">
        <v>410</v>
      </c>
      <c r="B33" s="930"/>
    </row>
    <row r="34" spans="1:9">
      <c r="A34" s="12" t="s">
        <v>411</v>
      </c>
      <c r="B34" s="13" t="s">
        <v>412</v>
      </c>
      <c r="C34" s="13" t="s">
        <v>413</v>
      </c>
      <c r="D34" s="13" t="s">
        <v>414</v>
      </c>
      <c r="E34" s="13" t="s">
        <v>415</v>
      </c>
      <c r="F34" s="13" t="s">
        <v>399</v>
      </c>
      <c r="G34" s="18"/>
    </row>
    <row r="35" spans="1:9">
      <c r="A35" s="376"/>
      <c r="B35" s="32"/>
      <c r="C35" s="352"/>
      <c r="D35" s="352"/>
      <c r="E35" s="81"/>
      <c r="F35" s="22"/>
      <c r="G35" s="19"/>
      <c r="I35" s="374"/>
    </row>
    <row r="36" spans="1:9">
      <c r="A36" s="353" t="s">
        <v>416</v>
      </c>
      <c r="B36" s="354" t="s">
        <v>417</v>
      </c>
      <c r="C36" s="354" t="s">
        <v>193</v>
      </c>
      <c r="D36" s="354" t="s">
        <v>418</v>
      </c>
      <c r="E36" s="354" t="s">
        <v>398</v>
      </c>
      <c r="F36" s="354" t="s">
        <v>399</v>
      </c>
      <c r="G36" s="19"/>
    </row>
    <row r="37" spans="1:9">
      <c r="A37" s="28"/>
      <c r="B37" s="355"/>
      <c r="C37" s="355"/>
      <c r="D37" s="81"/>
      <c r="E37" s="373"/>
      <c r="F37" s="22"/>
      <c r="G37" s="16"/>
    </row>
    <row r="38" spans="1:9" ht="17.25" thickBot="1">
      <c r="A38" s="29"/>
      <c r="B38" s="24"/>
      <c r="C38" s="24"/>
      <c r="D38" s="24"/>
      <c r="E38" s="33"/>
      <c r="F38" s="33"/>
      <c r="G38" s="17"/>
    </row>
    <row r="39" spans="1:9" ht="17.25" thickBot="1">
      <c r="F39" s="4" t="s">
        <v>400</v>
      </c>
      <c r="G39" s="11">
        <f>SUM(F35:F38)</f>
        <v>0</v>
      </c>
    </row>
    <row r="40" spans="1:9" ht="17.25" thickBot="1">
      <c r="A40" s="923" t="s">
        <v>419</v>
      </c>
      <c r="B40" s="923"/>
    </row>
    <row r="41" spans="1:9">
      <c r="A41" s="12" t="s">
        <v>416</v>
      </c>
      <c r="B41" s="13" t="s">
        <v>417</v>
      </c>
      <c r="C41" s="13" t="s">
        <v>193</v>
      </c>
      <c r="D41" s="13" t="s">
        <v>418</v>
      </c>
      <c r="E41" s="13" t="s">
        <v>398</v>
      </c>
      <c r="F41" s="13" t="s">
        <v>399</v>
      </c>
      <c r="G41" s="18"/>
    </row>
    <row r="42" spans="1:9" ht="17.25" thickBot="1">
      <c r="A42" s="356" t="str">
        <f>+Insumos!B39</f>
        <v xml:space="preserve">Oficial HVAC+Ayudante </v>
      </c>
      <c r="B42" s="356">
        <f>+Insumos!C40</f>
        <v>26152.364711232374</v>
      </c>
      <c r="C42" s="356">
        <f>+Insumos!D40</f>
        <v>14323.728638017281</v>
      </c>
      <c r="D42" s="326">
        <f>+C42+B42</f>
        <v>40476.093349249655</v>
      </c>
      <c r="E42" s="375">
        <v>0.3</v>
      </c>
      <c r="F42" s="326">
        <f>+D42*E42</f>
        <v>12142.828004774896</v>
      </c>
      <c r="G42" s="357"/>
      <c r="H42" s="380"/>
      <c r="I42" s="390"/>
    </row>
    <row r="43" spans="1:9" ht="17.25" thickBot="1">
      <c r="F43" s="4" t="s">
        <v>400</v>
      </c>
      <c r="G43" s="11">
        <f>SUM(F42:F42)</f>
        <v>12142.828004774896</v>
      </c>
      <c r="H43" s="380"/>
      <c r="I43" s="390"/>
    </row>
    <row r="44" spans="1:9" ht="17.25" thickBot="1">
      <c r="H44" s="380"/>
      <c r="I44" s="390"/>
    </row>
    <row r="45" spans="1:9" ht="17.25" thickBot="1">
      <c r="F45" s="4" t="s">
        <v>420</v>
      </c>
      <c r="G45" s="71">
        <f>SUM(G43,G39,G32,G22,G12)</f>
        <v>13849.96940501364</v>
      </c>
      <c r="H45" s="380"/>
      <c r="I45" s="390"/>
    </row>
    <row r="46" spans="1:9">
      <c r="H46" s="380"/>
      <c r="I46" s="390"/>
    </row>
    <row r="47" spans="1:9">
      <c r="H47" s="380"/>
      <c r="I47" s="390"/>
    </row>
    <row r="57" spans="8:9">
      <c r="H57" s="380"/>
      <c r="I57" s="389"/>
    </row>
    <row r="58" spans="8:9">
      <c r="H58" s="380"/>
      <c r="I58" s="389"/>
    </row>
    <row r="59" spans="8:9">
      <c r="H59" s="380"/>
      <c r="I59" s="389"/>
    </row>
    <row r="60" spans="8:9">
      <c r="H60" s="380"/>
      <c r="I60" s="389"/>
    </row>
    <row r="61" spans="8:9">
      <c r="H61" s="380"/>
      <c r="I61" s="390"/>
    </row>
  </sheetData>
  <mergeCells count="29">
    <mergeCell ref="A15:B15"/>
    <mergeCell ref="A8:B8"/>
    <mergeCell ref="A9:B9"/>
    <mergeCell ref="A10:B10"/>
    <mergeCell ref="A11:B11"/>
    <mergeCell ref="A14:B14"/>
    <mergeCell ref="A1:C1"/>
    <mergeCell ref="D1:G1"/>
    <mergeCell ref="A3:G3"/>
    <mergeCell ref="A4:G4"/>
    <mergeCell ref="B6:G6"/>
    <mergeCell ref="A40:B40"/>
    <mergeCell ref="A28:B28"/>
    <mergeCell ref="A17:B17"/>
    <mergeCell ref="A18:B18"/>
    <mergeCell ref="A19:B19"/>
    <mergeCell ref="A20:B20"/>
    <mergeCell ref="A21:B21"/>
    <mergeCell ref="A22:B22"/>
    <mergeCell ref="A23:B23"/>
    <mergeCell ref="A24:B24"/>
    <mergeCell ref="A25:B25"/>
    <mergeCell ref="A26:B26"/>
    <mergeCell ref="A27:B27"/>
    <mergeCell ref="A16:B16"/>
    <mergeCell ref="A29:B29"/>
    <mergeCell ref="A30:B30"/>
    <mergeCell ref="A31:B31"/>
    <mergeCell ref="A33:B33"/>
  </mergeCells>
  <pageMargins left="0.7" right="0.7" top="0.75" bottom="0.75" header="0.3" footer="0.3"/>
  <pageSetup orientation="portrait" horizontalDpi="4294967295" verticalDpi="4294967295"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58"/>
  <sheetViews>
    <sheetView topLeftCell="A19" zoomScale="112" zoomScaleNormal="112" workbookViewId="0">
      <selection activeCell="J37" sqref="J37"/>
    </sheetView>
  </sheetViews>
  <sheetFormatPr baseColWidth="10" defaultColWidth="11.42578125" defaultRowHeight="16.5"/>
  <cols>
    <col min="1" max="1" width="25.7109375" style="459" customWidth="1"/>
    <col min="2" max="2" width="21.7109375" style="459" customWidth="1"/>
    <col min="3" max="3" width="10.28515625" style="459" customWidth="1"/>
    <col min="4" max="4" width="11.140625" style="459" customWidth="1"/>
    <col min="5" max="6" width="11.42578125" style="459"/>
    <col min="7" max="7" width="16.7109375" style="459" customWidth="1"/>
    <col min="8" max="9" width="11.42578125" style="2"/>
    <col min="10" max="11" width="13.28515625" style="2" bestFit="1" customWidth="1"/>
    <col min="12" max="16384" width="11.42578125" style="2"/>
  </cols>
  <sheetData>
    <row r="1" spans="1:7" ht="77.25" customHeight="1" thickBot="1">
      <c r="A1" s="975"/>
      <c r="B1" s="976"/>
      <c r="C1" s="976"/>
      <c r="D1" s="747" t="s">
        <v>388</v>
      </c>
      <c r="E1" s="748"/>
      <c r="F1" s="748"/>
      <c r="G1" s="749"/>
    </row>
    <row r="2" spans="1:7" ht="17.25" thickBot="1">
      <c r="A2" s="452"/>
      <c r="B2" s="452"/>
      <c r="C2" s="452"/>
      <c r="D2" s="452"/>
      <c r="E2" s="452"/>
      <c r="F2" s="452"/>
      <c r="G2" s="452"/>
    </row>
    <row r="3" spans="1:7" ht="17.25" thickBot="1">
      <c r="A3" s="747" t="str">
        <f>+'AU  Consul P2'!A3:I3</f>
        <v>SECRETARÍA DE TALENTO HUMANO Y SERVICIOS ADMINISTRATIVOS- DIRECCIÓN DE SERVICIOS GENERALES</v>
      </c>
      <c r="B3" s="748"/>
      <c r="C3" s="748"/>
      <c r="D3" s="748"/>
      <c r="E3" s="748"/>
      <c r="F3" s="748"/>
      <c r="G3" s="749"/>
    </row>
    <row r="4" spans="1:7" s="1" customFormat="1" ht="52.9"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17.25" thickBot="1">
      <c r="A5" s="453" t="s">
        <v>389</v>
      </c>
      <c r="B5" s="491">
        <f>+'PRESUPUESTO OFICIAL 2026'!B31</f>
        <v>3.1</v>
      </c>
      <c r="C5" s="455"/>
      <c r="D5" s="455"/>
      <c r="E5" s="455"/>
      <c r="F5" s="456" t="s">
        <v>391</v>
      </c>
      <c r="G5" s="457" t="str">
        <f>+'PRESUPUESTO OFICIAL 2026'!H31</f>
        <v>GLO</v>
      </c>
    </row>
    <row r="6" spans="1:7" ht="75.599999999999994" customHeight="1" thickBot="1">
      <c r="A6" s="458" t="s">
        <v>392</v>
      </c>
      <c r="B6" s="961" t="s">
        <v>351</v>
      </c>
      <c r="C6" s="985"/>
      <c r="D6" s="985"/>
      <c r="E6" s="985"/>
      <c r="F6" s="985"/>
      <c r="G6" s="986"/>
    </row>
    <row r="8" spans="1:7" ht="17.25" thickBot="1">
      <c r="A8" s="923" t="s">
        <v>394</v>
      </c>
      <c r="B8" s="923"/>
    </row>
    <row r="9" spans="1:7">
      <c r="A9" s="955" t="s">
        <v>395</v>
      </c>
      <c r="B9" s="956"/>
      <c r="C9" s="461" t="s">
        <v>396</v>
      </c>
      <c r="D9" s="461" t="s">
        <v>397</v>
      </c>
      <c r="E9" s="461" t="s">
        <v>398</v>
      </c>
      <c r="F9" s="461" t="s">
        <v>399</v>
      </c>
      <c r="G9" s="462"/>
    </row>
    <row r="10" spans="1:7">
      <c r="A10" s="926" t="s">
        <v>427</v>
      </c>
      <c r="B10" s="927"/>
      <c r="C10" s="26" t="s">
        <v>428</v>
      </c>
      <c r="D10" s="21">
        <f>G43</f>
        <v>121428.28004774897</v>
      </c>
      <c r="E10" s="335">
        <v>0.05</v>
      </c>
      <c r="F10" s="22">
        <f>E10*D10</f>
        <v>6071.4140023874488</v>
      </c>
      <c r="G10" s="463"/>
    </row>
    <row r="11" spans="1:7" ht="17.25" thickBot="1">
      <c r="A11" s="928"/>
      <c r="B11" s="929"/>
      <c r="C11" s="24"/>
      <c r="D11" s="24"/>
      <c r="E11" s="24"/>
      <c r="F11" s="24"/>
      <c r="G11" s="464"/>
    </row>
    <row r="12" spans="1:7" ht="17.25" thickBot="1">
      <c r="F12" s="465" t="s">
        <v>400</v>
      </c>
      <c r="G12" s="25">
        <f>SUM(F10:F11)</f>
        <v>6071.4140023874488</v>
      </c>
    </row>
    <row r="13" spans="1:7">
      <c r="F13" s="465"/>
      <c r="G13" s="336"/>
    </row>
    <row r="14" spans="1:7" ht="17.25" thickBot="1">
      <c r="A14" s="930" t="s">
        <v>401</v>
      </c>
      <c r="B14" s="930"/>
    </row>
    <row r="15" spans="1:7">
      <c r="A15" s="953" t="s">
        <v>395</v>
      </c>
      <c r="B15" s="954"/>
      <c r="C15" s="461" t="s">
        <v>402</v>
      </c>
      <c r="D15" s="461" t="s">
        <v>403</v>
      </c>
      <c r="E15" s="461" t="s">
        <v>404</v>
      </c>
      <c r="F15" s="461" t="s">
        <v>399</v>
      </c>
      <c r="G15" s="467"/>
    </row>
    <row r="16" spans="1:7">
      <c r="A16" s="916" t="s">
        <v>429</v>
      </c>
      <c r="B16" s="917"/>
      <c r="C16" s="323" t="s">
        <v>430</v>
      </c>
      <c r="D16" s="468">
        <v>7000</v>
      </c>
      <c r="E16" s="369">
        <v>0.4</v>
      </c>
      <c r="F16" s="22">
        <f t="shared" ref="F16:F21" si="0">+D16*E16</f>
        <v>2800</v>
      </c>
      <c r="G16" s="463"/>
    </row>
    <row r="17" spans="1:11">
      <c r="A17" s="916"/>
      <c r="B17" s="917"/>
      <c r="C17" s="338"/>
      <c r="D17" s="497"/>
      <c r="E17" s="498"/>
      <c r="F17" s="22">
        <f t="shared" si="0"/>
        <v>0</v>
      </c>
      <c r="G17" s="463"/>
    </row>
    <row r="18" spans="1:11">
      <c r="A18" s="935"/>
      <c r="B18" s="936"/>
      <c r="C18" s="338"/>
      <c r="D18" s="492"/>
      <c r="E18" s="470"/>
      <c r="F18" s="22">
        <f t="shared" si="0"/>
        <v>0</v>
      </c>
      <c r="G18" s="471"/>
    </row>
    <row r="19" spans="1:11">
      <c r="A19" s="937"/>
      <c r="B19" s="938"/>
      <c r="C19" s="338"/>
      <c r="D19" s="492"/>
      <c r="E19" s="470"/>
      <c r="F19" s="22">
        <f t="shared" si="0"/>
        <v>0</v>
      </c>
      <c r="G19" s="471"/>
    </row>
    <row r="20" spans="1:11" ht="27" customHeight="1">
      <c r="A20" s="937"/>
      <c r="B20" s="938"/>
      <c r="C20" s="338"/>
      <c r="D20" s="492"/>
      <c r="E20" s="470"/>
      <c r="F20" s="22">
        <f t="shared" si="0"/>
        <v>0</v>
      </c>
      <c r="G20" s="471"/>
    </row>
    <row r="21" spans="1:11" ht="27" customHeight="1" thickBot="1">
      <c r="A21" s="939"/>
      <c r="B21" s="940"/>
      <c r="C21" s="325"/>
      <c r="D21" s="473"/>
      <c r="E21" s="474"/>
      <c r="F21" s="326">
        <f t="shared" si="0"/>
        <v>0</v>
      </c>
      <c r="G21" s="475"/>
    </row>
    <row r="22" spans="1:11" ht="17.25" thickBot="1">
      <c r="A22" s="952"/>
      <c r="B22" s="952"/>
      <c r="F22" s="465" t="s">
        <v>400</v>
      </c>
      <c r="G22" s="25">
        <f>SUM(F21,F20,F19,F18,F17,F16)</f>
        <v>2800</v>
      </c>
    </row>
    <row r="23" spans="1:11" ht="17.25" thickBot="1">
      <c r="A23" s="930" t="s">
        <v>405</v>
      </c>
      <c r="B23" s="930"/>
    </row>
    <row r="24" spans="1:11">
      <c r="A24" s="953" t="s">
        <v>395</v>
      </c>
      <c r="B24" s="954"/>
      <c r="C24" s="461" t="s">
        <v>402</v>
      </c>
      <c r="D24" s="461" t="s">
        <v>403</v>
      </c>
      <c r="E24" s="461" t="s">
        <v>404</v>
      </c>
      <c r="F24" s="461" t="s">
        <v>399</v>
      </c>
      <c r="G24" s="467"/>
    </row>
    <row r="25" spans="1:11">
      <c r="A25" s="984" t="s">
        <v>454</v>
      </c>
      <c r="B25" s="984"/>
      <c r="C25" s="522" t="s">
        <v>436</v>
      </c>
      <c r="D25" s="337">
        <v>10000</v>
      </c>
      <c r="E25" s="504">
        <v>0.1</v>
      </c>
      <c r="F25" s="22">
        <f>+D25*E25</f>
        <v>1000</v>
      </c>
      <c r="G25" s="463"/>
    </row>
    <row r="26" spans="1:11">
      <c r="A26" s="984" t="s">
        <v>456</v>
      </c>
      <c r="B26" s="984"/>
      <c r="C26" s="522" t="s">
        <v>436</v>
      </c>
      <c r="D26" s="505">
        <v>44600</v>
      </c>
      <c r="E26" s="504">
        <v>0.05</v>
      </c>
      <c r="F26" s="22">
        <f t="shared" ref="F26:F31" si="1">+D26*E26</f>
        <v>2230</v>
      </c>
      <c r="G26" s="463"/>
    </row>
    <row r="27" spans="1:11">
      <c r="A27" s="984" t="s">
        <v>458</v>
      </c>
      <c r="B27" s="984"/>
      <c r="C27" s="522" t="s">
        <v>440</v>
      </c>
      <c r="D27" s="492">
        <v>42100</v>
      </c>
      <c r="E27" s="504">
        <v>0.1</v>
      </c>
      <c r="F27" s="22">
        <f t="shared" si="1"/>
        <v>4210</v>
      </c>
      <c r="G27" s="463"/>
    </row>
    <row r="28" spans="1:11">
      <c r="A28" s="984" t="s">
        <v>439</v>
      </c>
      <c r="B28" s="984"/>
      <c r="C28" s="522" t="s">
        <v>440</v>
      </c>
      <c r="D28" s="482">
        <v>3400</v>
      </c>
      <c r="E28" s="504">
        <v>1</v>
      </c>
      <c r="F28" s="22">
        <f t="shared" si="1"/>
        <v>3400</v>
      </c>
      <c r="G28" s="463"/>
      <c r="J28" s="385"/>
      <c r="K28" s="385"/>
    </row>
    <row r="29" spans="1:11">
      <c r="A29" s="984" t="s">
        <v>450</v>
      </c>
      <c r="B29" s="984"/>
      <c r="C29" s="522" t="s">
        <v>440</v>
      </c>
      <c r="D29" s="492">
        <f>+'APU 1,1'!D30</f>
        <v>5553.333333333333</v>
      </c>
      <c r="E29" s="504">
        <v>0.1</v>
      </c>
      <c r="F29" s="22">
        <f t="shared" si="1"/>
        <v>555.33333333333337</v>
      </c>
      <c r="G29" s="463"/>
      <c r="J29" s="385"/>
      <c r="K29" s="385"/>
    </row>
    <row r="30" spans="1:11">
      <c r="A30" s="916"/>
      <c r="B30" s="917"/>
      <c r="C30" s="415"/>
      <c r="D30" s="503"/>
      <c r="E30" s="416"/>
      <c r="F30" s="417">
        <f t="shared" si="1"/>
        <v>0</v>
      </c>
      <c r="G30" s="463"/>
      <c r="J30" s="392"/>
      <c r="K30" s="386"/>
    </row>
    <row r="31" spans="1:11" ht="17.25" thickBot="1">
      <c r="A31" s="946"/>
      <c r="B31" s="947"/>
      <c r="C31" s="325"/>
      <c r="D31" s="476"/>
      <c r="E31" s="350"/>
      <c r="F31" s="326">
        <f t="shared" si="1"/>
        <v>0</v>
      </c>
      <c r="G31" s="464"/>
      <c r="K31" s="387"/>
    </row>
    <row r="32" spans="1:11" ht="17.25" thickBot="1">
      <c r="F32" s="465" t="s">
        <v>400</v>
      </c>
      <c r="G32" s="25">
        <f>SUM(F25:F31)</f>
        <v>11395.333333333334</v>
      </c>
    </row>
    <row r="33" spans="1:7" ht="17.25" thickBot="1">
      <c r="A33" s="923" t="s">
        <v>410</v>
      </c>
      <c r="B33" s="923"/>
    </row>
    <row r="34" spans="1:7">
      <c r="A34" s="460" t="s">
        <v>411</v>
      </c>
      <c r="B34" s="461" t="s">
        <v>412</v>
      </c>
      <c r="C34" s="461" t="s">
        <v>413</v>
      </c>
      <c r="D34" s="461" t="s">
        <v>414</v>
      </c>
      <c r="E34" s="461" t="s">
        <v>415</v>
      </c>
      <c r="F34" s="461" t="s">
        <v>399</v>
      </c>
      <c r="G34" s="467"/>
    </row>
    <row r="35" spans="1:7">
      <c r="A35" s="351"/>
      <c r="B35" s="32"/>
      <c r="C35" s="352"/>
      <c r="D35" s="352"/>
      <c r="E35" s="81"/>
      <c r="F35" s="22">
        <v>0</v>
      </c>
      <c r="G35" s="477"/>
    </row>
    <row r="36" spans="1:7">
      <c r="A36" s="478" t="s">
        <v>416</v>
      </c>
      <c r="B36" s="479" t="s">
        <v>417</v>
      </c>
      <c r="C36" s="479" t="s">
        <v>193</v>
      </c>
      <c r="D36" s="479" t="s">
        <v>418</v>
      </c>
      <c r="E36" s="479" t="s">
        <v>398</v>
      </c>
      <c r="F36" s="479" t="s">
        <v>399</v>
      </c>
      <c r="G36" s="477"/>
    </row>
    <row r="37" spans="1:7">
      <c r="A37" s="28"/>
      <c r="B37" s="355"/>
      <c r="C37" s="355"/>
      <c r="D37" s="81"/>
      <c r="E37" s="27"/>
      <c r="F37" s="22">
        <v>0</v>
      </c>
      <c r="G37" s="463"/>
    </row>
    <row r="38" spans="1:7" ht="17.25" thickBot="1">
      <c r="A38" s="29"/>
      <c r="B38" s="24"/>
      <c r="C38" s="24"/>
      <c r="D38" s="24"/>
      <c r="E38" s="33"/>
      <c r="F38" s="33"/>
      <c r="G38" s="464"/>
    </row>
    <row r="39" spans="1:7" ht="17.25" thickBot="1">
      <c r="F39" s="465" t="s">
        <v>400</v>
      </c>
      <c r="G39" s="25">
        <f>SUM(F35:F38)</f>
        <v>0</v>
      </c>
    </row>
    <row r="40" spans="1:7" ht="17.25" thickBot="1">
      <c r="A40" s="923" t="s">
        <v>419</v>
      </c>
      <c r="B40" s="923"/>
    </row>
    <row r="41" spans="1:7">
      <c r="A41" s="460" t="s">
        <v>416</v>
      </c>
      <c r="B41" s="461" t="s">
        <v>417</v>
      </c>
      <c r="C41" s="461" t="s">
        <v>193</v>
      </c>
      <c r="D41" s="461" t="s">
        <v>418</v>
      </c>
      <c r="E41" s="461" t="s">
        <v>398</v>
      </c>
      <c r="F41" s="461" t="s">
        <v>399</v>
      </c>
      <c r="G41" s="467"/>
    </row>
    <row r="42" spans="1:7" ht="17.25" thickBot="1">
      <c r="A42" s="356" t="str">
        <f>+Insumos!B39</f>
        <v xml:space="preserve">Oficial HVAC+Ayudante </v>
      </c>
      <c r="B42" s="356">
        <f>+Insumos!C40</f>
        <v>26152.364711232374</v>
      </c>
      <c r="C42" s="356">
        <f>+Insumos!D40</f>
        <v>14323.728638017281</v>
      </c>
      <c r="D42" s="326">
        <f>SUM(B42:C42)</f>
        <v>40476.093349249655</v>
      </c>
      <c r="E42" s="361">
        <v>3</v>
      </c>
      <c r="F42" s="326">
        <f>D42*E42</f>
        <v>121428.28004774897</v>
      </c>
      <c r="G42" s="480"/>
    </row>
    <row r="43" spans="1:7" ht="17.25" thickBot="1">
      <c r="F43" s="465" t="s">
        <v>400</v>
      </c>
      <c r="G43" s="25">
        <f>SUM(F42:F42)</f>
        <v>121428.28004774897</v>
      </c>
    </row>
    <row r="44" spans="1:7" ht="17.25" thickBot="1"/>
    <row r="45" spans="1:7" ht="17.25" thickBot="1">
      <c r="F45" s="465" t="s">
        <v>420</v>
      </c>
      <c r="G45" s="481">
        <f>SUM(G43,G39,G32,G22,G12)</f>
        <v>141695.02738346974</v>
      </c>
    </row>
    <row r="53" spans="2:6">
      <c r="B53" s="499"/>
      <c r="C53" s="499"/>
      <c r="D53" s="499"/>
      <c r="E53" s="499"/>
      <c r="F53" s="499"/>
    </row>
    <row r="54" spans="2:6">
      <c r="B54" s="500"/>
      <c r="C54" s="500"/>
      <c r="D54" s="501"/>
      <c r="E54" s="500"/>
      <c r="F54" s="500"/>
    </row>
    <row r="55" spans="2:6">
      <c r="B55" s="500"/>
      <c r="C55" s="500"/>
      <c r="D55" s="501"/>
      <c r="E55" s="500"/>
      <c r="F55" s="500"/>
    </row>
    <row r="56" spans="2:6">
      <c r="B56" s="500"/>
      <c r="C56" s="500"/>
      <c r="D56" s="501"/>
      <c r="E56" s="500"/>
      <c r="F56" s="500"/>
    </row>
    <row r="57" spans="2:6">
      <c r="B57" s="500"/>
      <c r="C57" s="500"/>
      <c r="D57" s="501"/>
      <c r="E57" s="500"/>
      <c r="F57" s="500"/>
    </row>
    <row r="58" spans="2:6">
      <c r="B58" s="500"/>
      <c r="C58" s="500"/>
      <c r="D58" s="501"/>
      <c r="E58" s="500"/>
      <c r="F58" s="502"/>
    </row>
  </sheetData>
  <mergeCells count="29">
    <mergeCell ref="A29:B29"/>
    <mergeCell ref="A30:B30"/>
    <mergeCell ref="A31:B31"/>
    <mergeCell ref="A33:B33"/>
    <mergeCell ref="A40:B40"/>
    <mergeCell ref="A28:B28"/>
    <mergeCell ref="A17:B17"/>
    <mergeCell ref="A18:B18"/>
    <mergeCell ref="A19:B19"/>
    <mergeCell ref="A20:B20"/>
    <mergeCell ref="A21:B21"/>
    <mergeCell ref="A22:B22"/>
    <mergeCell ref="A23:B23"/>
    <mergeCell ref="A24:B24"/>
    <mergeCell ref="A25:B25"/>
    <mergeCell ref="A26:B26"/>
    <mergeCell ref="A27:B27"/>
    <mergeCell ref="A16:B16"/>
    <mergeCell ref="A1:C1"/>
    <mergeCell ref="D1:G1"/>
    <mergeCell ref="A3:G3"/>
    <mergeCell ref="A4:G4"/>
    <mergeCell ref="B6:G6"/>
    <mergeCell ref="A8:B8"/>
    <mergeCell ref="A9:B9"/>
    <mergeCell ref="A10:B10"/>
    <mergeCell ref="A11:B11"/>
    <mergeCell ref="A14:B14"/>
    <mergeCell ref="A15:B15"/>
  </mergeCells>
  <pageMargins left="0.7" right="0.7" top="0.75" bottom="0.75" header="0.3" footer="0.3"/>
  <pageSetup orientation="portrait" horizontalDpi="4294967295" verticalDpi="4294967295"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M45"/>
  <sheetViews>
    <sheetView topLeftCell="A16" zoomScale="118" zoomScaleNormal="118" workbookViewId="0">
      <selection activeCell="I34" sqref="I34"/>
    </sheetView>
  </sheetViews>
  <sheetFormatPr baseColWidth="10" defaultColWidth="11.42578125" defaultRowHeight="16.5"/>
  <cols>
    <col min="1" max="1" width="33" style="2" customWidth="1"/>
    <col min="2" max="2" width="20.5703125" style="2" customWidth="1"/>
    <col min="3" max="3" width="10.28515625" style="2" customWidth="1"/>
    <col min="4" max="4" width="11.140625" style="2" customWidth="1"/>
    <col min="5" max="6" width="11.42578125" style="2"/>
    <col min="7" max="7" width="16.7109375" style="2" customWidth="1"/>
    <col min="8" max="16384" width="11.42578125" style="2"/>
  </cols>
  <sheetData>
    <row r="1" spans="1:13" ht="77.25" customHeight="1" thickBot="1">
      <c r="A1" s="918"/>
      <c r="B1" s="919"/>
      <c r="C1" s="919"/>
      <c r="D1" s="704" t="s">
        <v>388</v>
      </c>
      <c r="E1" s="705"/>
      <c r="F1" s="705"/>
      <c r="G1" s="706"/>
    </row>
    <row r="2" spans="1:13" ht="17.25" thickBot="1">
      <c r="A2" s="8"/>
      <c r="B2" s="8"/>
      <c r="C2" s="8"/>
      <c r="D2" s="9"/>
      <c r="E2" s="9"/>
      <c r="F2" s="9"/>
      <c r="G2" s="9"/>
    </row>
    <row r="3" spans="1:13" ht="17.25" thickBot="1">
      <c r="A3" s="747" t="str">
        <f>+'AU  Consul P2'!A3:I3</f>
        <v>SECRETARÍA DE TALENTO HUMANO Y SERVICIOS ADMINISTRATIVOS- DIRECCIÓN DE SERVICIOS GENERALES</v>
      </c>
      <c r="B3" s="748"/>
      <c r="C3" s="748"/>
      <c r="D3" s="748"/>
      <c r="E3" s="748"/>
      <c r="F3" s="748"/>
      <c r="G3" s="749"/>
    </row>
    <row r="4" spans="1:13" s="1" customFormat="1" ht="35.2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13" ht="17.25" thickBot="1">
      <c r="A5" s="364" t="s">
        <v>389</v>
      </c>
      <c r="B5" s="365">
        <f>+'PRESUPUESTO OFICIAL 2026'!B32</f>
        <v>3.2</v>
      </c>
      <c r="C5" s="3"/>
      <c r="D5" s="3"/>
      <c r="E5" s="3"/>
      <c r="F5" s="7" t="s">
        <v>391</v>
      </c>
      <c r="G5" s="363" t="str">
        <f>+'PRESUPUESTO OFICIAL 2026'!H32</f>
        <v>GLO</v>
      </c>
    </row>
    <row r="6" spans="1:13" ht="98.25" customHeight="1" thickBot="1">
      <c r="A6" s="10" t="s">
        <v>392</v>
      </c>
      <c r="B6" s="920" t="s">
        <v>352</v>
      </c>
      <c r="C6" s="921"/>
      <c r="D6" s="921"/>
      <c r="E6" s="921"/>
      <c r="F6" s="921"/>
      <c r="G6" s="922"/>
      <c r="M6" s="2" t="s">
        <v>498</v>
      </c>
    </row>
    <row r="7" spans="1:13">
      <c r="M7" s="2">
        <v>43900</v>
      </c>
    </row>
    <row r="8" spans="1:13" ht="17.25" thickBot="1">
      <c r="A8" s="923" t="s">
        <v>394</v>
      </c>
      <c r="B8" s="923"/>
      <c r="M8" s="2">
        <v>39900</v>
      </c>
    </row>
    <row r="9" spans="1:13">
      <c r="A9" s="924" t="s">
        <v>395</v>
      </c>
      <c r="B9" s="925"/>
      <c r="C9" s="13" t="s">
        <v>396</v>
      </c>
      <c r="D9" s="13" t="s">
        <v>397</v>
      </c>
      <c r="E9" s="13" t="s">
        <v>398</v>
      </c>
      <c r="F9" s="13" t="s">
        <v>399</v>
      </c>
      <c r="G9" s="14"/>
    </row>
    <row r="10" spans="1:13">
      <c r="A10" s="926" t="s">
        <v>427</v>
      </c>
      <c r="B10" s="927"/>
      <c r="C10" s="26" t="s">
        <v>428</v>
      </c>
      <c r="D10" s="21">
        <f>G43</f>
        <v>80952.18669849931</v>
      </c>
      <c r="E10" s="335">
        <v>0.1</v>
      </c>
      <c r="F10" s="22">
        <f>E10*D10</f>
        <v>8095.2186698499318</v>
      </c>
      <c r="G10" s="15"/>
    </row>
    <row r="11" spans="1:13" ht="17.25" thickBot="1">
      <c r="A11" s="928"/>
      <c r="B11" s="929"/>
      <c r="C11" s="24"/>
      <c r="D11" s="24"/>
      <c r="E11" s="24"/>
      <c r="F11" s="24"/>
      <c r="G11" s="17"/>
      <c r="L11" s="2">
        <v>37900</v>
      </c>
    </row>
    <row r="12" spans="1:13" ht="17.25" thickBot="1">
      <c r="F12" s="4" t="s">
        <v>400</v>
      </c>
      <c r="G12" s="25">
        <f>SUM(F10:F11)</f>
        <v>8095.2186698499318</v>
      </c>
      <c r="L12" s="2">
        <v>47000</v>
      </c>
    </row>
    <row r="13" spans="1:13" ht="17.25" thickBot="1">
      <c r="F13" s="4"/>
      <c r="G13" s="336"/>
      <c r="L13" s="525">
        <v>48900</v>
      </c>
    </row>
    <row r="14" spans="1:13" ht="17.25" thickBot="1">
      <c r="A14" s="930" t="s">
        <v>401</v>
      </c>
      <c r="B14" s="930"/>
      <c r="L14" s="2">
        <f>AVERAGE(L11:L13)</f>
        <v>44600</v>
      </c>
    </row>
    <row r="15" spans="1:13">
      <c r="A15" s="931" t="s">
        <v>395</v>
      </c>
      <c r="B15" s="932"/>
      <c r="C15" s="13" t="s">
        <v>402</v>
      </c>
      <c r="D15" s="13" t="s">
        <v>403</v>
      </c>
      <c r="E15" s="13" t="s">
        <v>404</v>
      </c>
      <c r="F15" s="13" t="s">
        <v>399</v>
      </c>
      <c r="G15" s="18"/>
    </row>
    <row r="16" spans="1:13">
      <c r="A16" s="916"/>
      <c r="B16" s="917"/>
      <c r="C16" s="323"/>
      <c r="D16" s="337"/>
      <c r="E16" s="323"/>
      <c r="F16" s="22">
        <f t="shared" ref="F16:F21" si="0">+D16*E16</f>
        <v>0</v>
      </c>
      <c r="G16" s="16"/>
    </row>
    <row r="17" spans="1:7">
      <c r="A17" s="916"/>
      <c r="B17" s="917"/>
      <c r="C17" s="338"/>
      <c r="D17" s="339"/>
      <c r="E17" s="340"/>
      <c r="F17" s="22">
        <f t="shared" si="0"/>
        <v>0</v>
      </c>
      <c r="G17" s="16"/>
    </row>
    <row r="18" spans="1:7">
      <c r="A18" s="935"/>
      <c r="B18" s="936"/>
      <c r="C18" s="338"/>
      <c r="D18" s="341"/>
      <c r="E18" s="342"/>
      <c r="F18" s="22">
        <f t="shared" si="0"/>
        <v>0</v>
      </c>
      <c r="G18" s="343"/>
    </row>
    <row r="19" spans="1:7">
      <c r="A19" s="937"/>
      <c r="B19" s="938"/>
      <c r="C19" s="338"/>
      <c r="D19" s="341"/>
      <c r="E19" s="342"/>
      <c r="F19" s="22">
        <f t="shared" si="0"/>
        <v>0</v>
      </c>
      <c r="G19" s="343"/>
    </row>
    <row r="20" spans="1:7">
      <c r="A20" s="937"/>
      <c r="B20" s="938"/>
      <c r="C20" s="338"/>
      <c r="D20" s="341"/>
      <c r="E20" s="342"/>
      <c r="F20" s="22">
        <f t="shared" si="0"/>
        <v>0</v>
      </c>
      <c r="G20" s="343"/>
    </row>
    <row r="21" spans="1:7" ht="17.25" thickBot="1">
      <c r="A21" s="939"/>
      <c r="B21" s="940"/>
      <c r="C21" s="325"/>
      <c r="D21" s="344"/>
      <c r="E21" s="345"/>
      <c r="F21" s="326">
        <f t="shared" si="0"/>
        <v>0</v>
      </c>
      <c r="G21" s="346"/>
    </row>
    <row r="22" spans="1:7" ht="17.25" thickBot="1">
      <c r="A22" s="941"/>
      <c r="B22" s="941"/>
      <c r="F22" s="4" t="s">
        <v>400</v>
      </c>
      <c r="G22" s="25">
        <f>SUM(F21,F20,F19,F18,F17,F16)</f>
        <v>0</v>
      </c>
    </row>
    <row r="23" spans="1:7" ht="17.25" thickBot="1">
      <c r="A23" s="930" t="s">
        <v>405</v>
      </c>
      <c r="B23" s="930"/>
    </row>
    <row r="24" spans="1:7">
      <c r="A24" s="931" t="s">
        <v>395</v>
      </c>
      <c r="B24" s="932"/>
      <c r="C24" s="13" t="s">
        <v>402</v>
      </c>
      <c r="D24" s="13" t="s">
        <v>403</v>
      </c>
      <c r="E24" s="13" t="s">
        <v>404</v>
      </c>
      <c r="F24" s="13" t="s">
        <v>399</v>
      </c>
      <c r="G24" s="18"/>
    </row>
    <row r="25" spans="1:7">
      <c r="A25" s="984" t="s">
        <v>500</v>
      </c>
      <c r="B25" s="984"/>
      <c r="C25" s="522" t="s">
        <v>246</v>
      </c>
      <c r="D25" s="523">
        <v>44600</v>
      </c>
      <c r="E25" s="504">
        <v>1</v>
      </c>
      <c r="F25" s="22">
        <f>+D25*E25</f>
        <v>44600</v>
      </c>
      <c r="G25" s="16"/>
    </row>
    <row r="26" spans="1:7">
      <c r="A26" s="1004" t="s">
        <v>499</v>
      </c>
      <c r="B26" s="1005"/>
      <c r="C26" s="522" t="s">
        <v>234</v>
      </c>
      <c r="D26" s="524">
        <v>100000</v>
      </c>
      <c r="E26" s="504">
        <v>1</v>
      </c>
      <c r="F26" s="22">
        <f t="shared" ref="F26:F31" si="1">+D26*E26</f>
        <v>100000</v>
      </c>
      <c r="G26" s="16"/>
    </row>
    <row r="27" spans="1:7">
      <c r="A27" s="984"/>
      <c r="B27" s="984"/>
      <c r="C27" s="522"/>
      <c r="D27" s="487"/>
      <c r="E27" s="504"/>
      <c r="F27" s="22">
        <f t="shared" si="1"/>
        <v>0</v>
      </c>
      <c r="G27" s="16"/>
    </row>
    <row r="28" spans="1:7">
      <c r="A28" s="984"/>
      <c r="B28" s="984"/>
      <c r="C28" s="522"/>
      <c r="D28" s="447"/>
      <c r="E28" s="504"/>
      <c r="F28" s="22">
        <f t="shared" si="1"/>
        <v>0</v>
      </c>
      <c r="G28" s="16"/>
    </row>
    <row r="29" spans="1:7">
      <c r="A29" s="984"/>
      <c r="B29" s="984"/>
      <c r="C29" s="522"/>
      <c r="D29" s="487"/>
      <c r="E29" s="504"/>
      <c r="F29" s="22">
        <f t="shared" si="1"/>
        <v>0</v>
      </c>
      <c r="G29" s="16"/>
    </row>
    <row r="30" spans="1:7">
      <c r="A30" s="945"/>
      <c r="B30" s="944"/>
      <c r="C30" s="323"/>
      <c r="D30" s="324"/>
      <c r="E30" s="347"/>
      <c r="F30" s="22">
        <f t="shared" si="1"/>
        <v>0</v>
      </c>
      <c r="G30" s="16"/>
    </row>
    <row r="31" spans="1:7" ht="17.25" thickBot="1">
      <c r="A31" s="946"/>
      <c r="B31" s="947"/>
      <c r="C31" s="325"/>
      <c r="D31" s="349"/>
      <c r="E31" s="350"/>
      <c r="F31" s="326">
        <f t="shared" si="1"/>
        <v>0</v>
      </c>
      <c r="G31" s="17"/>
    </row>
    <row r="32" spans="1:7" ht="17.25" thickBot="1">
      <c r="F32" s="4" t="s">
        <v>400</v>
      </c>
      <c r="G32" s="11">
        <f>SUM(F25:F31)</f>
        <v>144600</v>
      </c>
    </row>
    <row r="33" spans="1:7" ht="17.25" thickBot="1">
      <c r="A33" s="923" t="s">
        <v>410</v>
      </c>
      <c r="B33" s="923"/>
    </row>
    <row r="34" spans="1:7">
      <c r="A34" s="12" t="s">
        <v>411</v>
      </c>
      <c r="B34" s="13" t="s">
        <v>412</v>
      </c>
      <c r="C34" s="13" t="s">
        <v>413</v>
      </c>
      <c r="D34" s="13" t="s">
        <v>414</v>
      </c>
      <c r="E34" s="13" t="s">
        <v>415</v>
      </c>
      <c r="F34" s="13" t="s">
        <v>399</v>
      </c>
      <c r="G34" s="18"/>
    </row>
    <row r="35" spans="1:7">
      <c r="A35" s="351"/>
      <c r="B35" s="32"/>
      <c r="C35" s="352"/>
      <c r="D35" s="352"/>
      <c r="E35" s="81"/>
      <c r="F35" s="22"/>
      <c r="G35" s="19"/>
    </row>
    <row r="36" spans="1:7">
      <c r="A36" s="353" t="s">
        <v>416</v>
      </c>
      <c r="B36" s="354" t="s">
        <v>417</v>
      </c>
      <c r="C36" s="354" t="s">
        <v>193</v>
      </c>
      <c r="D36" s="354" t="s">
        <v>418</v>
      </c>
      <c r="E36" s="354" t="s">
        <v>398</v>
      </c>
      <c r="F36" s="354" t="s">
        <v>399</v>
      </c>
      <c r="G36" s="19"/>
    </row>
    <row r="37" spans="1:7">
      <c r="A37" s="28"/>
      <c r="B37" s="355"/>
      <c r="C37" s="355"/>
      <c r="D37" s="81"/>
      <c r="E37" s="27"/>
      <c r="F37" s="22"/>
      <c r="G37" s="16"/>
    </row>
    <row r="38" spans="1:7" ht="17.25" thickBot="1">
      <c r="A38" s="29"/>
      <c r="B38" s="24"/>
      <c r="C38" s="24"/>
      <c r="D38" s="24"/>
      <c r="E38" s="33"/>
      <c r="F38" s="33"/>
      <c r="G38" s="17"/>
    </row>
    <row r="39" spans="1:7" ht="17.25" thickBot="1">
      <c r="F39" s="4" t="s">
        <v>400</v>
      </c>
      <c r="G39" s="11">
        <f>SUM(F35:F38)</f>
        <v>0</v>
      </c>
    </row>
    <row r="40" spans="1:7" ht="17.25" thickBot="1">
      <c r="A40" s="923" t="s">
        <v>419</v>
      </c>
      <c r="B40" s="923"/>
    </row>
    <row r="41" spans="1:7">
      <c r="A41" s="12" t="s">
        <v>416</v>
      </c>
      <c r="B41" s="13" t="s">
        <v>417</v>
      </c>
      <c r="C41" s="13" t="s">
        <v>193</v>
      </c>
      <c r="D41" s="13" t="s">
        <v>418</v>
      </c>
      <c r="E41" s="13" t="s">
        <v>398</v>
      </c>
      <c r="F41" s="13" t="s">
        <v>399</v>
      </c>
      <c r="G41" s="18"/>
    </row>
    <row r="42" spans="1:7" ht="17.25" thickBot="1">
      <c r="A42" s="356" t="str">
        <f>+Insumos!B30</f>
        <v>Cuadrilla (Electrico + Ayudante)</v>
      </c>
      <c r="B42" s="356">
        <f>+Insumos!C40</f>
        <v>26152.364711232374</v>
      </c>
      <c r="C42" s="356">
        <f>+Insumos!D40</f>
        <v>14323.728638017281</v>
      </c>
      <c r="D42" s="326">
        <f>SUM(B42:C42)</f>
        <v>40476.093349249655</v>
      </c>
      <c r="E42" s="361">
        <v>2</v>
      </c>
      <c r="F42" s="326">
        <f>D42*E42</f>
        <v>80952.18669849931</v>
      </c>
      <c r="G42" s="357"/>
    </row>
    <row r="43" spans="1:7" ht="17.25" thickBot="1">
      <c r="F43" s="4" t="s">
        <v>400</v>
      </c>
      <c r="G43" s="11">
        <f>SUM(F42:F42)</f>
        <v>80952.18669849931</v>
      </c>
    </row>
    <row r="44" spans="1:7" ht="17.25" thickBot="1"/>
    <row r="45" spans="1:7" ht="17.25" thickBot="1">
      <c r="F45" s="4" t="s">
        <v>420</v>
      </c>
      <c r="G45" s="71">
        <f>SUM(G43,G39,G32,G22,G12)</f>
        <v>233647.40536834925</v>
      </c>
    </row>
  </sheetData>
  <mergeCells count="29">
    <mergeCell ref="A29:B29"/>
    <mergeCell ref="A30:B30"/>
    <mergeCell ref="A31:B31"/>
    <mergeCell ref="A33:B33"/>
    <mergeCell ref="A40:B40"/>
    <mergeCell ref="A28:B28"/>
    <mergeCell ref="A17:B17"/>
    <mergeCell ref="A18:B18"/>
    <mergeCell ref="A19:B19"/>
    <mergeCell ref="A20:B20"/>
    <mergeCell ref="A21:B21"/>
    <mergeCell ref="A22:B22"/>
    <mergeCell ref="A23:B23"/>
    <mergeCell ref="A24:B24"/>
    <mergeCell ref="A25:B25"/>
    <mergeCell ref="A26:B26"/>
    <mergeCell ref="A27:B27"/>
    <mergeCell ref="A16:B16"/>
    <mergeCell ref="A1:C1"/>
    <mergeCell ref="D1:G1"/>
    <mergeCell ref="A3:G3"/>
    <mergeCell ref="A4:G4"/>
    <mergeCell ref="B6:G6"/>
    <mergeCell ref="A8:B8"/>
    <mergeCell ref="A9:B9"/>
    <mergeCell ref="A10:B10"/>
    <mergeCell ref="A11:B11"/>
    <mergeCell ref="A14:B14"/>
    <mergeCell ref="A15:B15"/>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J49"/>
  <sheetViews>
    <sheetView topLeftCell="A13" zoomScale="106" zoomScaleNormal="106" workbookViewId="0">
      <selection activeCell="D10" sqref="D10"/>
    </sheetView>
  </sheetViews>
  <sheetFormatPr baseColWidth="10" defaultColWidth="11.42578125" defaultRowHeight="16.5"/>
  <cols>
    <col min="1" max="1" width="33" style="459" customWidth="1"/>
    <col min="2" max="2" width="19.7109375" style="459" customWidth="1"/>
    <col min="3" max="3" width="12" style="459" customWidth="1"/>
    <col min="4" max="4" width="13.85546875" style="459" customWidth="1"/>
    <col min="5" max="5" width="11.42578125" style="459"/>
    <col min="6" max="6" width="16.140625" style="459" customWidth="1"/>
    <col min="7" max="7" width="16.7109375" style="459" customWidth="1"/>
    <col min="8" max="8" width="7.5703125" style="2" customWidth="1"/>
    <col min="9" max="9" width="11.42578125" style="2"/>
    <col min="10" max="10" width="13.85546875" style="2" customWidth="1"/>
    <col min="11" max="16384" width="11.42578125" style="2"/>
  </cols>
  <sheetData>
    <row r="1" spans="1:7" ht="77.25" customHeight="1" thickBot="1">
      <c r="A1" s="975"/>
      <c r="B1" s="976"/>
      <c r="C1" s="976"/>
      <c r="D1" s="747" t="s">
        <v>388</v>
      </c>
      <c r="E1" s="748"/>
      <c r="F1" s="748"/>
      <c r="G1" s="749"/>
    </row>
    <row r="2" spans="1:7" ht="17.25" thickBot="1">
      <c r="A2" s="452"/>
      <c r="B2" s="452"/>
      <c r="C2" s="452"/>
      <c r="D2" s="452"/>
      <c r="E2" s="452"/>
      <c r="F2" s="452"/>
      <c r="G2" s="452"/>
    </row>
    <row r="3" spans="1:7" ht="17.25" thickBot="1">
      <c r="A3" s="747" t="str">
        <f>+'AU  Consul P2'!A3:I3</f>
        <v>SECRETARÍA DE TALENTO HUMANO Y SERVICIOS ADMINISTRATIVOS- DIRECCIÓN DE SERVICIOS GENERALES</v>
      </c>
      <c r="B3" s="748"/>
      <c r="C3" s="748"/>
      <c r="D3" s="748"/>
      <c r="E3" s="748"/>
      <c r="F3" s="748"/>
      <c r="G3" s="749"/>
    </row>
    <row r="4" spans="1:7" s="1" customFormat="1" ht="35.2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17.25" thickBot="1">
      <c r="A5" s="453" t="s">
        <v>389</v>
      </c>
      <c r="B5" s="491">
        <f>+'PRESUPUESTO OFICIAL 2026'!B33</f>
        <v>3.3</v>
      </c>
      <c r="C5" s="455"/>
      <c r="D5" s="455"/>
      <c r="E5" s="455"/>
      <c r="F5" s="456" t="s">
        <v>391</v>
      </c>
      <c r="G5" s="457" t="str">
        <f>+'PRESUPUESTO OFICIAL 2026'!H33</f>
        <v>GLO</v>
      </c>
    </row>
    <row r="6" spans="1:7" ht="54" customHeight="1" thickBot="1">
      <c r="A6" s="458" t="s">
        <v>392</v>
      </c>
      <c r="B6" s="961" t="s">
        <v>353</v>
      </c>
      <c r="C6" s="978"/>
      <c r="D6" s="978"/>
      <c r="E6" s="978"/>
      <c r="F6" s="978"/>
      <c r="G6" s="979"/>
    </row>
    <row r="8" spans="1:7" ht="17.25" thickBot="1">
      <c r="A8" s="923" t="s">
        <v>394</v>
      </c>
      <c r="B8" s="923"/>
    </row>
    <row r="9" spans="1:7">
      <c r="A9" s="955" t="s">
        <v>395</v>
      </c>
      <c r="B9" s="956"/>
      <c r="C9" s="461" t="s">
        <v>396</v>
      </c>
      <c r="D9" s="461" t="s">
        <v>397</v>
      </c>
      <c r="E9" s="461" t="s">
        <v>398</v>
      </c>
      <c r="F9" s="461" t="s">
        <v>399</v>
      </c>
      <c r="G9" s="462"/>
    </row>
    <row r="10" spans="1:7">
      <c r="A10" s="926" t="s">
        <v>427</v>
      </c>
      <c r="B10" s="927"/>
      <c r="C10" s="26" t="s">
        <v>428</v>
      </c>
      <c r="D10" s="21">
        <f>G43</f>
        <v>80952.18669849931</v>
      </c>
      <c r="E10" s="335">
        <v>0.05</v>
      </c>
      <c r="F10" s="22">
        <f>E10*D10</f>
        <v>4047.6093349249659</v>
      </c>
      <c r="G10" s="463"/>
    </row>
    <row r="11" spans="1:7" ht="17.25" thickBot="1">
      <c r="A11" s="928"/>
      <c r="B11" s="929"/>
      <c r="C11" s="24"/>
      <c r="D11" s="24"/>
      <c r="E11" s="368"/>
      <c r="F11" s="326"/>
      <c r="G11" s="464"/>
    </row>
    <row r="12" spans="1:7" ht="17.25" thickBot="1">
      <c r="F12" s="465" t="s">
        <v>400</v>
      </c>
      <c r="G12" s="25">
        <f>SUM(F10:F11)</f>
        <v>4047.6093349249659</v>
      </c>
    </row>
    <row r="13" spans="1:7">
      <c r="F13" s="465"/>
      <c r="G13" s="336"/>
    </row>
    <row r="14" spans="1:7" ht="17.25" thickBot="1">
      <c r="A14" s="930" t="s">
        <v>401</v>
      </c>
      <c r="B14" s="930"/>
    </row>
    <row r="15" spans="1:7">
      <c r="A15" s="953" t="s">
        <v>395</v>
      </c>
      <c r="B15" s="954"/>
      <c r="C15" s="461" t="s">
        <v>402</v>
      </c>
      <c r="D15" s="461" t="s">
        <v>403</v>
      </c>
      <c r="E15" s="461" t="s">
        <v>404</v>
      </c>
      <c r="F15" s="461" t="s">
        <v>399</v>
      </c>
      <c r="G15" s="467"/>
    </row>
    <row r="16" spans="1:7" ht="16.5" customHeight="1">
      <c r="A16" s="984"/>
      <c r="B16" s="984"/>
      <c r="C16" s="522"/>
      <c r="D16" s="516"/>
      <c r="E16" s="504"/>
      <c r="F16" s="22"/>
      <c r="G16" s="463"/>
    </row>
    <row r="17" spans="1:7">
      <c r="A17" s="916"/>
      <c r="B17" s="917"/>
      <c r="C17" s="338"/>
      <c r="D17" s="511"/>
      <c r="E17" s="469"/>
      <c r="F17" s="22"/>
      <c r="G17" s="463"/>
    </row>
    <row r="18" spans="1:7">
      <c r="A18" s="935"/>
      <c r="B18" s="936"/>
      <c r="C18" s="323"/>
      <c r="D18" s="468"/>
      <c r="E18" s="470"/>
      <c r="F18" s="22"/>
      <c r="G18" s="471"/>
    </row>
    <row r="19" spans="1:7">
      <c r="A19" s="933"/>
      <c r="B19" s="934"/>
      <c r="C19" s="338"/>
      <c r="D19" s="472"/>
      <c r="E19" s="470"/>
      <c r="F19" s="22"/>
      <c r="G19" s="471"/>
    </row>
    <row r="20" spans="1:7">
      <c r="A20" s="933"/>
      <c r="B20" s="934"/>
      <c r="C20" s="338"/>
      <c r="D20" s="472"/>
      <c r="E20" s="470"/>
      <c r="F20" s="22">
        <f>+D20*E20</f>
        <v>0</v>
      </c>
      <c r="G20" s="471"/>
    </row>
    <row r="21" spans="1:7" ht="17.25" thickBot="1">
      <c r="A21" s="946"/>
      <c r="B21" s="973"/>
      <c r="C21" s="325"/>
      <c r="D21" s="473"/>
      <c r="E21" s="474"/>
      <c r="F21" s="326">
        <f>+D21*E21</f>
        <v>0</v>
      </c>
      <c r="G21" s="475"/>
    </row>
    <row r="22" spans="1:7" ht="17.25" thickBot="1">
      <c r="A22" s="952"/>
      <c r="B22" s="952"/>
      <c r="F22" s="465" t="s">
        <v>400</v>
      </c>
      <c r="G22" s="25">
        <f>SUM(F21,F20,F19,F18,F17,F16)</f>
        <v>0</v>
      </c>
    </row>
    <row r="23" spans="1:7" ht="17.25" thickBot="1">
      <c r="A23" s="930" t="s">
        <v>405</v>
      </c>
      <c r="B23" s="930"/>
    </row>
    <row r="24" spans="1:7">
      <c r="A24" s="953" t="s">
        <v>395</v>
      </c>
      <c r="B24" s="954"/>
      <c r="C24" s="461" t="s">
        <v>402</v>
      </c>
      <c r="D24" s="461" t="s">
        <v>403</v>
      </c>
      <c r="E24" s="461" t="s">
        <v>404</v>
      </c>
      <c r="F24" s="461" t="s">
        <v>399</v>
      </c>
      <c r="G24" s="467"/>
    </row>
    <row r="25" spans="1:7">
      <c r="A25" s="984" t="s">
        <v>439</v>
      </c>
      <c r="B25" s="984"/>
      <c r="C25" s="522" t="s">
        <v>440</v>
      </c>
      <c r="D25" s="516">
        <v>3400</v>
      </c>
      <c r="E25" s="504">
        <v>0.2</v>
      </c>
      <c r="F25" s="22">
        <f>D25*E25</f>
        <v>680</v>
      </c>
      <c r="G25" s="463"/>
    </row>
    <row r="26" spans="1:7">
      <c r="A26" s="916" t="s">
        <v>470</v>
      </c>
      <c r="B26" s="917"/>
      <c r="C26" s="338" t="s">
        <v>440</v>
      </c>
      <c r="D26" s="511">
        <v>44600</v>
      </c>
      <c r="E26" s="469">
        <v>0.1</v>
      </c>
      <c r="F26" s="22">
        <f>D26*E26</f>
        <v>4460</v>
      </c>
      <c r="G26" s="463"/>
    </row>
    <row r="27" spans="1:7">
      <c r="A27" s="933"/>
      <c r="B27" s="944"/>
      <c r="C27" s="323"/>
      <c r="D27" s="493"/>
      <c r="E27" s="347"/>
      <c r="F27" s="22">
        <f>+D27*E27</f>
        <v>0</v>
      </c>
      <c r="G27" s="463"/>
    </row>
    <row r="28" spans="1:7">
      <c r="A28" s="933"/>
      <c r="B28" s="934"/>
      <c r="C28" s="323"/>
      <c r="D28" s="496"/>
      <c r="E28" s="347"/>
      <c r="F28" s="22">
        <f>+D28*E28</f>
        <v>0</v>
      </c>
      <c r="G28" s="463"/>
    </row>
    <row r="29" spans="1:7">
      <c r="A29" s="945"/>
      <c r="B29" s="944"/>
      <c r="C29" s="323"/>
      <c r="D29" s="493"/>
      <c r="E29" s="347"/>
      <c r="F29" s="22">
        <f>+D29*E29</f>
        <v>0</v>
      </c>
      <c r="G29" s="463"/>
    </row>
    <row r="30" spans="1:7">
      <c r="A30" s="945"/>
      <c r="B30" s="944"/>
      <c r="C30" s="323"/>
      <c r="D30" s="493"/>
      <c r="E30" s="347"/>
      <c r="F30" s="22">
        <f>+D30*E30</f>
        <v>0</v>
      </c>
      <c r="G30" s="463"/>
    </row>
    <row r="31" spans="1:7" ht="17.25" thickBot="1">
      <c r="A31" s="946"/>
      <c r="B31" s="947"/>
      <c r="C31" s="325"/>
      <c r="D31" s="476"/>
      <c r="E31" s="350"/>
      <c r="F31" s="326">
        <f>+D31*E31</f>
        <v>0</v>
      </c>
      <c r="G31" s="464"/>
    </row>
    <row r="32" spans="1:7" ht="17.25" thickBot="1">
      <c r="F32" s="465" t="s">
        <v>400</v>
      </c>
      <c r="G32" s="25">
        <f>SUM(F25:F31)</f>
        <v>5140</v>
      </c>
    </row>
    <row r="33" spans="1:10" ht="17.25" thickBot="1">
      <c r="A33" s="923" t="s">
        <v>410</v>
      </c>
      <c r="B33" s="923"/>
    </row>
    <row r="34" spans="1:10">
      <c r="A34" s="460" t="s">
        <v>411</v>
      </c>
      <c r="B34" s="461" t="s">
        <v>412</v>
      </c>
      <c r="C34" s="461" t="s">
        <v>413</v>
      </c>
      <c r="D34" s="461" t="s">
        <v>414</v>
      </c>
      <c r="E34" s="461" t="s">
        <v>415</v>
      </c>
      <c r="F34" s="461" t="s">
        <v>399</v>
      </c>
      <c r="G34" s="467"/>
    </row>
    <row r="35" spans="1:10">
      <c r="A35" s="351"/>
      <c r="B35" s="32"/>
      <c r="C35" s="352"/>
      <c r="D35" s="352"/>
      <c r="E35" s="81"/>
      <c r="F35" s="22"/>
      <c r="G35" s="477"/>
    </row>
    <row r="36" spans="1:10">
      <c r="A36" s="478" t="s">
        <v>416</v>
      </c>
      <c r="B36" s="479" t="s">
        <v>417</v>
      </c>
      <c r="C36" s="479" t="s">
        <v>193</v>
      </c>
      <c r="D36" s="479" t="s">
        <v>418</v>
      </c>
      <c r="E36" s="479" t="s">
        <v>398</v>
      </c>
      <c r="F36" s="479" t="s">
        <v>399</v>
      </c>
      <c r="G36" s="477"/>
    </row>
    <row r="37" spans="1:10">
      <c r="A37" s="28"/>
      <c r="B37" s="355"/>
      <c r="C37" s="355"/>
      <c r="D37" s="81"/>
      <c r="E37" s="27"/>
      <c r="F37" s="22"/>
      <c r="G37" s="463"/>
    </row>
    <row r="38" spans="1:10" ht="17.25" thickBot="1">
      <c r="A38" s="29"/>
      <c r="B38" s="24"/>
      <c r="C38" s="24"/>
      <c r="D38" s="24"/>
      <c r="E38" s="33"/>
      <c r="F38" s="33"/>
      <c r="G38" s="464"/>
    </row>
    <row r="39" spans="1:10" ht="17.25" thickBot="1">
      <c r="F39" s="465" t="s">
        <v>400</v>
      </c>
      <c r="G39" s="25">
        <f>SUM(F35:F38)</f>
        <v>0</v>
      </c>
    </row>
    <row r="40" spans="1:10" ht="17.25" thickBot="1">
      <c r="A40" s="923" t="s">
        <v>419</v>
      </c>
      <c r="B40" s="923"/>
    </row>
    <row r="41" spans="1:10">
      <c r="A41" s="460" t="s">
        <v>416</v>
      </c>
      <c r="B41" s="461" t="s">
        <v>417</v>
      </c>
      <c r="C41" s="461" t="s">
        <v>193</v>
      </c>
      <c r="D41" s="461" t="s">
        <v>418</v>
      </c>
      <c r="E41" s="461" t="s">
        <v>398</v>
      </c>
      <c r="F41" s="461" t="s">
        <v>399</v>
      </c>
      <c r="G41" s="467"/>
    </row>
    <row r="42" spans="1:10" ht="17.25" thickBot="1">
      <c r="A42" s="356" t="str">
        <f>+Insumos!B30</f>
        <v>Cuadrilla (Electrico + Ayudante)</v>
      </c>
      <c r="B42" s="356">
        <f>+Insumos!C40</f>
        <v>26152.364711232374</v>
      </c>
      <c r="C42" s="356">
        <f>+Insumos!D40</f>
        <v>14323.728638017281</v>
      </c>
      <c r="D42" s="326">
        <f>+C42+B42</f>
        <v>40476.093349249655</v>
      </c>
      <c r="E42" s="361">
        <v>2</v>
      </c>
      <c r="F42" s="326">
        <f>D42*E42</f>
        <v>80952.18669849931</v>
      </c>
      <c r="G42" s="480"/>
    </row>
    <row r="43" spans="1:10" ht="17.25" thickBot="1">
      <c r="F43" s="465" t="s">
        <v>400</v>
      </c>
      <c r="G43" s="25">
        <f>SUM(F42:F42)</f>
        <v>80952.18669849931</v>
      </c>
      <c r="J43" s="393"/>
    </row>
    <row r="44" spans="1:10" ht="17.25" thickBot="1">
      <c r="J44" s="393"/>
    </row>
    <row r="45" spans="1:10" ht="17.25" thickBot="1">
      <c r="F45" s="465" t="s">
        <v>420</v>
      </c>
      <c r="G45" s="481">
        <f>SUM(G43,G39,G32,G22,G12)</f>
        <v>90139.796033424282</v>
      </c>
      <c r="J45" s="393"/>
    </row>
    <row r="46" spans="1:10">
      <c r="J46" s="393"/>
    </row>
    <row r="47" spans="1:10">
      <c r="J47" s="393"/>
    </row>
    <row r="48" spans="1:10">
      <c r="J48" s="395"/>
    </row>
    <row r="49" spans="10:10">
      <c r="J49" s="394"/>
    </row>
  </sheetData>
  <mergeCells count="29">
    <mergeCell ref="A29:B29"/>
    <mergeCell ref="A30:B30"/>
    <mergeCell ref="A31:B31"/>
    <mergeCell ref="A33:B33"/>
    <mergeCell ref="A40:B40"/>
    <mergeCell ref="A28:B28"/>
    <mergeCell ref="A17:B17"/>
    <mergeCell ref="A18:B18"/>
    <mergeCell ref="A19:B19"/>
    <mergeCell ref="A20:B20"/>
    <mergeCell ref="A21:B21"/>
    <mergeCell ref="A22:B22"/>
    <mergeCell ref="A23:B23"/>
    <mergeCell ref="A24:B24"/>
    <mergeCell ref="A25:B25"/>
    <mergeCell ref="A26:B26"/>
    <mergeCell ref="A27:B27"/>
    <mergeCell ref="A16:B16"/>
    <mergeCell ref="A1:C1"/>
    <mergeCell ref="D1:G1"/>
    <mergeCell ref="A3:G3"/>
    <mergeCell ref="A4:G4"/>
    <mergeCell ref="B6:G6"/>
    <mergeCell ref="A8:B8"/>
    <mergeCell ref="A9:B9"/>
    <mergeCell ref="A10:B10"/>
    <mergeCell ref="A11:B11"/>
    <mergeCell ref="A14:B14"/>
    <mergeCell ref="A15:B15"/>
  </mergeCells>
  <pageMargins left="0.7" right="0.7" top="0.75" bottom="0.75" header="0.3" footer="0.3"/>
  <pageSetup orientation="portrait" horizontalDpi="4294967295" verticalDpi="4294967295"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45"/>
  <sheetViews>
    <sheetView zoomScale="106" zoomScaleNormal="106" workbookViewId="0">
      <selection activeCell="L21" sqref="L21"/>
    </sheetView>
  </sheetViews>
  <sheetFormatPr baseColWidth="10" defaultColWidth="11.42578125" defaultRowHeight="16.5"/>
  <cols>
    <col min="1" max="1" width="33" style="2" customWidth="1"/>
    <col min="2" max="2" width="20.7109375" style="2" customWidth="1"/>
    <col min="3" max="3" width="12" style="2" customWidth="1"/>
    <col min="4" max="4" width="13.85546875" style="2" customWidth="1"/>
    <col min="5" max="5" width="11.42578125" style="2"/>
    <col min="6" max="6" width="16.140625" style="2" customWidth="1"/>
    <col min="7" max="7" width="16.7109375" style="2" customWidth="1"/>
    <col min="8" max="16384" width="11.42578125" style="2"/>
  </cols>
  <sheetData>
    <row r="1" spans="1:7" ht="77.25" customHeight="1" thickBot="1">
      <c r="A1" s="918"/>
      <c r="B1" s="919"/>
      <c r="C1" s="919"/>
      <c r="D1" s="704" t="s">
        <v>388</v>
      </c>
      <c r="E1" s="705"/>
      <c r="F1" s="705"/>
      <c r="G1" s="706"/>
    </row>
    <row r="2" spans="1:7" ht="22.5" customHeight="1" thickBot="1">
      <c r="A2" s="8"/>
      <c r="B2" s="8"/>
      <c r="C2" s="8"/>
      <c r="D2" s="9"/>
      <c r="E2" s="9"/>
      <c r="F2" s="9"/>
      <c r="G2" s="9"/>
    </row>
    <row r="3" spans="1:7" ht="23.25" customHeight="1" thickBot="1">
      <c r="A3" s="747" t="str">
        <f>+'AU  Consul P2'!A3:I3</f>
        <v>SECRETARÍA DE TALENTO HUMANO Y SERVICIOS ADMINISTRATIVOS- DIRECCIÓN DE SERVICIOS GENERALES</v>
      </c>
      <c r="B3" s="748"/>
      <c r="C3" s="748"/>
      <c r="D3" s="748"/>
      <c r="E3" s="748"/>
      <c r="F3" s="748"/>
      <c r="G3" s="749"/>
    </row>
    <row r="4" spans="1:7" s="1" customFormat="1" ht="35.2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thickBot="1">
      <c r="A5" s="364" t="s">
        <v>389</v>
      </c>
      <c r="B5" s="372">
        <f>+'PRESUPUESTO OFICIAL 2026'!B34</f>
        <v>3.4</v>
      </c>
      <c r="C5" s="3"/>
      <c r="D5" s="3"/>
      <c r="E5" s="3"/>
      <c r="F5" s="7" t="s">
        <v>391</v>
      </c>
      <c r="G5" s="363" t="str">
        <f>+'PRESUPUESTO OFICIAL 2026'!H34</f>
        <v>GLO</v>
      </c>
    </row>
    <row r="6" spans="1:7" ht="81" customHeight="1" thickBot="1">
      <c r="A6" s="10" t="s">
        <v>392</v>
      </c>
      <c r="B6" s="974" t="s">
        <v>471</v>
      </c>
      <c r="C6" s="971"/>
      <c r="D6" s="971"/>
      <c r="E6" s="971"/>
      <c r="F6" s="971"/>
      <c r="G6" s="972"/>
    </row>
    <row r="8" spans="1:7" ht="17.25" thickBot="1">
      <c r="A8" s="923" t="s">
        <v>394</v>
      </c>
      <c r="B8" s="923"/>
    </row>
    <row r="9" spans="1:7">
      <c r="A9" s="924" t="s">
        <v>395</v>
      </c>
      <c r="B9" s="925"/>
      <c r="C9" s="13" t="s">
        <v>396</v>
      </c>
      <c r="D9" s="13" t="s">
        <v>397</v>
      </c>
      <c r="E9" s="13" t="s">
        <v>398</v>
      </c>
      <c r="F9" s="13" t="s">
        <v>399</v>
      </c>
      <c r="G9" s="14"/>
    </row>
    <row r="10" spans="1:7">
      <c r="A10" s="926" t="s">
        <v>427</v>
      </c>
      <c r="B10" s="927"/>
      <c r="C10" s="26" t="s">
        <v>428</v>
      </c>
      <c r="D10" s="21">
        <f>G43</f>
        <v>101190.23337312414</v>
      </c>
      <c r="E10" s="335">
        <v>0.05</v>
      </c>
      <c r="F10" s="22">
        <f>E10*D10</f>
        <v>5059.5116686562069</v>
      </c>
      <c r="G10" s="15"/>
    </row>
    <row r="11" spans="1:7" ht="17.25" thickBot="1">
      <c r="A11" s="928"/>
      <c r="B11" s="929"/>
      <c r="C11" s="24"/>
      <c r="D11" s="24"/>
      <c r="E11" s="368"/>
      <c r="F11" s="326">
        <f>E11*D11</f>
        <v>0</v>
      </c>
      <c r="G11" s="17"/>
    </row>
    <row r="12" spans="1:7" ht="17.25" thickBot="1">
      <c r="F12" s="4" t="s">
        <v>400</v>
      </c>
      <c r="G12" s="25">
        <f>SUM(F10:F11)</f>
        <v>5059.5116686562069</v>
      </c>
    </row>
    <row r="13" spans="1:7">
      <c r="F13" s="4"/>
      <c r="G13" s="336"/>
    </row>
    <row r="14" spans="1:7" ht="17.25" thickBot="1">
      <c r="A14" s="930" t="s">
        <v>401</v>
      </c>
      <c r="B14" s="930"/>
    </row>
    <row r="15" spans="1:7">
      <c r="A15" s="931" t="s">
        <v>395</v>
      </c>
      <c r="B15" s="932"/>
      <c r="C15" s="13" t="s">
        <v>402</v>
      </c>
      <c r="D15" s="13" t="s">
        <v>403</v>
      </c>
      <c r="E15" s="13" t="s">
        <v>404</v>
      </c>
      <c r="F15" s="13" t="s">
        <v>399</v>
      </c>
      <c r="G15" s="18"/>
    </row>
    <row r="16" spans="1:7" ht="16.5" customHeight="1">
      <c r="A16" s="916"/>
      <c r="B16" s="917"/>
      <c r="C16" s="323"/>
      <c r="D16" s="366"/>
      <c r="E16" s="371"/>
      <c r="F16" s="22">
        <f t="shared" ref="F16:F21" si="0">+D16*E16</f>
        <v>0</v>
      </c>
      <c r="G16" s="16"/>
    </row>
    <row r="17" spans="1:9">
      <c r="A17" s="916"/>
      <c r="B17" s="917"/>
      <c r="C17" s="338"/>
      <c r="D17" s="366"/>
      <c r="E17" s="371"/>
      <c r="F17" s="22">
        <f t="shared" si="0"/>
        <v>0</v>
      </c>
      <c r="G17" s="16"/>
    </row>
    <row r="18" spans="1:9">
      <c r="A18" s="935"/>
      <c r="B18" s="936"/>
      <c r="C18" s="323"/>
      <c r="D18" s="366"/>
      <c r="E18" s="342"/>
      <c r="F18" s="22">
        <f t="shared" si="0"/>
        <v>0</v>
      </c>
      <c r="G18" s="343"/>
    </row>
    <row r="19" spans="1:9">
      <c r="A19" s="933"/>
      <c r="B19" s="934"/>
      <c r="C19" s="338"/>
      <c r="D19" s="367"/>
      <c r="E19" s="342"/>
      <c r="F19" s="22">
        <f t="shared" si="0"/>
        <v>0</v>
      </c>
      <c r="G19" s="343"/>
    </row>
    <row r="20" spans="1:9">
      <c r="A20" s="933"/>
      <c r="B20" s="934"/>
      <c r="C20" s="338"/>
      <c r="D20" s="367"/>
      <c r="E20" s="342"/>
      <c r="F20" s="22">
        <f t="shared" si="0"/>
        <v>0</v>
      </c>
      <c r="G20" s="343"/>
    </row>
    <row r="21" spans="1:9" ht="17.25" thickBot="1">
      <c r="A21" s="946"/>
      <c r="B21" s="973"/>
      <c r="C21" s="325"/>
      <c r="D21" s="344"/>
      <c r="E21" s="345"/>
      <c r="F21" s="326">
        <f t="shared" si="0"/>
        <v>0</v>
      </c>
      <c r="G21" s="346"/>
    </row>
    <row r="22" spans="1:9" ht="17.25" thickBot="1">
      <c r="A22" s="941"/>
      <c r="B22" s="941"/>
      <c r="F22" s="4" t="s">
        <v>400</v>
      </c>
      <c r="G22" s="25">
        <f>SUM(F21,F20,F19,F18,F17,F16)</f>
        <v>0</v>
      </c>
      <c r="I22" s="83"/>
    </row>
    <row r="23" spans="1:9" ht="17.25" thickBot="1">
      <c r="A23" s="930" t="s">
        <v>405</v>
      </c>
      <c r="B23" s="930"/>
    </row>
    <row r="24" spans="1:9">
      <c r="A24" s="931" t="s">
        <v>395</v>
      </c>
      <c r="B24" s="932"/>
      <c r="C24" s="13" t="s">
        <v>402</v>
      </c>
      <c r="D24" s="13" t="s">
        <v>403</v>
      </c>
      <c r="E24" s="13" t="s">
        <v>404</v>
      </c>
      <c r="F24" s="13" t="s">
        <v>399</v>
      </c>
      <c r="G24" s="18"/>
    </row>
    <row r="25" spans="1:9">
      <c r="A25" s="984" t="s">
        <v>439</v>
      </c>
      <c r="B25" s="984"/>
      <c r="C25" s="522" t="s">
        <v>440</v>
      </c>
      <c r="D25" s="516">
        <v>3400</v>
      </c>
      <c r="E25" s="504">
        <v>0.2</v>
      </c>
      <c r="F25" s="22">
        <f>D25*E25</f>
        <v>680</v>
      </c>
      <c r="G25" s="16"/>
      <c r="I25" s="151"/>
    </row>
    <row r="26" spans="1:9">
      <c r="A26" s="916" t="s">
        <v>470</v>
      </c>
      <c r="B26" s="917"/>
      <c r="C26" s="338" t="s">
        <v>440</v>
      </c>
      <c r="D26" s="511">
        <v>44600</v>
      </c>
      <c r="E26" s="469">
        <v>0.3</v>
      </c>
      <c r="F26" s="22">
        <f>D26*E26</f>
        <v>13380</v>
      </c>
      <c r="G26" s="16"/>
      <c r="H26" s="380"/>
      <c r="I26" s="378"/>
    </row>
    <row r="27" spans="1:9">
      <c r="A27" s="933"/>
      <c r="B27" s="944"/>
      <c r="C27" s="323"/>
      <c r="D27" s="324"/>
      <c r="E27" s="347"/>
      <c r="F27" s="22">
        <f>+D27*E27</f>
        <v>0</v>
      </c>
      <c r="G27" s="16"/>
    </row>
    <row r="28" spans="1:9">
      <c r="A28" s="933"/>
      <c r="B28" s="934"/>
      <c r="C28" s="323"/>
      <c r="D28" s="348"/>
      <c r="E28" s="347"/>
      <c r="F28" s="22">
        <f>+D28*E28</f>
        <v>0</v>
      </c>
      <c r="G28" s="16"/>
    </row>
    <row r="29" spans="1:9">
      <c r="A29" s="945"/>
      <c r="B29" s="944"/>
      <c r="C29" s="323"/>
      <c r="D29" s="324"/>
      <c r="E29" s="347"/>
      <c r="F29" s="22">
        <f>+D29*E29</f>
        <v>0</v>
      </c>
      <c r="G29" s="16"/>
    </row>
    <row r="30" spans="1:9">
      <c r="A30" s="945"/>
      <c r="B30" s="944"/>
      <c r="C30" s="323"/>
      <c r="D30" s="324"/>
      <c r="E30" s="347"/>
      <c r="F30" s="22">
        <f>+D30*E30</f>
        <v>0</v>
      </c>
      <c r="G30" s="16"/>
    </row>
    <row r="31" spans="1:9" ht="17.25" thickBot="1">
      <c r="A31" s="946"/>
      <c r="B31" s="947"/>
      <c r="C31" s="325"/>
      <c r="D31" s="349"/>
      <c r="E31" s="350"/>
      <c r="F31" s="326">
        <f>+D31*E31</f>
        <v>0</v>
      </c>
      <c r="G31" s="17"/>
    </row>
    <row r="32" spans="1:9" ht="17.25" thickBot="1">
      <c r="F32" s="4" t="s">
        <v>400</v>
      </c>
      <c r="G32" s="11">
        <f>SUM(F25:F31)</f>
        <v>14060</v>
      </c>
    </row>
    <row r="33" spans="1:7" ht="17.25" thickBot="1">
      <c r="A33" s="923" t="s">
        <v>410</v>
      </c>
      <c r="B33" s="923"/>
    </row>
    <row r="34" spans="1:7">
      <c r="A34" s="12" t="s">
        <v>411</v>
      </c>
      <c r="B34" s="13" t="s">
        <v>412</v>
      </c>
      <c r="C34" s="13" t="s">
        <v>413</v>
      </c>
      <c r="D34" s="13" t="s">
        <v>414</v>
      </c>
      <c r="E34" s="13" t="s">
        <v>415</v>
      </c>
      <c r="F34" s="13" t="s">
        <v>399</v>
      </c>
      <c r="G34" s="18"/>
    </row>
    <row r="35" spans="1:7">
      <c r="A35" s="351"/>
      <c r="B35" s="32"/>
      <c r="C35" s="352"/>
      <c r="D35" s="352"/>
      <c r="E35" s="81"/>
      <c r="F35" s="22"/>
      <c r="G35" s="19"/>
    </row>
    <row r="36" spans="1:7">
      <c r="A36" s="353" t="s">
        <v>416</v>
      </c>
      <c r="B36" s="354" t="s">
        <v>417</v>
      </c>
      <c r="C36" s="354" t="s">
        <v>193</v>
      </c>
      <c r="D36" s="354" t="s">
        <v>418</v>
      </c>
      <c r="E36" s="354" t="s">
        <v>398</v>
      </c>
      <c r="F36" s="354" t="s">
        <v>399</v>
      </c>
      <c r="G36" s="19"/>
    </row>
    <row r="37" spans="1:7">
      <c r="A37" s="28"/>
      <c r="B37" s="355"/>
      <c r="C37" s="355"/>
      <c r="D37" s="81"/>
      <c r="E37" s="27"/>
      <c r="F37" s="22">
        <f>+D37*E37</f>
        <v>0</v>
      </c>
      <c r="G37" s="16"/>
    </row>
    <row r="38" spans="1:7" ht="17.25" thickBot="1">
      <c r="A38" s="29"/>
      <c r="B38" s="24"/>
      <c r="C38" s="24"/>
      <c r="D38" s="24"/>
      <c r="E38" s="33"/>
      <c r="F38" s="33"/>
      <c r="G38" s="17"/>
    </row>
    <row r="39" spans="1:7" ht="17.25" thickBot="1">
      <c r="F39" s="4" t="s">
        <v>400</v>
      </c>
      <c r="G39" s="11">
        <f>SUM(F35:F38)</f>
        <v>0</v>
      </c>
    </row>
    <row r="40" spans="1:7" ht="17.25" thickBot="1">
      <c r="A40" s="923" t="s">
        <v>419</v>
      </c>
      <c r="B40" s="923"/>
    </row>
    <row r="41" spans="1:7">
      <c r="A41" s="12" t="s">
        <v>416</v>
      </c>
      <c r="B41" s="13" t="s">
        <v>417</v>
      </c>
      <c r="C41" s="13" t="s">
        <v>193</v>
      </c>
      <c r="D41" s="13" t="s">
        <v>418</v>
      </c>
      <c r="E41" s="13" t="s">
        <v>398</v>
      </c>
      <c r="F41" s="13" t="s">
        <v>399</v>
      </c>
      <c r="G41" s="18"/>
    </row>
    <row r="42" spans="1:7" ht="17.25" thickBot="1">
      <c r="A42" s="356" t="str">
        <f>+Insumos!B30</f>
        <v>Cuadrilla (Electrico + Ayudante)</v>
      </c>
      <c r="B42" s="326">
        <f>+Insumos!C40</f>
        <v>26152.364711232374</v>
      </c>
      <c r="C42" s="326">
        <f>+Insumos!D40</f>
        <v>14323.728638017281</v>
      </c>
      <c r="D42" s="326">
        <f>+C42+B42</f>
        <v>40476.093349249655</v>
      </c>
      <c r="E42" s="361">
        <v>2.5</v>
      </c>
      <c r="F42" s="326">
        <f>D42*E42</f>
        <v>101190.23337312414</v>
      </c>
      <c r="G42" s="357"/>
    </row>
    <row r="43" spans="1:7" ht="17.25" thickBot="1">
      <c r="F43" s="4" t="s">
        <v>400</v>
      </c>
      <c r="G43" s="11">
        <f>SUM(F42:F42)</f>
        <v>101190.23337312414</v>
      </c>
    </row>
    <row r="44" spans="1:7" ht="17.25" thickBot="1"/>
    <row r="45" spans="1:7" ht="17.25" thickBot="1">
      <c r="F45" s="4" t="s">
        <v>420</v>
      </c>
      <c r="G45" s="71">
        <f>SUM(G43,G39,G32,G22,G12)</f>
        <v>120309.74504178035</v>
      </c>
    </row>
  </sheetData>
  <mergeCells count="29">
    <mergeCell ref="A29:B29"/>
    <mergeCell ref="A30:B30"/>
    <mergeCell ref="A31:B31"/>
    <mergeCell ref="A33:B33"/>
    <mergeCell ref="A40:B40"/>
    <mergeCell ref="A28:B28"/>
    <mergeCell ref="A17:B17"/>
    <mergeCell ref="A18:B18"/>
    <mergeCell ref="A19:B19"/>
    <mergeCell ref="A20:B20"/>
    <mergeCell ref="A21:B21"/>
    <mergeCell ref="A22:B22"/>
    <mergeCell ref="A23:B23"/>
    <mergeCell ref="A24:B24"/>
    <mergeCell ref="A25:B25"/>
    <mergeCell ref="A26:B26"/>
    <mergeCell ref="A27:B27"/>
    <mergeCell ref="A16:B16"/>
    <mergeCell ref="A1:C1"/>
    <mergeCell ref="D1:G1"/>
    <mergeCell ref="A3:G3"/>
    <mergeCell ref="A4:G4"/>
    <mergeCell ref="B6:G6"/>
    <mergeCell ref="A8:B8"/>
    <mergeCell ref="A9:B9"/>
    <mergeCell ref="A10:B10"/>
    <mergeCell ref="A11:B11"/>
    <mergeCell ref="A14:B14"/>
    <mergeCell ref="A15:B15"/>
  </mergeCells>
  <pageMargins left="0.7" right="0.7" top="0.75" bottom="0.75" header="0.3" footer="0.3"/>
  <pageSetup orientation="portrait" horizontalDpi="4294967295" verticalDpi="4294967295"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D693F-397A-44F5-A947-DF08ABD81A81}">
  <dimension ref="A1:I45"/>
  <sheetViews>
    <sheetView topLeftCell="A19" zoomScale="106" zoomScaleNormal="106" workbookViewId="0">
      <selection activeCell="J46" sqref="J46"/>
    </sheetView>
  </sheetViews>
  <sheetFormatPr baseColWidth="10" defaultColWidth="11.42578125" defaultRowHeight="16.5"/>
  <cols>
    <col min="1" max="1" width="33" style="2" customWidth="1"/>
    <col min="2" max="2" width="20.7109375" style="2" customWidth="1"/>
    <col min="3" max="3" width="12" style="2" customWidth="1"/>
    <col min="4" max="4" width="13.85546875" style="2" customWidth="1"/>
    <col min="5" max="5" width="9.140625" style="2"/>
    <col min="6" max="6" width="16.140625" style="2" customWidth="1"/>
    <col min="7" max="7" width="16.7109375" style="2" customWidth="1"/>
    <col min="8" max="16384" width="11.42578125" style="2"/>
  </cols>
  <sheetData>
    <row r="1" spans="1:7" ht="77.25" customHeight="1">
      <c r="A1" s="918"/>
      <c r="B1" s="919"/>
      <c r="C1" s="919"/>
      <c r="D1" s="704" t="s">
        <v>388</v>
      </c>
      <c r="E1" s="705"/>
      <c r="F1" s="705"/>
      <c r="G1" s="706"/>
    </row>
    <row r="2" spans="1:7" ht="22.5" customHeight="1">
      <c r="A2" s="8"/>
      <c r="B2" s="8"/>
      <c r="C2" s="8"/>
      <c r="D2" s="9"/>
      <c r="E2" s="9"/>
      <c r="F2" s="9"/>
      <c r="G2" s="9"/>
    </row>
    <row r="3" spans="1:7" ht="23.25" customHeight="1">
      <c r="A3" s="747" t="str">
        <f>+'AU  Consul P2'!A3:I3</f>
        <v>SECRETARÍA DE TALENTO HUMANO Y SERVICIOS ADMINISTRATIVOS- DIRECCIÓN DE SERVICIOS GENERALES</v>
      </c>
      <c r="B3" s="748"/>
      <c r="C3" s="748"/>
      <c r="D3" s="748"/>
      <c r="E3" s="748"/>
      <c r="F3" s="748"/>
      <c r="G3" s="749"/>
    </row>
    <row r="4" spans="1:7" s="1" customFormat="1" ht="35.25" customHeigh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c r="A5" s="364" t="s">
        <v>389</v>
      </c>
      <c r="B5" s="372">
        <f>+'PRESUPUESTO OFICIAL 2026'!B35</f>
        <v>3.5</v>
      </c>
      <c r="C5" s="3"/>
      <c r="D5" s="3"/>
      <c r="E5" s="3"/>
      <c r="F5" s="7" t="s">
        <v>391</v>
      </c>
      <c r="G5" s="363" t="str">
        <f>+'PRESUPUESTO OFICIAL 2026'!H35</f>
        <v xml:space="preserve">GLO </v>
      </c>
    </row>
    <row r="6" spans="1:7" ht="51" customHeight="1">
      <c r="A6" s="10" t="s">
        <v>392</v>
      </c>
      <c r="B6" s="974" t="s">
        <v>355</v>
      </c>
      <c r="C6" s="971"/>
      <c r="D6" s="971"/>
      <c r="E6" s="971"/>
      <c r="F6" s="971"/>
      <c r="G6" s="972"/>
    </row>
    <row r="8" spans="1:7">
      <c r="A8" s="923" t="s">
        <v>394</v>
      </c>
      <c r="B8" s="923"/>
    </row>
    <row r="9" spans="1:7">
      <c r="A9" s="924" t="s">
        <v>395</v>
      </c>
      <c r="B9" s="925"/>
      <c r="C9" s="13" t="s">
        <v>396</v>
      </c>
      <c r="D9" s="13" t="s">
        <v>397</v>
      </c>
      <c r="E9" s="13" t="s">
        <v>398</v>
      </c>
      <c r="F9" s="13" t="s">
        <v>399</v>
      </c>
      <c r="G9" s="14"/>
    </row>
    <row r="10" spans="1:7">
      <c r="A10" s="926" t="s">
        <v>427</v>
      </c>
      <c r="B10" s="927"/>
      <c r="C10" s="26" t="s">
        <v>428</v>
      </c>
      <c r="D10" s="21">
        <f>G43</f>
        <v>252069.80668485674</v>
      </c>
      <c r="E10" s="335">
        <v>0.05</v>
      </c>
      <c r="F10" s="22">
        <f>E10*D10</f>
        <v>12603.490334242837</v>
      </c>
      <c r="G10" s="15"/>
    </row>
    <row r="11" spans="1:7">
      <c r="A11" s="928"/>
      <c r="B11" s="929"/>
      <c r="C11" s="24"/>
      <c r="D11" s="24"/>
      <c r="E11" s="368"/>
      <c r="F11" s="326">
        <f>E11*D11</f>
        <v>0</v>
      </c>
      <c r="G11" s="17"/>
    </row>
    <row r="12" spans="1:7">
      <c r="F12" s="4" t="s">
        <v>400</v>
      </c>
      <c r="G12" s="25">
        <f>SUM(F10:F11)</f>
        <v>12603.490334242837</v>
      </c>
    </row>
    <row r="13" spans="1:7">
      <c r="F13" s="4"/>
      <c r="G13" s="336"/>
    </row>
    <row r="14" spans="1:7">
      <c r="A14" s="930" t="s">
        <v>401</v>
      </c>
      <c r="B14" s="930"/>
    </row>
    <row r="15" spans="1:7">
      <c r="A15" s="931" t="s">
        <v>395</v>
      </c>
      <c r="B15" s="932"/>
      <c r="C15" s="13" t="s">
        <v>402</v>
      </c>
      <c r="D15" s="13" t="s">
        <v>403</v>
      </c>
      <c r="E15" s="13" t="s">
        <v>404</v>
      </c>
      <c r="F15" s="13" t="s">
        <v>399</v>
      </c>
      <c r="G15" s="18"/>
    </row>
    <row r="16" spans="1:7" ht="16.5" customHeight="1">
      <c r="A16" s="916"/>
      <c r="B16" s="917"/>
      <c r="C16" s="323"/>
      <c r="D16" s="366"/>
      <c r="E16" s="371"/>
      <c r="F16" s="22">
        <f t="shared" ref="F16:F21" si="0">+D16*E16</f>
        <v>0</v>
      </c>
      <c r="G16" s="16"/>
    </row>
    <row r="17" spans="1:9">
      <c r="A17" s="916"/>
      <c r="B17" s="917"/>
      <c r="C17" s="338"/>
      <c r="D17" s="366"/>
      <c r="E17" s="371"/>
      <c r="F17" s="22">
        <f t="shared" si="0"/>
        <v>0</v>
      </c>
      <c r="G17" s="16"/>
    </row>
    <row r="18" spans="1:9">
      <c r="A18" s="935"/>
      <c r="B18" s="936"/>
      <c r="C18" s="323"/>
      <c r="D18" s="366"/>
      <c r="E18" s="342"/>
      <c r="F18" s="22">
        <f t="shared" si="0"/>
        <v>0</v>
      </c>
      <c r="G18" s="343"/>
    </row>
    <row r="19" spans="1:9">
      <c r="A19" s="933"/>
      <c r="B19" s="934"/>
      <c r="C19" s="338"/>
      <c r="D19" s="367"/>
      <c r="E19" s="342"/>
      <c r="F19" s="22">
        <f t="shared" si="0"/>
        <v>0</v>
      </c>
      <c r="G19" s="343"/>
    </row>
    <row r="20" spans="1:9">
      <c r="A20" s="933"/>
      <c r="B20" s="934"/>
      <c r="C20" s="338"/>
      <c r="D20" s="367"/>
      <c r="E20" s="342"/>
      <c r="F20" s="22">
        <f t="shared" si="0"/>
        <v>0</v>
      </c>
      <c r="G20" s="343"/>
    </row>
    <row r="21" spans="1:9">
      <c r="A21" s="946"/>
      <c r="B21" s="973"/>
      <c r="C21" s="325"/>
      <c r="D21" s="344"/>
      <c r="E21" s="345"/>
      <c r="F21" s="326">
        <f t="shared" si="0"/>
        <v>0</v>
      </c>
      <c r="G21" s="346"/>
    </row>
    <row r="22" spans="1:9">
      <c r="A22" s="941"/>
      <c r="B22" s="941"/>
      <c r="F22" s="4" t="s">
        <v>400</v>
      </c>
      <c r="G22" s="25">
        <f>SUM(F21,F20,F19,F18,F17,F16)</f>
        <v>0</v>
      </c>
      <c r="I22" s="83"/>
    </row>
    <row r="23" spans="1:9">
      <c r="A23" s="930" t="s">
        <v>405</v>
      </c>
      <c r="B23" s="930"/>
    </row>
    <row r="24" spans="1:9">
      <c r="A24" s="931" t="s">
        <v>395</v>
      </c>
      <c r="B24" s="932"/>
      <c r="C24" s="13" t="s">
        <v>402</v>
      </c>
      <c r="D24" s="13" t="s">
        <v>403</v>
      </c>
      <c r="E24" s="13" t="s">
        <v>404</v>
      </c>
      <c r="F24" s="13" t="s">
        <v>399</v>
      </c>
      <c r="G24" s="18"/>
    </row>
    <row r="25" spans="1:9">
      <c r="A25" s="984"/>
      <c r="B25" s="984"/>
      <c r="C25" s="522"/>
      <c r="D25" s="516"/>
      <c r="E25" s="504"/>
      <c r="F25" s="22">
        <f>D25*E25</f>
        <v>0</v>
      </c>
      <c r="G25" s="16"/>
      <c r="I25" s="151"/>
    </row>
    <row r="26" spans="1:9">
      <c r="A26" s="916"/>
      <c r="B26" s="917"/>
      <c r="C26" s="338"/>
      <c r="D26" s="511"/>
      <c r="E26" s="469"/>
      <c r="F26" s="22">
        <f>D26*E26</f>
        <v>0</v>
      </c>
      <c r="G26" s="16"/>
      <c r="H26" s="380"/>
      <c r="I26" s="378"/>
    </row>
    <row r="27" spans="1:9">
      <c r="A27" s="933"/>
      <c r="B27" s="944"/>
      <c r="C27" s="323"/>
      <c r="D27" s="324"/>
      <c r="E27" s="347"/>
      <c r="F27" s="22">
        <f>+D27*E27</f>
        <v>0</v>
      </c>
      <c r="G27" s="16"/>
    </row>
    <row r="28" spans="1:9">
      <c r="A28" s="933"/>
      <c r="B28" s="934"/>
      <c r="C28" s="323"/>
      <c r="D28" s="348"/>
      <c r="E28" s="347"/>
      <c r="F28" s="22">
        <f>+D28*E28</f>
        <v>0</v>
      </c>
      <c r="G28" s="16"/>
    </row>
    <row r="29" spans="1:9">
      <c r="A29" s="945"/>
      <c r="B29" s="944"/>
      <c r="C29" s="323"/>
      <c r="D29" s="324"/>
      <c r="E29" s="347"/>
      <c r="F29" s="22">
        <f>+D29*E29</f>
        <v>0</v>
      </c>
      <c r="G29" s="16"/>
    </row>
    <row r="30" spans="1:9">
      <c r="A30" s="945"/>
      <c r="B30" s="944"/>
      <c r="C30" s="323"/>
      <c r="D30" s="324"/>
      <c r="E30" s="347"/>
      <c r="F30" s="22">
        <f>+D30*E30</f>
        <v>0</v>
      </c>
      <c r="G30" s="16"/>
    </row>
    <row r="31" spans="1:9">
      <c r="A31" s="946"/>
      <c r="B31" s="947"/>
      <c r="C31" s="325"/>
      <c r="D31" s="349"/>
      <c r="E31" s="350"/>
      <c r="F31" s="326">
        <f>+D31*E31</f>
        <v>0</v>
      </c>
      <c r="G31" s="17"/>
    </row>
    <row r="32" spans="1:9">
      <c r="F32" s="4" t="s">
        <v>400</v>
      </c>
      <c r="G32" s="11">
        <f>SUM(F25:F31)</f>
        <v>0</v>
      </c>
    </row>
    <row r="33" spans="1:7">
      <c r="A33" s="923" t="s">
        <v>410</v>
      </c>
      <c r="B33" s="923"/>
    </row>
    <row r="34" spans="1:7">
      <c r="A34" s="12" t="s">
        <v>411</v>
      </c>
      <c r="B34" s="13" t="s">
        <v>412</v>
      </c>
      <c r="C34" s="13" t="s">
        <v>413</v>
      </c>
      <c r="D34" s="13" t="s">
        <v>414</v>
      </c>
      <c r="E34" s="13" t="s">
        <v>415</v>
      </c>
      <c r="F34" s="13" t="s">
        <v>399</v>
      </c>
      <c r="G34" s="18"/>
    </row>
    <row r="35" spans="1:7">
      <c r="A35" s="351"/>
      <c r="B35" s="32"/>
      <c r="C35" s="352"/>
      <c r="D35" s="352"/>
      <c r="E35" s="81"/>
      <c r="F35" s="22"/>
      <c r="G35" s="19"/>
    </row>
    <row r="36" spans="1:7">
      <c r="A36" s="353" t="s">
        <v>416</v>
      </c>
      <c r="B36" s="354" t="s">
        <v>417</v>
      </c>
      <c r="C36" s="354" t="s">
        <v>193</v>
      </c>
      <c r="D36" s="354" t="s">
        <v>418</v>
      </c>
      <c r="E36" s="354" t="s">
        <v>398</v>
      </c>
      <c r="F36" s="354" t="s">
        <v>399</v>
      </c>
      <c r="G36" s="19"/>
    </row>
    <row r="37" spans="1:7">
      <c r="A37" s="28"/>
      <c r="B37" s="355"/>
      <c r="C37" s="355"/>
      <c r="D37" s="81"/>
      <c r="E37" s="27"/>
      <c r="F37" s="22">
        <f>+D37*E37</f>
        <v>0</v>
      </c>
      <c r="G37" s="16"/>
    </row>
    <row r="38" spans="1:7">
      <c r="A38" s="29"/>
      <c r="B38" s="24"/>
      <c r="C38" s="24"/>
      <c r="D38" s="24"/>
      <c r="E38" s="33"/>
      <c r="F38" s="33"/>
      <c r="G38" s="17"/>
    </row>
    <row r="39" spans="1:7">
      <c r="F39" s="4" t="s">
        <v>400</v>
      </c>
      <c r="G39" s="11">
        <f>SUM(F35:F38)</f>
        <v>0</v>
      </c>
    </row>
    <row r="40" spans="1:7">
      <c r="A40" s="923" t="s">
        <v>419</v>
      </c>
      <c r="B40" s="923"/>
    </row>
    <row r="41" spans="1:7">
      <c r="A41" s="12" t="s">
        <v>416</v>
      </c>
      <c r="B41" s="13" t="s">
        <v>417</v>
      </c>
      <c r="C41" s="13" t="s">
        <v>193</v>
      </c>
      <c r="D41" s="13" t="s">
        <v>418</v>
      </c>
      <c r="E41" s="13" t="s">
        <v>398</v>
      </c>
      <c r="F41" s="13" t="s">
        <v>399</v>
      </c>
      <c r="G41" s="18"/>
    </row>
    <row r="42" spans="1:7">
      <c r="A42" s="356" t="str">
        <f>+Insumos!B42</f>
        <v>Ingeniero HVAC Automatización</v>
      </c>
      <c r="B42" s="356">
        <f>+Insumos!C18/7.33</f>
        <v>31849.113233287859</v>
      </c>
      <c r="C42" s="356">
        <f>+Insumos!D18/7.33</f>
        <v>18564.848103683489</v>
      </c>
      <c r="D42" s="326">
        <f>+C42+B42</f>
        <v>50413.961336971348</v>
      </c>
      <c r="E42" s="361">
        <v>5</v>
      </c>
      <c r="F42" s="326">
        <f>D42*E42</f>
        <v>252069.80668485674</v>
      </c>
      <c r="G42" s="357"/>
    </row>
    <row r="43" spans="1:7">
      <c r="F43" s="4" t="s">
        <v>400</v>
      </c>
      <c r="G43" s="11">
        <f>SUM(F42:F42)</f>
        <v>252069.80668485674</v>
      </c>
    </row>
    <row r="45" spans="1:7">
      <c r="F45" s="4" t="s">
        <v>420</v>
      </c>
      <c r="G45" s="71">
        <f>SUM(G43,G39,G32,G22,G12)</f>
        <v>264673.29701909958</v>
      </c>
    </row>
  </sheetData>
  <mergeCells count="29">
    <mergeCell ref="A16:B16"/>
    <mergeCell ref="A1:C1"/>
    <mergeCell ref="D1:G1"/>
    <mergeCell ref="A3:G3"/>
    <mergeCell ref="A4:G4"/>
    <mergeCell ref="B6:G6"/>
    <mergeCell ref="A8:B8"/>
    <mergeCell ref="A9:B9"/>
    <mergeCell ref="A10:B10"/>
    <mergeCell ref="A11:B11"/>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29:B29"/>
    <mergeCell ref="A30:B30"/>
    <mergeCell ref="A31:B31"/>
    <mergeCell ref="A33:B33"/>
    <mergeCell ref="A40:B40"/>
  </mergeCells>
  <pageMargins left="0.7" right="0.7" top="0.75" bottom="0.75" header="0.3" footer="0.3"/>
  <pageSetup orientation="portrait" horizontalDpi="4294967295" verticalDpi="4294967295"/>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7E874-72B1-461F-B3B8-D9D1399144CA}">
  <dimension ref="A1:I45"/>
  <sheetViews>
    <sheetView topLeftCell="A2" zoomScale="96" zoomScaleNormal="96" workbookViewId="0">
      <selection activeCell="K35" sqref="K35"/>
    </sheetView>
  </sheetViews>
  <sheetFormatPr baseColWidth="10" defaultColWidth="11.42578125" defaultRowHeight="16.5"/>
  <cols>
    <col min="1" max="1" width="33" style="2" customWidth="1"/>
    <col min="2" max="2" width="20.7109375" style="2" customWidth="1"/>
    <col min="3" max="3" width="12" style="2" customWidth="1"/>
    <col min="4" max="4" width="13.85546875" style="2" customWidth="1"/>
    <col min="5" max="5" width="9.140625" style="2"/>
    <col min="6" max="6" width="16.140625" style="2" customWidth="1"/>
    <col min="7" max="7" width="16.7109375" style="2" customWidth="1"/>
    <col min="8" max="16384" width="11.42578125" style="2"/>
  </cols>
  <sheetData>
    <row r="1" spans="1:7" ht="77.25" customHeight="1">
      <c r="A1" s="918"/>
      <c r="B1" s="919"/>
      <c r="C1" s="919"/>
      <c r="D1" s="704" t="s">
        <v>388</v>
      </c>
      <c r="E1" s="705"/>
      <c r="F1" s="705"/>
      <c r="G1" s="706"/>
    </row>
    <row r="2" spans="1:7" ht="22.5" customHeight="1">
      <c r="A2" s="8"/>
      <c r="B2" s="8"/>
      <c r="C2" s="8"/>
      <c r="D2" s="9"/>
      <c r="E2" s="9"/>
      <c r="F2" s="9"/>
      <c r="G2" s="9"/>
    </row>
    <row r="3" spans="1:7" ht="23.25" customHeight="1">
      <c r="A3" s="747" t="str">
        <f>+'AU  Consul P2'!A3:I3</f>
        <v>SECRETARÍA DE TALENTO HUMANO Y SERVICIOS ADMINISTRATIVOS- DIRECCIÓN DE SERVICIOS GENERALES</v>
      </c>
      <c r="B3" s="748"/>
      <c r="C3" s="748"/>
      <c r="D3" s="748"/>
      <c r="E3" s="748"/>
      <c r="F3" s="748"/>
      <c r="G3" s="749"/>
    </row>
    <row r="4" spans="1:7" s="1" customFormat="1" ht="35.25" customHeigh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c r="A5" s="364" t="s">
        <v>389</v>
      </c>
      <c r="B5" s="372">
        <f>+'PRESUPUESTO OFICIAL 2026'!B36</f>
        <v>3.6</v>
      </c>
      <c r="C5" s="3"/>
      <c r="D5" s="3"/>
      <c r="E5" s="3"/>
      <c r="F5" s="7" t="s">
        <v>391</v>
      </c>
      <c r="G5" s="363" t="str">
        <f>+'PRESUPUESTO OFICIAL 2026'!H36</f>
        <v xml:space="preserve">GLO </v>
      </c>
    </row>
    <row r="6" spans="1:7" ht="81" customHeight="1">
      <c r="A6" s="10" t="s">
        <v>392</v>
      </c>
      <c r="B6" s="974" t="s">
        <v>356</v>
      </c>
      <c r="C6" s="971"/>
      <c r="D6" s="971"/>
      <c r="E6" s="971"/>
      <c r="F6" s="971"/>
      <c r="G6" s="972"/>
    </row>
    <row r="8" spans="1:7">
      <c r="A8" s="923" t="s">
        <v>394</v>
      </c>
      <c r="B8" s="923"/>
    </row>
    <row r="9" spans="1:7">
      <c r="A9" s="924" t="s">
        <v>395</v>
      </c>
      <c r="B9" s="925"/>
      <c r="C9" s="13" t="s">
        <v>396</v>
      </c>
      <c r="D9" s="13" t="s">
        <v>397</v>
      </c>
      <c r="E9" s="13" t="s">
        <v>398</v>
      </c>
      <c r="F9" s="13" t="s">
        <v>399</v>
      </c>
      <c r="G9" s="14"/>
    </row>
    <row r="10" spans="1:7">
      <c r="A10" s="926" t="s">
        <v>427</v>
      </c>
      <c r="B10" s="927"/>
      <c r="C10" s="26" t="s">
        <v>428</v>
      </c>
      <c r="D10" s="21">
        <f>G43</f>
        <v>121428.28004774897</v>
      </c>
      <c r="E10" s="335">
        <v>0.05</v>
      </c>
      <c r="F10" s="22">
        <f>E10*D10</f>
        <v>6071.4140023874488</v>
      </c>
      <c r="G10" s="15"/>
    </row>
    <row r="11" spans="1:7">
      <c r="A11" s="928"/>
      <c r="B11" s="929"/>
      <c r="C11" s="24"/>
      <c r="D11" s="24"/>
      <c r="E11" s="368"/>
      <c r="F11" s="326">
        <f>E11*D11</f>
        <v>0</v>
      </c>
      <c r="G11" s="17"/>
    </row>
    <row r="12" spans="1:7">
      <c r="F12" s="4" t="s">
        <v>400</v>
      </c>
      <c r="G12" s="25">
        <f>SUM(F10:F11)</f>
        <v>6071.4140023874488</v>
      </c>
    </row>
    <row r="13" spans="1:7">
      <c r="F13" s="4"/>
      <c r="G13" s="336"/>
    </row>
    <row r="14" spans="1:7">
      <c r="A14" s="930" t="s">
        <v>401</v>
      </c>
      <c r="B14" s="930"/>
    </row>
    <row r="15" spans="1:7">
      <c r="A15" s="931" t="s">
        <v>395</v>
      </c>
      <c r="B15" s="932"/>
      <c r="C15" s="13" t="s">
        <v>402</v>
      </c>
      <c r="D15" s="13" t="s">
        <v>403</v>
      </c>
      <c r="E15" s="13" t="s">
        <v>404</v>
      </c>
      <c r="F15" s="13" t="s">
        <v>399</v>
      </c>
      <c r="G15" s="18"/>
    </row>
    <row r="16" spans="1:7" ht="16.5" customHeight="1">
      <c r="A16" s="916"/>
      <c r="B16" s="917"/>
      <c r="C16" s="323"/>
      <c r="D16" s="366"/>
      <c r="E16" s="371"/>
      <c r="F16" s="22">
        <f t="shared" ref="F16:F21" si="0">+D16*E16</f>
        <v>0</v>
      </c>
      <c r="G16" s="16"/>
    </row>
    <row r="17" spans="1:9">
      <c r="A17" s="916"/>
      <c r="B17" s="917"/>
      <c r="C17" s="338"/>
      <c r="D17" s="366"/>
      <c r="E17" s="371"/>
      <c r="F17" s="22">
        <f t="shared" si="0"/>
        <v>0</v>
      </c>
      <c r="G17" s="16"/>
    </row>
    <row r="18" spans="1:9">
      <c r="A18" s="935"/>
      <c r="B18" s="936"/>
      <c r="C18" s="323"/>
      <c r="D18" s="366"/>
      <c r="E18" s="342"/>
      <c r="F18" s="22">
        <f t="shared" si="0"/>
        <v>0</v>
      </c>
      <c r="G18" s="343"/>
    </row>
    <row r="19" spans="1:9">
      <c r="A19" s="933"/>
      <c r="B19" s="934"/>
      <c r="C19" s="338"/>
      <c r="D19" s="367"/>
      <c r="E19" s="342"/>
      <c r="F19" s="22">
        <f t="shared" si="0"/>
        <v>0</v>
      </c>
      <c r="G19" s="343"/>
    </row>
    <row r="20" spans="1:9">
      <c r="A20" s="933"/>
      <c r="B20" s="934"/>
      <c r="C20" s="338"/>
      <c r="D20" s="367"/>
      <c r="E20" s="342"/>
      <c r="F20" s="22">
        <f t="shared" si="0"/>
        <v>0</v>
      </c>
      <c r="G20" s="343"/>
    </row>
    <row r="21" spans="1:9">
      <c r="A21" s="946"/>
      <c r="B21" s="973"/>
      <c r="C21" s="325"/>
      <c r="D21" s="344"/>
      <c r="E21" s="345"/>
      <c r="F21" s="326">
        <f t="shared" si="0"/>
        <v>0</v>
      </c>
      <c r="G21" s="346"/>
    </row>
    <row r="22" spans="1:9">
      <c r="A22" s="941"/>
      <c r="B22" s="941"/>
      <c r="F22" s="4" t="s">
        <v>400</v>
      </c>
      <c r="G22" s="25">
        <f>SUM(F21,F20,F19,F18,F17,F16)</f>
        <v>0</v>
      </c>
      <c r="I22" s="83"/>
    </row>
    <row r="23" spans="1:9">
      <c r="A23" s="930" t="s">
        <v>405</v>
      </c>
      <c r="B23" s="930"/>
      <c r="I23" s="2">
        <v>43500</v>
      </c>
    </row>
    <row r="24" spans="1:9">
      <c r="A24" s="931" t="s">
        <v>395</v>
      </c>
      <c r="B24" s="932"/>
      <c r="C24" s="13" t="s">
        <v>402</v>
      </c>
      <c r="D24" s="13" t="s">
        <v>403</v>
      </c>
      <c r="E24" s="13" t="s">
        <v>404</v>
      </c>
      <c r="F24" s="13" t="s">
        <v>399</v>
      </c>
      <c r="G24" s="18"/>
      <c r="I24" s="2">
        <v>21200</v>
      </c>
    </row>
    <row r="25" spans="1:9">
      <c r="A25" s="916" t="s">
        <v>472</v>
      </c>
      <c r="B25" s="917"/>
      <c r="C25" s="338" t="s">
        <v>440</v>
      </c>
      <c r="D25" s="511">
        <v>33900</v>
      </c>
      <c r="E25" s="469">
        <v>0.2</v>
      </c>
      <c r="F25" s="22">
        <f>D25*E25</f>
        <v>6780</v>
      </c>
      <c r="G25" s="16"/>
      <c r="I25" s="151">
        <v>34900</v>
      </c>
    </row>
    <row r="26" spans="1:9">
      <c r="A26" s="916"/>
      <c r="B26" s="917"/>
      <c r="C26" s="338"/>
      <c r="D26" s="511"/>
      <c r="E26" s="469"/>
      <c r="F26" s="22">
        <f>D26*E26</f>
        <v>0</v>
      </c>
      <c r="G26" s="16"/>
      <c r="H26" s="380"/>
      <c r="I26" s="378">
        <f>AVERAGE(I23:I25)</f>
        <v>33200</v>
      </c>
    </row>
    <row r="27" spans="1:9">
      <c r="A27" s="933"/>
      <c r="B27" s="944"/>
      <c r="C27" s="323"/>
      <c r="D27" s="324"/>
      <c r="E27" s="347"/>
      <c r="F27" s="22">
        <f>D27*E27</f>
        <v>0</v>
      </c>
      <c r="G27" s="16"/>
    </row>
    <row r="28" spans="1:9">
      <c r="A28" s="933"/>
      <c r="B28" s="934"/>
      <c r="C28" s="323"/>
      <c r="D28" s="348"/>
      <c r="E28" s="347"/>
      <c r="F28" s="22">
        <f>+D28*E28</f>
        <v>0</v>
      </c>
      <c r="G28" s="16"/>
    </row>
    <row r="29" spans="1:9">
      <c r="A29" s="945"/>
      <c r="B29" s="944"/>
      <c r="C29" s="323"/>
      <c r="D29" s="324"/>
      <c r="E29" s="347"/>
      <c r="F29" s="22">
        <f>+D29*E29</f>
        <v>0</v>
      </c>
      <c r="G29" s="16"/>
    </row>
    <row r="30" spans="1:9">
      <c r="A30" s="945"/>
      <c r="B30" s="944"/>
      <c r="C30" s="323"/>
      <c r="D30" s="324"/>
      <c r="E30" s="347"/>
      <c r="F30" s="22">
        <f>+D30*E30</f>
        <v>0</v>
      </c>
      <c r="G30" s="16"/>
    </row>
    <row r="31" spans="1:9">
      <c r="A31" s="946"/>
      <c r="B31" s="947"/>
      <c r="C31" s="325"/>
      <c r="D31" s="349"/>
      <c r="E31" s="350"/>
      <c r="F31" s="326">
        <f>+D31*E31</f>
        <v>0</v>
      </c>
      <c r="G31" s="17"/>
    </row>
    <row r="32" spans="1:9">
      <c r="F32" s="4" t="s">
        <v>400</v>
      </c>
      <c r="G32" s="11">
        <f>SUM(F25:F31)</f>
        <v>6780</v>
      </c>
    </row>
    <row r="33" spans="1:7">
      <c r="A33" s="923" t="s">
        <v>410</v>
      </c>
      <c r="B33" s="923"/>
    </row>
    <row r="34" spans="1:7">
      <c r="A34" s="12" t="s">
        <v>411</v>
      </c>
      <c r="B34" s="13" t="s">
        <v>412</v>
      </c>
      <c r="C34" s="13" t="s">
        <v>413</v>
      </c>
      <c r="D34" s="13" t="s">
        <v>414</v>
      </c>
      <c r="E34" s="13" t="s">
        <v>415</v>
      </c>
      <c r="F34" s="13" t="s">
        <v>399</v>
      </c>
      <c r="G34" s="18"/>
    </row>
    <row r="35" spans="1:7">
      <c r="A35" s="351"/>
      <c r="B35" s="32"/>
      <c r="C35" s="352"/>
      <c r="D35" s="352"/>
      <c r="E35" s="81"/>
      <c r="F35" s="22"/>
      <c r="G35" s="19"/>
    </row>
    <row r="36" spans="1:7">
      <c r="A36" s="353" t="s">
        <v>416</v>
      </c>
      <c r="B36" s="354" t="s">
        <v>417</v>
      </c>
      <c r="C36" s="354" t="s">
        <v>193</v>
      </c>
      <c r="D36" s="354" t="s">
        <v>418</v>
      </c>
      <c r="E36" s="354" t="s">
        <v>398</v>
      </c>
      <c r="F36" s="354" t="s">
        <v>399</v>
      </c>
      <c r="G36" s="19"/>
    </row>
    <row r="37" spans="1:7">
      <c r="A37" s="28"/>
      <c r="B37" s="355"/>
      <c r="C37" s="355"/>
      <c r="D37" s="81"/>
      <c r="E37" s="27"/>
      <c r="F37" s="22">
        <f>+D37*E37</f>
        <v>0</v>
      </c>
      <c r="G37" s="16"/>
    </row>
    <row r="38" spans="1:7">
      <c r="A38" s="29"/>
      <c r="B38" s="24"/>
      <c r="C38" s="24"/>
      <c r="D38" s="24"/>
      <c r="E38" s="33"/>
      <c r="F38" s="33"/>
      <c r="G38" s="17"/>
    </row>
    <row r="39" spans="1:7">
      <c r="F39" s="4" t="s">
        <v>400</v>
      </c>
      <c r="G39" s="11">
        <f>SUM(F35:F38)</f>
        <v>0</v>
      </c>
    </row>
    <row r="40" spans="1:7">
      <c r="A40" s="923" t="s">
        <v>419</v>
      </c>
      <c r="B40" s="923"/>
    </row>
    <row r="41" spans="1:7">
      <c r="A41" s="12" t="s">
        <v>416</v>
      </c>
      <c r="B41" s="13" t="s">
        <v>417</v>
      </c>
      <c r="C41" s="13" t="s">
        <v>193</v>
      </c>
      <c r="D41" s="13" t="s">
        <v>418</v>
      </c>
      <c r="E41" s="13" t="s">
        <v>398</v>
      </c>
      <c r="F41" s="13" t="s">
        <v>399</v>
      </c>
      <c r="G41" s="18"/>
    </row>
    <row r="42" spans="1:7">
      <c r="A42" s="356" t="str">
        <f>+Insumos!B41</f>
        <v xml:space="preserve">Cuadrilla(Oficial+Ayudante) </v>
      </c>
      <c r="B42" s="356">
        <f>+Insumos!C40</f>
        <v>26152.364711232374</v>
      </c>
      <c r="C42" s="356">
        <f>+Insumos!D40</f>
        <v>14323.728638017281</v>
      </c>
      <c r="D42" s="326">
        <f>+C42+B42</f>
        <v>40476.093349249655</v>
      </c>
      <c r="E42" s="361">
        <v>3</v>
      </c>
      <c r="F42" s="326">
        <f>D42*E42</f>
        <v>121428.28004774897</v>
      </c>
      <c r="G42" s="357"/>
    </row>
    <row r="43" spans="1:7">
      <c r="F43" s="4" t="s">
        <v>400</v>
      </c>
      <c r="G43" s="11">
        <f>SUM(F42:F42)</f>
        <v>121428.28004774897</v>
      </c>
    </row>
    <row r="45" spans="1:7">
      <c r="F45" s="4" t="s">
        <v>420</v>
      </c>
      <c r="G45" s="71">
        <f>SUM(G43,G39,G32,G22,G12)</f>
        <v>134279.6940501364</v>
      </c>
    </row>
  </sheetData>
  <mergeCells count="29">
    <mergeCell ref="A16:B16"/>
    <mergeCell ref="A1:C1"/>
    <mergeCell ref="D1:G1"/>
    <mergeCell ref="A3:G3"/>
    <mergeCell ref="A4:G4"/>
    <mergeCell ref="B6:G6"/>
    <mergeCell ref="A8:B8"/>
    <mergeCell ref="A9:B9"/>
    <mergeCell ref="A10:B10"/>
    <mergeCell ref="A11:B11"/>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29:B29"/>
    <mergeCell ref="A30:B30"/>
    <mergeCell ref="A31:B31"/>
    <mergeCell ref="A33:B33"/>
    <mergeCell ref="A40:B40"/>
  </mergeCells>
  <pageMargins left="0.7" right="0.7" top="0.75" bottom="0.75" header="0.3" footer="0.3"/>
  <pageSetup orientation="portrait" horizontalDpi="4294967295" verticalDpi="4294967295"/>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D7E40-88B7-4825-8789-2ED4AC74E6E4}">
  <dimension ref="A1:I45"/>
  <sheetViews>
    <sheetView topLeftCell="A25" zoomScale="118" zoomScaleNormal="118" workbookViewId="0">
      <selection activeCell="K42" sqref="K42"/>
    </sheetView>
  </sheetViews>
  <sheetFormatPr baseColWidth="10" defaultColWidth="11.42578125" defaultRowHeight="16.5"/>
  <cols>
    <col min="1" max="1" width="33" style="2" customWidth="1"/>
    <col min="2" max="2" width="20.7109375" style="2" customWidth="1"/>
    <col min="3" max="3" width="12" style="2" customWidth="1"/>
    <col min="4" max="4" width="13.85546875" style="2" customWidth="1"/>
    <col min="5" max="5" width="11.42578125" style="2"/>
    <col min="6" max="6" width="16.140625" style="2" customWidth="1"/>
    <col min="7" max="7" width="16.7109375" style="2" customWidth="1"/>
    <col min="8" max="16384" width="11.42578125" style="2"/>
  </cols>
  <sheetData>
    <row r="1" spans="1:7" ht="77.25" customHeight="1" thickBot="1">
      <c r="A1" s="918"/>
      <c r="B1" s="919"/>
      <c r="C1" s="919"/>
      <c r="D1" s="704" t="s">
        <v>388</v>
      </c>
      <c r="E1" s="705"/>
      <c r="F1" s="705"/>
      <c r="G1" s="706"/>
    </row>
    <row r="2" spans="1:7" ht="22.5" customHeight="1" thickBot="1">
      <c r="A2" s="8"/>
      <c r="B2" s="8"/>
      <c r="C2" s="8"/>
      <c r="D2" s="9"/>
      <c r="E2" s="9"/>
      <c r="F2" s="9"/>
      <c r="G2" s="9"/>
    </row>
    <row r="3" spans="1:7" ht="23.25" customHeight="1" thickBot="1">
      <c r="A3" s="747" t="str">
        <f>+'AU  Consul P2'!A3:I3</f>
        <v>SECRETARÍA DE TALENTO HUMANO Y SERVICIOS ADMINISTRATIVOS- DIRECCIÓN DE SERVICIOS GENERALES</v>
      </c>
      <c r="B3" s="748"/>
      <c r="C3" s="748"/>
      <c r="D3" s="748"/>
      <c r="E3" s="748"/>
      <c r="F3" s="748"/>
      <c r="G3" s="749"/>
    </row>
    <row r="4" spans="1:7" s="1" customFormat="1" ht="59.4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thickBot="1">
      <c r="A5" s="364" t="s">
        <v>389</v>
      </c>
      <c r="B5" s="372">
        <f>+'PRESUPUESTO OFICIAL 2026'!B39</f>
        <v>4.0999999999999996</v>
      </c>
      <c r="C5" s="3"/>
      <c r="D5" s="3"/>
      <c r="E5" s="3"/>
      <c r="F5" s="7" t="s">
        <v>391</v>
      </c>
      <c r="G5" s="363" t="str">
        <f>+'PRESUPUESTO OFICIAL 2026'!H39</f>
        <v>GLO</v>
      </c>
    </row>
    <row r="6" spans="1:7" ht="66.599999999999994" customHeight="1">
      <c r="A6" s="10" t="s">
        <v>392</v>
      </c>
      <c r="B6" s="1006" t="s">
        <v>497</v>
      </c>
      <c r="C6" s="1007"/>
      <c r="D6" s="1007"/>
      <c r="E6" s="1007"/>
      <c r="F6" s="1007"/>
      <c r="G6" s="1008"/>
    </row>
    <row r="8" spans="1:7" ht="17.25" thickBot="1">
      <c r="A8" s="923" t="s">
        <v>394</v>
      </c>
      <c r="B8" s="923"/>
    </row>
    <row r="9" spans="1:7">
      <c r="A9" s="924" t="s">
        <v>395</v>
      </c>
      <c r="B9" s="925"/>
      <c r="C9" s="13" t="s">
        <v>396</v>
      </c>
      <c r="D9" s="13" t="s">
        <v>397</v>
      </c>
      <c r="E9" s="13" t="s">
        <v>398</v>
      </c>
      <c r="F9" s="13" t="s">
        <v>399</v>
      </c>
      <c r="G9" s="14"/>
    </row>
    <row r="10" spans="1:7">
      <c r="A10" s="926" t="s">
        <v>427</v>
      </c>
      <c r="B10" s="927"/>
      <c r="C10" s="26" t="s">
        <v>428</v>
      </c>
      <c r="D10" s="21">
        <f>G43</f>
        <v>80952.18669849931</v>
      </c>
      <c r="E10" s="335">
        <v>0.1</v>
      </c>
      <c r="F10" s="22">
        <f>E10*D10</f>
        <v>8095.2186698499318</v>
      </c>
      <c r="G10" s="15"/>
    </row>
    <row r="11" spans="1:7" ht="17.25" thickBot="1">
      <c r="A11" s="928"/>
      <c r="B11" s="929"/>
      <c r="C11" s="24"/>
      <c r="D11" s="24"/>
      <c r="E11" s="368"/>
      <c r="F11" s="326">
        <f>E11*D11</f>
        <v>0</v>
      </c>
      <c r="G11" s="17"/>
    </row>
    <row r="12" spans="1:7" ht="17.25" thickBot="1">
      <c r="F12" s="4" t="s">
        <v>400</v>
      </c>
      <c r="G12" s="25">
        <f>SUM(F10:F11)</f>
        <v>8095.2186698499318</v>
      </c>
    </row>
    <row r="13" spans="1:7">
      <c r="F13" s="4"/>
      <c r="G13" s="336"/>
    </row>
    <row r="14" spans="1:7" ht="17.25" thickBot="1">
      <c r="A14" s="930" t="s">
        <v>401</v>
      </c>
      <c r="B14" s="930"/>
    </row>
    <row r="15" spans="1:7">
      <c r="A15" s="931" t="s">
        <v>395</v>
      </c>
      <c r="B15" s="932"/>
      <c r="C15" s="13" t="s">
        <v>402</v>
      </c>
      <c r="D15" s="13" t="s">
        <v>403</v>
      </c>
      <c r="E15" s="13" t="s">
        <v>404</v>
      </c>
      <c r="F15" s="13" t="s">
        <v>399</v>
      </c>
      <c r="G15" s="18"/>
    </row>
    <row r="16" spans="1:7" ht="16.5" customHeight="1">
      <c r="A16" s="916"/>
      <c r="B16" s="917"/>
      <c r="C16" s="323"/>
      <c r="D16" s="366"/>
      <c r="E16" s="371"/>
      <c r="F16" s="22">
        <f t="shared" ref="F16:F21" si="0">+D16*E16</f>
        <v>0</v>
      </c>
      <c r="G16" s="16"/>
    </row>
    <row r="17" spans="1:9">
      <c r="A17" s="916"/>
      <c r="B17" s="917"/>
      <c r="C17" s="338"/>
      <c r="D17" s="366"/>
      <c r="E17" s="371"/>
      <c r="F17" s="22">
        <f t="shared" si="0"/>
        <v>0</v>
      </c>
      <c r="G17" s="16"/>
    </row>
    <row r="18" spans="1:9">
      <c r="A18" s="935"/>
      <c r="B18" s="936"/>
      <c r="C18" s="323"/>
      <c r="D18" s="366"/>
      <c r="E18" s="342"/>
      <c r="F18" s="22">
        <f t="shared" si="0"/>
        <v>0</v>
      </c>
      <c r="G18" s="343"/>
    </row>
    <row r="19" spans="1:9">
      <c r="A19" s="933"/>
      <c r="B19" s="934"/>
      <c r="C19" s="338"/>
      <c r="D19" s="367"/>
      <c r="E19" s="342"/>
      <c r="F19" s="22">
        <f t="shared" si="0"/>
        <v>0</v>
      </c>
      <c r="G19" s="343"/>
    </row>
    <row r="20" spans="1:9">
      <c r="A20" s="933"/>
      <c r="B20" s="934"/>
      <c r="C20" s="338"/>
      <c r="D20" s="367"/>
      <c r="E20" s="342"/>
      <c r="F20" s="22">
        <f t="shared" si="0"/>
        <v>0</v>
      </c>
      <c r="G20" s="343"/>
    </row>
    <row r="21" spans="1:9" ht="17.25" thickBot="1">
      <c r="A21" s="946"/>
      <c r="B21" s="973"/>
      <c r="C21" s="325"/>
      <c r="D21" s="344"/>
      <c r="E21" s="345"/>
      <c r="F21" s="326">
        <f t="shared" si="0"/>
        <v>0</v>
      </c>
      <c r="G21" s="346"/>
    </row>
    <row r="22" spans="1:9" ht="17.25" thickBot="1">
      <c r="A22" s="941"/>
      <c r="B22" s="941"/>
      <c r="F22" s="4" t="s">
        <v>400</v>
      </c>
      <c r="G22" s="25">
        <f>SUM(F21,F20,F19,F18,F17,F16)</f>
        <v>0</v>
      </c>
      <c r="I22" s="83"/>
    </row>
    <row r="23" spans="1:9" ht="17.25" thickBot="1">
      <c r="A23" s="930" t="s">
        <v>405</v>
      </c>
      <c r="B23" s="930"/>
    </row>
    <row r="24" spans="1:9">
      <c r="A24" s="931" t="s">
        <v>395</v>
      </c>
      <c r="B24" s="932"/>
      <c r="C24" s="13" t="s">
        <v>402</v>
      </c>
      <c r="D24" s="13" t="s">
        <v>403</v>
      </c>
      <c r="E24" s="13" t="s">
        <v>404</v>
      </c>
      <c r="F24" s="13" t="s">
        <v>399</v>
      </c>
      <c r="G24" s="18"/>
    </row>
    <row r="25" spans="1:9" ht="25.5" customHeight="1">
      <c r="A25" s="984" t="s">
        <v>501</v>
      </c>
      <c r="B25" s="984"/>
      <c r="C25" s="522" t="s">
        <v>440</v>
      </c>
      <c r="D25" s="642">
        <v>802500</v>
      </c>
      <c r="E25" s="504">
        <v>1</v>
      </c>
      <c r="F25" s="22">
        <f>D25*E25</f>
        <v>802500</v>
      </c>
      <c r="G25" s="16"/>
      <c r="I25" s="151" t="s">
        <v>503</v>
      </c>
    </row>
    <row r="26" spans="1:9">
      <c r="A26" s="916" t="s">
        <v>473</v>
      </c>
      <c r="B26" s="917"/>
      <c r="C26" s="338" t="s">
        <v>234</v>
      </c>
      <c r="D26" s="511">
        <v>45000</v>
      </c>
      <c r="E26" s="469">
        <v>1</v>
      </c>
      <c r="F26" s="22">
        <f>D26*E26</f>
        <v>45000</v>
      </c>
      <c r="G26" s="16"/>
      <c r="H26" s="380"/>
      <c r="I26" s="378"/>
    </row>
    <row r="27" spans="1:9">
      <c r="A27" s="933"/>
      <c r="B27" s="944"/>
      <c r="C27" s="323"/>
      <c r="D27" s="324"/>
      <c r="E27" s="347"/>
      <c r="F27" s="22">
        <f>+D27*E27</f>
        <v>0</v>
      </c>
      <c r="G27" s="16"/>
    </row>
    <row r="28" spans="1:9">
      <c r="A28" s="933"/>
      <c r="B28" s="934"/>
      <c r="C28" s="323"/>
      <c r="D28" s="348"/>
      <c r="E28" s="347"/>
      <c r="F28" s="22">
        <f>+D28*E28</f>
        <v>0</v>
      </c>
      <c r="G28" s="16"/>
    </row>
    <row r="29" spans="1:9">
      <c r="A29" s="945"/>
      <c r="B29" s="944"/>
      <c r="C29" s="323"/>
      <c r="D29" s="324"/>
      <c r="E29" s="347"/>
      <c r="F29" s="22">
        <f>+D29*E29</f>
        <v>0</v>
      </c>
      <c r="G29" s="16"/>
    </row>
    <row r="30" spans="1:9">
      <c r="A30" s="945"/>
      <c r="B30" s="944"/>
      <c r="C30" s="323"/>
      <c r="D30" s="324"/>
      <c r="E30" s="347"/>
      <c r="F30" s="22">
        <f>+D30*E30</f>
        <v>0</v>
      </c>
      <c r="G30" s="16"/>
    </row>
    <row r="31" spans="1:9" ht="17.25" thickBot="1">
      <c r="A31" s="946"/>
      <c r="B31" s="947"/>
      <c r="C31" s="325"/>
      <c r="D31" s="349"/>
      <c r="E31" s="350"/>
      <c r="F31" s="326">
        <f>+D31*E31</f>
        <v>0</v>
      </c>
      <c r="G31" s="17"/>
    </row>
    <row r="32" spans="1:9" ht="17.25" thickBot="1">
      <c r="F32" s="4" t="s">
        <v>400</v>
      </c>
      <c r="G32" s="11">
        <f>SUM(F25:F31)</f>
        <v>847500</v>
      </c>
    </row>
    <row r="33" spans="1:7" ht="17.25" thickBot="1">
      <c r="A33" s="923" t="s">
        <v>410</v>
      </c>
      <c r="B33" s="923"/>
    </row>
    <row r="34" spans="1:7">
      <c r="A34" s="12" t="s">
        <v>411</v>
      </c>
      <c r="B34" s="13" t="s">
        <v>412</v>
      </c>
      <c r="C34" s="13" t="s">
        <v>413</v>
      </c>
      <c r="D34" s="13" t="s">
        <v>414</v>
      </c>
      <c r="E34" s="13" t="s">
        <v>415</v>
      </c>
      <c r="F34" s="13" t="s">
        <v>399</v>
      </c>
      <c r="G34" s="18"/>
    </row>
    <row r="35" spans="1:7">
      <c r="A35" s="351"/>
      <c r="B35" s="32"/>
      <c r="C35" s="352"/>
      <c r="D35" s="352"/>
      <c r="E35" s="81"/>
      <c r="F35" s="22"/>
      <c r="G35" s="19"/>
    </row>
    <row r="36" spans="1:7">
      <c r="A36" s="353" t="s">
        <v>416</v>
      </c>
      <c r="B36" s="354" t="s">
        <v>417</v>
      </c>
      <c r="C36" s="354" t="s">
        <v>193</v>
      </c>
      <c r="D36" s="354" t="s">
        <v>418</v>
      </c>
      <c r="E36" s="354" t="s">
        <v>398</v>
      </c>
      <c r="F36" s="354" t="s">
        <v>399</v>
      </c>
      <c r="G36" s="19"/>
    </row>
    <row r="37" spans="1:7">
      <c r="A37" s="28"/>
      <c r="B37" s="355"/>
      <c r="C37" s="355"/>
      <c r="D37" s="81"/>
      <c r="E37" s="27"/>
      <c r="F37" s="22">
        <f>+D37*E37</f>
        <v>0</v>
      </c>
      <c r="G37" s="16"/>
    </row>
    <row r="38" spans="1:7" ht="17.25" thickBot="1">
      <c r="A38" s="29"/>
      <c r="B38" s="24"/>
      <c r="C38" s="24"/>
      <c r="D38" s="24"/>
      <c r="E38" s="33"/>
      <c r="F38" s="33"/>
      <c r="G38" s="17"/>
    </row>
    <row r="39" spans="1:7" ht="17.25" thickBot="1">
      <c r="F39" s="4" t="s">
        <v>400</v>
      </c>
      <c r="G39" s="11">
        <f>SUM(F35:F38)</f>
        <v>0</v>
      </c>
    </row>
    <row r="40" spans="1:7" ht="17.25" thickBot="1">
      <c r="A40" s="923" t="s">
        <v>419</v>
      </c>
      <c r="B40" s="923"/>
    </row>
    <row r="41" spans="1:7">
      <c r="A41" s="12" t="s">
        <v>416</v>
      </c>
      <c r="B41" s="13" t="s">
        <v>417</v>
      </c>
      <c r="C41" s="13" t="s">
        <v>193</v>
      </c>
      <c r="D41" s="13" t="s">
        <v>418</v>
      </c>
      <c r="E41" s="13" t="s">
        <v>398</v>
      </c>
      <c r="F41" s="13" t="s">
        <v>399</v>
      </c>
      <c r="G41" s="18"/>
    </row>
    <row r="42" spans="1:7" ht="17.25" thickBot="1">
      <c r="A42" s="356" t="str">
        <f>+Insumos!B30</f>
        <v>Cuadrilla (Electrico + Ayudante)</v>
      </c>
      <c r="B42" s="326">
        <f>+Insumos!C40</f>
        <v>26152.364711232374</v>
      </c>
      <c r="C42" s="326">
        <f>+Insumos!D40</f>
        <v>14323.728638017281</v>
      </c>
      <c r="D42" s="326">
        <f>+C42+B42</f>
        <v>40476.093349249655</v>
      </c>
      <c r="E42" s="361">
        <v>2</v>
      </c>
      <c r="F42" s="326">
        <f>D42*E42</f>
        <v>80952.18669849931</v>
      </c>
      <c r="G42" s="357"/>
    </row>
    <row r="43" spans="1:7" ht="17.25" thickBot="1">
      <c r="F43" s="4" t="s">
        <v>400</v>
      </c>
      <c r="G43" s="11">
        <f>SUM(F42:F42)</f>
        <v>80952.18669849931</v>
      </c>
    </row>
    <row r="44" spans="1:7" ht="17.25" thickBot="1"/>
    <row r="45" spans="1:7" ht="17.25" thickBot="1">
      <c r="F45" s="4" t="s">
        <v>420</v>
      </c>
      <c r="G45" s="71">
        <f>SUM(G43,G39,G32,G22,G12)</f>
        <v>936547.40536834928</v>
      </c>
    </row>
  </sheetData>
  <mergeCells count="29">
    <mergeCell ref="A16:B16"/>
    <mergeCell ref="A1:C1"/>
    <mergeCell ref="D1:G1"/>
    <mergeCell ref="A3:G3"/>
    <mergeCell ref="A4:G4"/>
    <mergeCell ref="B6:G6"/>
    <mergeCell ref="A8:B8"/>
    <mergeCell ref="A9:B9"/>
    <mergeCell ref="A10:B10"/>
    <mergeCell ref="A11:B11"/>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29:B29"/>
    <mergeCell ref="A30:B30"/>
    <mergeCell ref="A31:B31"/>
    <mergeCell ref="A33:B33"/>
    <mergeCell ref="A40:B40"/>
  </mergeCells>
  <pageMargins left="0.7" right="0.7" top="0.75" bottom="0.75" header="0.3" footer="0.3"/>
  <pageSetup orientation="portrait" horizontalDpi="4294967295" verticalDpi="4294967295"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42138-F0CF-45B2-80E4-664F74566281}">
  <dimension ref="A1:I45"/>
  <sheetViews>
    <sheetView topLeftCell="A19" zoomScale="106" zoomScaleNormal="106" workbookViewId="0">
      <selection activeCell="D25" sqref="D25"/>
    </sheetView>
  </sheetViews>
  <sheetFormatPr baseColWidth="10" defaultColWidth="11.42578125" defaultRowHeight="16.5"/>
  <cols>
    <col min="1" max="1" width="33" style="2" customWidth="1"/>
    <col min="2" max="2" width="20.7109375" style="2" customWidth="1"/>
    <col min="3" max="3" width="12" style="2" customWidth="1"/>
    <col min="4" max="4" width="13.85546875" style="2" customWidth="1"/>
    <col min="5" max="5" width="11.42578125" style="2"/>
    <col min="6" max="6" width="16.140625" style="2" customWidth="1"/>
    <col min="7" max="7" width="16.7109375" style="2" customWidth="1"/>
    <col min="8" max="16384" width="11.42578125" style="2"/>
  </cols>
  <sheetData>
    <row r="1" spans="1:7" ht="77.25" customHeight="1" thickBot="1">
      <c r="A1" s="918"/>
      <c r="B1" s="919"/>
      <c r="C1" s="919"/>
      <c r="D1" s="704" t="s">
        <v>388</v>
      </c>
      <c r="E1" s="705"/>
      <c r="F1" s="705"/>
      <c r="G1" s="706"/>
    </row>
    <row r="2" spans="1:7" ht="22.5" customHeight="1" thickBot="1">
      <c r="A2" s="8"/>
      <c r="B2" s="8"/>
      <c r="C2" s="8"/>
      <c r="D2" s="9"/>
      <c r="E2" s="9"/>
      <c r="F2" s="9"/>
      <c r="G2" s="9"/>
    </row>
    <row r="3" spans="1:7" ht="23.25" customHeight="1" thickBot="1">
      <c r="A3" s="747" t="str">
        <f>+'AU  Consul P2'!A3:I3</f>
        <v>SECRETARÍA DE TALENTO HUMANO Y SERVICIOS ADMINISTRATIVOS- DIRECCIÓN DE SERVICIOS GENERALES</v>
      </c>
      <c r="B3" s="748"/>
      <c r="C3" s="748"/>
      <c r="D3" s="748"/>
      <c r="E3" s="748"/>
      <c r="F3" s="748"/>
      <c r="G3" s="749"/>
    </row>
    <row r="4" spans="1:7" s="1" customFormat="1" ht="59.45" customHeight="1" thickBot="1">
      <c r="A4" s="750" t="str">
        <f>+'PRESUPUESTO OFICIAL 2026'!B4</f>
        <v xml:space="preserve">Mantenimiento del sistema de climatización y equipos electro mecánicos del Centro Administrativo Departamental y sus Sedes Externas	
LOTE 1		</v>
      </c>
      <c r="B4" s="751"/>
      <c r="C4" s="752"/>
      <c r="D4" s="752"/>
      <c r="E4" s="752"/>
      <c r="F4" s="752"/>
      <c r="G4" s="753"/>
    </row>
    <row r="5" spans="1:7" ht="22.5" customHeight="1" thickBot="1">
      <c r="A5" s="364" t="s">
        <v>389</v>
      </c>
      <c r="B5" s="372">
        <f>+'PRESUPUESTO OFICIAL 2026'!B40</f>
        <v>4.2</v>
      </c>
      <c r="C5" s="3"/>
      <c r="D5" s="3"/>
      <c r="E5" s="3"/>
      <c r="F5" s="7" t="s">
        <v>391</v>
      </c>
      <c r="G5" s="363" t="str">
        <f>+'PRESUPUESTO OFICIAL 2026'!H40</f>
        <v>GLO</v>
      </c>
    </row>
    <row r="6" spans="1:7" ht="38.25" customHeight="1" thickBot="1">
      <c r="A6" s="10" t="s">
        <v>392</v>
      </c>
      <c r="B6" s="1011" t="s">
        <v>474</v>
      </c>
      <c r="C6" s="1012"/>
      <c r="D6" s="1012"/>
      <c r="E6" s="1012"/>
      <c r="F6" s="1012"/>
      <c r="G6" s="1013"/>
    </row>
    <row r="8" spans="1:7" ht="17.25" thickBot="1">
      <c r="A8" s="923" t="s">
        <v>394</v>
      </c>
      <c r="B8" s="923"/>
    </row>
    <row r="9" spans="1:7">
      <c r="A9" s="924" t="s">
        <v>395</v>
      </c>
      <c r="B9" s="925"/>
      <c r="C9" s="13" t="s">
        <v>396</v>
      </c>
      <c r="D9" s="13" t="s">
        <v>397</v>
      </c>
      <c r="E9" s="13" t="s">
        <v>398</v>
      </c>
      <c r="F9" s="13" t="s">
        <v>399</v>
      </c>
      <c r="G9" s="14"/>
    </row>
    <row r="10" spans="1:7">
      <c r="A10" s="926" t="s">
        <v>427</v>
      </c>
      <c r="B10" s="927"/>
      <c r="C10" s="26" t="s">
        <v>428</v>
      </c>
      <c r="D10" s="21">
        <f>G43</f>
        <v>80952.18669849931</v>
      </c>
      <c r="E10" s="335">
        <v>0.1</v>
      </c>
      <c r="F10" s="22">
        <f>E10*D10</f>
        <v>8095.2186698499318</v>
      </c>
      <c r="G10" s="15"/>
    </row>
    <row r="11" spans="1:7" ht="17.25" thickBot="1">
      <c r="A11" s="928"/>
      <c r="B11" s="929"/>
      <c r="C11" s="24"/>
      <c r="D11" s="24"/>
      <c r="E11" s="368"/>
      <c r="F11" s="326">
        <f>E11*D11</f>
        <v>0</v>
      </c>
      <c r="G11" s="17"/>
    </row>
    <row r="12" spans="1:7" ht="17.25" thickBot="1">
      <c r="F12" s="4" t="s">
        <v>400</v>
      </c>
      <c r="G12" s="25">
        <f>SUM(F10:F11)</f>
        <v>8095.2186698499318</v>
      </c>
    </row>
    <row r="13" spans="1:7">
      <c r="F13" s="4"/>
      <c r="G13" s="336"/>
    </row>
    <row r="14" spans="1:7" ht="17.25" thickBot="1">
      <c r="A14" s="930" t="s">
        <v>401</v>
      </c>
      <c r="B14" s="930"/>
    </row>
    <row r="15" spans="1:7">
      <c r="A15" s="931" t="s">
        <v>395</v>
      </c>
      <c r="B15" s="932"/>
      <c r="C15" s="13" t="s">
        <v>402</v>
      </c>
      <c r="D15" s="13" t="s">
        <v>403</v>
      </c>
      <c r="E15" s="13" t="s">
        <v>404</v>
      </c>
      <c r="F15" s="13" t="s">
        <v>399</v>
      </c>
      <c r="G15" s="18"/>
    </row>
    <row r="16" spans="1:7" ht="16.5" customHeight="1">
      <c r="A16" s="916"/>
      <c r="B16" s="917"/>
      <c r="C16" s="323"/>
      <c r="D16" s="366"/>
      <c r="E16" s="371"/>
      <c r="F16" s="22">
        <f t="shared" ref="F16:F21" si="0">+D16*E16</f>
        <v>0</v>
      </c>
      <c r="G16" s="16"/>
    </row>
    <row r="17" spans="1:9">
      <c r="A17" s="916"/>
      <c r="B17" s="917"/>
      <c r="C17" s="338"/>
      <c r="D17" s="366"/>
      <c r="E17" s="371"/>
      <c r="F17" s="22">
        <f t="shared" si="0"/>
        <v>0</v>
      </c>
      <c r="G17" s="16"/>
    </row>
    <row r="18" spans="1:9">
      <c r="A18" s="935"/>
      <c r="B18" s="936"/>
      <c r="C18" s="323"/>
      <c r="D18" s="366"/>
      <c r="E18" s="342"/>
      <c r="F18" s="22">
        <f t="shared" si="0"/>
        <v>0</v>
      </c>
      <c r="G18" s="343"/>
    </row>
    <row r="19" spans="1:9">
      <c r="A19" s="933"/>
      <c r="B19" s="934"/>
      <c r="C19" s="338"/>
      <c r="D19" s="367"/>
      <c r="E19" s="342"/>
      <c r="F19" s="22">
        <f t="shared" si="0"/>
        <v>0</v>
      </c>
      <c r="G19" s="343"/>
    </row>
    <row r="20" spans="1:9">
      <c r="A20" s="933"/>
      <c r="B20" s="934"/>
      <c r="C20" s="338"/>
      <c r="D20" s="367"/>
      <c r="E20" s="342"/>
      <c r="F20" s="22">
        <f t="shared" si="0"/>
        <v>0</v>
      </c>
      <c r="G20" s="343"/>
    </row>
    <row r="21" spans="1:9" ht="17.25" thickBot="1">
      <c r="A21" s="946"/>
      <c r="B21" s="973"/>
      <c r="C21" s="325"/>
      <c r="D21" s="344"/>
      <c r="E21" s="345"/>
      <c r="F21" s="326">
        <f t="shared" si="0"/>
        <v>0</v>
      </c>
      <c r="G21" s="346"/>
    </row>
    <row r="22" spans="1:9" ht="17.25" thickBot="1">
      <c r="A22" s="941"/>
      <c r="B22" s="941"/>
      <c r="F22" s="4" t="s">
        <v>400</v>
      </c>
      <c r="G22" s="25">
        <f>SUM(F21,F20,F19,F18,F17,F16)</f>
        <v>0</v>
      </c>
      <c r="I22" s="83"/>
    </row>
    <row r="23" spans="1:9" ht="17.25" thickBot="1">
      <c r="A23" s="930" t="s">
        <v>405</v>
      </c>
      <c r="B23" s="930"/>
    </row>
    <row r="24" spans="1:9">
      <c r="A24" s="931" t="s">
        <v>395</v>
      </c>
      <c r="B24" s="932"/>
      <c r="C24" s="13" t="s">
        <v>402</v>
      </c>
      <c r="D24" s="13" t="s">
        <v>403</v>
      </c>
      <c r="E24" s="13" t="s">
        <v>404</v>
      </c>
      <c r="F24" s="13" t="s">
        <v>399</v>
      </c>
      <c r="G24" s="18"/>
    </row>
    <row r="25" spans="1:9">
      <c r="A25" s="984" t="s">
        <v>504</v>
      </c>
      <c r="B25" s="984"/>
      <c r="C25" s="522" t="s">
        <v>440</v>
      </c>
      <c r="D25" s="642">
        <v>600000</v>
      </c>
      <c r="E25" s="504">
        <v>1</v>
      </c>
      <c r="F25" s="22">
        <f>D25*E25</f>
        <v>600000</v>
      </c>
      <c r="G25" s="16"/>
      <c r="I25" s="151"/>
    </row>
    <row r="26" spans="1:9">
      <c r="A26" s="1009" t="s">
        <v>500</v>
      </c>
      <c r="B26" s="1010"/>
      <c r="C26" s="338" t="s">
        <v>234</v>
      </c>
      <c r="D26" s="516">
        <v>40000</v>
      </c>
      <c r="E26" s="469">
        <v>1</v>
      </c>
      <c r="F26" s="22">
        <f>D26*E26</f>
        <v>40000</v>
      </c>
      <c r="G26" s="16"/>
      <c r="H26" s="380"/>
      <c r="I26" s="378"/>
    </row>
    <row r="27" spans="1:9">
      <c r="A27" s="933"/>
      <c r="B27" s="944"/>
      <c r="C27" s="323"/>
      <c r="D27" s="516"/>
      <c r="E27" s="347"/>
      <c r="F27" s="22"/>
      <c r="G27" s="16"/>
    </row>
    <row r="28" spans="1:9">
      <c r="A28" s="933"/>
      <c r="B28" s="934"/>
      <c r="C28" s="323"/>
      <c r="D28" s="348"/>
      <c r="E28" s="347"/>
      <c r="F28" s="22">
        <f>+D28*E28</f>
        <v>0</v>
      </c>
      <c r="G28" s="16"/>
    </row>
    <row r="29" spans="1:9">
      <c r="A29" s="945"/>
      <c r="B29" s="944"/>
      <c r="C29" s="323"/>
      <c r="D29" s="324"/>
      <c r="E29" s="347"/>
      <c r="F29" s="22">
        <f>+D29*E29</f>
        <v>0</v>
      </c>
      <c r="G29" s="16"/>
    </row>
    <row r="30" spans="1:9">
      <c r="A30" s="945"/>
      <c r="B30" s="944"/>
      <c r="C30" s="323"/>
      <c r="D30" s="324"/>
      <c r="E30" s="347"/>
      <c r="F30" s="22">
        <f>+D30*E30</f>
        <v>0</v>
      </c>
      <c r="G30" s="16"/>
    </row>
    <row r="31" spans="1:9" ht="17.25" thickBot="1">
      <c r="A31" s="946"/>
      <c r="B31" s="947"/>
      <c r="C31" s="325"/>
      <c r="D31" s="349"/>
      <c r="E31" s="350"/>
      <c r="F31" s="326">
        <f>+D31*E31</f>
        <v>0</v>
      </c>
      <c r="G31" s="17"/>
    </row>
    <row r="32" spans="1:9" ht="17.25" thickBot="1">
      <c r="F32" s="4" t="s">
        <v>400</v>
      </c>
      <c r="G32" s="11">
        <f>SUM(F25:F31)</f>
        <v>640000</v>
      </c>
    </row>
    <row r="33" spans="1:7" ht="17.25" thickBot="1">
      <c r="A33" s="923" t="s">
        <v>410</v>
      </c>
      <c r="B33" s="923"/>
    </row>
    <row r="34" spans="1:7">
      <c r="A34" s="12" t="s">
        <v>411</v>
      </c>
      <c r="B34" s="13" t="s">
        <v>412</v>
      </c>
      <c r="C34" s="13" t="s">
        <v>413</v>
      </c>
      <c r="D34" s="13" t="s">
        <v>414</v>
      </c>
      <c r="E34" s="13" t="s">
        <v>415</v>
      </c>
      <c r="F34" s="13" t="s">
        <v>399</v>
      </c>
      <c r="G34" s="18"/>
    </row>
    <row r="35" spans="1:7">
      <c r="A35" s="351"/>
      <c r="B35" s="32"/>
      <c r="C35" s="352"/>
      <c r="D35" s="352"/>
      <c r="E35" s="81"/>
      <c r="F35" s="22"/>
      <c r="G35" s="19"/>
    </row>
    <row r="36" spans="1:7">
      <c r="A36" s="353" t="s">
        <v>416</v>
      </c>
      <c r="B36" s="354" t="s">
        <v>417</v>
      </c>
      <c r="C36" s="354" t="s">
        <v>193</v>
      </c>
      <c r="D36" s="354" t="s">
        <v>418</v>
      </c>
      <c r="E36" s="354" t="s">
        <v>398</v>
      </c>
      <c r="F36" s="354" t="s">
        <v>399</v>
      </c>
      <c r="G36" s="19"/>
    </row>
    <row r="37" spans="1:7">
      <c r="A37" s="28"/>
      <c r="B37" s="355"/>
      <c r="C37" s="355"/>
      <c r="D37" s="81"/>
      <c r="E37" s="27"/>
      <c r="F37" s="22">
        <f>+D37*E37</f>
        <v>0</v>
      </c>
      <c r="G37" s="16"/>
    </row>
    <row r="38" spans="1:7" ht="17.25" thickBot="1">
      <c r="A38" s="29"/>
      <c r="B38" s="24"/>
      <c r="C38" s="24"/>
      <c r="D38" s="24"/>
      <c r="E38" s="33"/>
      <c r="F38" s="33"/>
      <c r="G38" s="17"/>
    </row>
    <row r="39" spans="1:7" ht="17.25" thickBot="1">
      <c r="F39" s="4" t="s">
        <v>400</v>
      </c>
      <c r="G39" s="11">
        <f>SUM(F35:F38)</f>
        <v>0</v>
      </c>
    </row>
    <row r="40" spans="1:7" ht="17.25" thickBot="1">
      <c r="A40" s="923" t="s">
        <v>419</v>
      </c>
      <c r="B40" s="923"/>
    </row>
    <row r="41" spans="1:7">
      <c r="A41" s="12" t="s">
        <v>416</v>
      </c>
      <c r="B41" s="13" t="s">
        <v>417</v>
      </c>
      <c r="C41" s="13" t="s">
        <v>193</v>
      </c>
      <c r="D41" s="13" t="s">
        <v>418</v>
      </c>
      <c r="E41" s="13" t="s">
        <v>398</v>
      </c>
      <c r="F41" s="13" t="s">
        <v>399</v>
      </c>
      <c r="G41" s="18"/>
    </row>
    <row r="42" spans="1:7" ht="17.25" thickBot="1">
      <c r="A42" s="356" t="str">
        <f>+Insumos!B30</f>
        <v>Cuadrilla (Electrico + Ayudante)</v>
      </c>
      <c r="B42" s="326">
        <f>+Insumos!C40</f>
        <v>26152.364711232374</v>
      </c>
      <c r="C42" s="326">
        <f>+Insumos!D40</f>
        <v>14323.728638017281</v>
      </c>
      <c r="D42" s="326">
        <f>+C42+B42</f>
        <v>40476.093349249655</v>
      </c>
      <c r="E42" s="361">
        <v>2</v>
      </c>
      <c r="F42" s="326">
        <f>D42*E42</f>
        <v>80952.18669849931</v>
      </c>
      <c r="G42" s="357"/>
    </row>
    <row r="43" spans="1:7" ht="17.25" thickBot="1">
      <c r="F43" s="4" t="s">
        <v>400</v>
      </c>
      <c r="G43" s="11">
        <f>SUM(F42:F42)</f>
        <v>80952.18669849931</v>
      </c>
    </row>
    <row r="44" spans="1:7" ht="17.25" thickBot="1"/>
    <row r="45" spans="1:7" ht="17.25" thickBot="1">
      <c r="F45" s="4" t="s">
        <v>420</v>
      </c>
      <c r="G45" s="71">
        <f>SUM(G43,G39,G32,G22,G12)</f>
        <v>729047.40536834928</v>
      </c>
    </row>
  </sheetData>
  <mergeCells count="29">
    <mergeCell ref="A16:B16"/>
    <mergeCell ref="A1:C1"/>
    <mergeCell ref="D1:G1"/>
    <mergeCell ref="A3:G3"/>
    <mergeCell ref="A4:G4"/>
    <mergeCell ref="B6:G6"/>
    <mergeCell ref="A8:B8"/>
    <mergeCell ref="A9:B9"/>
    <mergeCell ref="A10:B10"/>
    <mergeCell ref="A11:B11"/>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29:B29"/>
    <mergeCell ref="A30:B30"/>
    <mergeCell ref="A31:B31"/>
    <mergeCell ref="A33:B33"/>
    <mergeCell ref="A40:B40"/>
  </mergeCells>
  <pageMargins left="0.7" right="0.7" top="0.75" bottom="0.75" header="0.3" footer="0.3"/>
  <pageSetup orientation="portrait" horizontalDpi="4294967295" verticalDpi="4294967295"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D5FAE-4D6A-45C7-9D97-670927975B70}">
  <dimension ref="A1:K72"/>
  <sheetViews>
    <sheetView topLeftCell="A16" zoomScale="98" zoomScaleNormal="98" workbookViewId="0">
      <selection activeCell="A28" sqref="A28:B28"/>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1" ht="77.25" customHeight="1" thickBot="1">
      <c r="A1" s="918"/>
      <c r="B1" s="919"/>
      <c r="C1" s="919"/>
      <c r="D1" s="704" t="s">
        <v>388</v>
      </c>
      <c r="E1" s="705"/>
      <c r="F1" s="705"/>
      <c r="G1" s="706"/>
    </row>
    <row r="2" spans="1:11" ht="22.5" customHeight="1" thickBot="1">
      <c r="A2" s="8"/>
      <c r="B2" s="8"/>
      <c r="C2" s="8"/>
      <c r="D2" s="9"/>
      <c r="E2" s="9"/>
      <c r="F2" s="9"/>
      <c r="G2" s="9"/>
    </row>
    <row r="3" spans="1:11" ht="23.25" customHeight="1" thickBot="1">
      <c r="A3" s="747" t="str">
        <f>+'AU  Consul P2'!A3:I3</f>
        <v>SECRETARÍA DE TALENTO HUMANO Y SERVICIOS ADMINISTRATIVOS- DIRECCIÓN DE SERVICIOS GENERALES</v>
      </c>
      <c r="B3" s="748"/>
      <c r="C3" s="748"/>
      <c r="D3" s="748"/>
      <c r="E3" s="748"/>
      <c r="F3" s="748"/>
      <c r="G3" s="749"/>
      <c r="J3" s="996" t="s">
        <v>459</v>
      </c>
      <c r="K3" s="996"/>
    </row>
    <row r="4" spans="1:11" s="1" customFormat="1" ht="40.15" customHeight="1" thickBot="1">
      <c r="A4" s="750" t="str">
        <f>+'PRESUPUESTO OFICIAL 2026'!B41</f>
        <v>4.1</v>
      </c>
      <c r="B4" s="751"/>
      <c r="C4" s="752"/>
      <c r="D4" s="752"/>
      <c r="E4" s="752"/>
      <c r="F4" s="752"/>
      <c r="G4" s="753"/>
      <c r="J4" s="430" t="s">
        <v>460</v>
      </c>
      <c r="K4" s="430" t="s">
        <v>461</v>
      </c>
    </row>
    <row r="5" spans="1:11" ht="22.5" customHeight="1" thickBot="1">
      <c r="A5" s="364" t="s">
        <v>389</v>
      </c>
      <c r="B5" s="372" t="str">
        <f>+'PRESUPUESTO OFICIAL 2026'!B41</f>
        <v>4.1</v>
      </c>
      <c r="C5" s="3"/>
      <c r="D5" s="3"/>
      <c r="E5" s="3"/>
      <c r="F5" s="7" t="s">
        <v>391</v>
      </c>
      <c r="G5" s="363" t="str">
        <f>+'PRESUPUESTO OFICIAL 2026'!H41</f>
        <v>m2</v>
      </c>
      <c r="J5" s="430">
        <v>3.48</v>
      </c>
      <c r="K5" s="430">
        <v>162792</v>
      </c>
    </row>
    <row r="6" spans="1:11" ht="48" customHeight="1" thickBot="1">
      <c r="A6" s="10" t="s">
        <v>392</v>
      </c>
      <c r="B6" s="974" t="s">
        <v>347</v>
      </c>
      <c r="C6" s="971"/>
      <c r="D6" s="971"/>
      <c r="E6" s="971"/>
      <c r="F6" s="971"/>
      <c r="G6" s="972"/>
      <c r="J6" s="430">
        <v>1</v>
      </c>
      <c r="K6" s="431">
        <f>J6*K5/J5</f>
        <v>46779.310344827587</v>
      </c>
    </row>
    <row r="8" spans="1:11" ht="17.25" thickBot="1">
      <c r="A8" s="923" t="s">
        <v>394</v>
      </c>
      <c r="B8" s="923"/>
      <c r="J8" s="996" t="s">
        <v>462</v>
      </c>
      <c r="K8" s="996"/>
    </row>
    <row r="9" spans="1:11">
      <c r="A9" s="924" t="s">
        <v>395</v>
      </c>
      <c r="B9" s="925"/>
      <c r="C9" s="13" t="s">
        <v>396</v>
      </c>
      <c r="D9" s="13" t="s">
        <v>397</v>
      </c>
      <c r="E9" s="13" t="s">
        <v>398</v>
      </c>
      <c r="F9" s="13" t="s">
        <v>399</v>
      </c>
      <c r="G9" s="14"/>
      <c r="J9" s="430" t="s">
        <v>460</v>
      </c>
      <c r="K9" s="430" t="s">
        <v>461</v>
      </c>
    </row>
    <row r="10" spans="1:11">
      <c r="A10" s="926" t="s">
        <v>427</v>
      </c>
      <c r="B10" s="927"/>
      <c r="C10" s="26" t="s">
        <v>428</v>
      </c>
      <c r="D10" s="21">
        <f>G43</f>
        <v>40476.093349249655</v>
      </c>
      <c r="E10" s="335">
        <v>0.05</v>
      </c>
      <c r="F10" s="22">
        <f>E10*D10</f>
        <v>2023.8046674624829</v>
      </c>
      <c r="G10" s="15"/>
      <c r="J10" s="430">
        <f>10*(1.2*3)</f>
        <v>36</v>
      </c>
      <c r="K10" s="430">
        <f>1618560+(0.19*1618560)</f>
        <v>1926086.4</v>
      </c>
    </row>
    <row r="11" spans="1:11">
      <c r="A11" s="999" t="s">
        <v>463</v>
      </c>
      <c r="B11" s="1000"/>
      <c r="C11" s="436" t="s">
        <v>464</v>
      </c>
      <c r="D11" s="437">
        <v>1400</v>
      </c>
      <c r="E11" s="535">
        <v>0.3</v>
      </c>
      <c r="F11" s="414">
        <f>D11*E11</f>
        <v>420</v>
      </c>
      <c r="G11" s="15"/>
      <c r="J11" s="430"/>
      <c r="K11" s="430"/>
    </row>
    <row r="12" spans="1:11" ht="17.25" thickBot="1">
      <c r="A12" s="959"/>
      <c r="B12" s="960"/>
      <c r="C12" s="24"/>
      <c r="D12" s="24"/>
      <c r="E12" s="368"/>
      <c r="F12" s="326">
        <f>E12*D12</f>
        <v>0</v>
      </c>
      <c r="G12" s="17"/>
      <c r="J12" s="430">
        <v>1</v>
      </c>
      <c r="K12" s="431">
        <f>J12*K10/J10</f>
        <v>53502.399999999994</v>
      </c>
    </row>
    <row r="13" spans="1:11" ht="17.25" thickBot="1">
      <c r="F13" s="4" t="s">
        <v>400</v>
      </c>
      <c r="G13" s="25">
        <f>SUM(F10:F12)</f>
        <v>2443.8046674624829</v>
      </c>
    </row>
    <row r="14" spans="1:11">
      <c r="F14" s="4"/>
      <c r="G14" s="336"/>
      <c r="J14" s="996" t="s">
        <v>462</v>
      </c>
      <c r="K14" s="996"/>
    </row>
    <row r="15" spans="1:11" ht="17.25" thickBot="1">
      <c r="A15" s="930" t="s">
        <v>401</v>
      </c>
      <c r="B15" s="930"/>
      <c r="J15" s="430" t="s">
        <v>460</v>
      </c>
      <c r="K15" s="430" t="s">
        <v>461</v>
      </c>
    </row>
    <row r="16" spans="1:11">
      <c r="A16" s="931" t="s">
        <v>395</v>
      </c>
      <c r="B16" s="932"/>
      <c r="C16" s="13" t="s">
        <v>402</v>
      </c>
      <c r="D16" s="13" t="s">
        <v>403</v>
      </c>
      <c r="E16" s="13" t="s">
        <v>404</v>
      </c>
      <c r="F16" s="13" t="s">
        <v>399</v>
      </c>
      <c r="G16" s="18"/>
      <c r="J16" s="430">
        <f>10*(1.2*3)</f>
        <v>36</v>
      </c>
      <c r="K16" s="430">
        <f>2023200+(0.19*2023200)</f>
        <v>2407608</v>
      </c>
    </row>
    <row r="17" spans="1:11" ht="16.5" customHeight="1">
      <c r="A17" s="997"/>
      <c r="B17" s="998"/>
      <c r="C17" s="323"/>
      <c r="D17" s="366"/>
      <c r="E17" s="371"/>
      <c r="F17" s="22">
        <f>+E17*D17</f>
        <v>0</v>
      </c>
      <c r="G17" s="16"/>
      <c r="J17" s="430">
        <v>1</v>
      </c>
      <c r="K17" s="431">
        <f>J17*K16/J16</f>
        <v>66878</v>
      </c>
    </row>
    <row r="18" spans="1:11">
      <c r="A18" s="916"/>
      <c r="B18" s="917"/>
      <c r="C18" s="338"/>
      <c r="D18" s="366"/>
      <c r="E18" s="371"/>
      <c r="F18" s="22">
        <f>+D18*E18</f>
        <v>0</v>
      </c>
      <c r="G18" s="16"/>
      <c r="I18" s="374"/>
    </row>
    <row r="19" spans="1:11">
      <c r="A19" s="935"/>
      <c r="B19" s="936"/>
      <c r="C19" s="323"/>
      <c r="D19" s="366"/>
      <c r="E19" s="342"/>
      <c r="F19" s="22">
        <f>+D19*E19</f>
        <v>0</v>
      </c>
      <c r="G19" s="343"/>
      <c r="I19" s="374"/>
      <c r="K19" s="432">
        <f>AVERAGE(K6,K12,K17)</f>
        <v>55719.903448275865</v>
      </c>
    </row>
    <row r="20" spans="1:11">
      <c r="A20" s="933"/>
      <c r="B20" s="934"/>
      <c r="C20" s="338"/>
      <c r="D20" s="367"/>
      <c r="E20" s="342"/>
      <c r="F20" s="22">
        <f>+D20*E20</f>
        <v>0</v>
      </c>
      <c r="G20" s="343"/>
      <c r="I20" s="374"/>
    </row>
    <row r="21" spans="1:11">
      <c r="A21" s="933"/>
      <c r="B21" s="934"/>
      <c r="C21" s="338"/>
      <c r="D21" s="367"/>
      <c r="E21" s="342"/>
      <c r="F21" s="22">
        <f>+D21*E21</f>
        <v>0</v>
      </c>
      <c r="G21" s="343"/>
      <c r="J21" s="996" t="s">
        <v>462</v>
      </c>
      <c r="K21" s="996"/>
    </row>
    <row r="22" spans="1:11" ht="17.25" thickBot="1">
      <c r="A22" s="946"/>
      <c r="B22" s="973"/>
      <c r="C22" s="325"/>
      <c r="D22" s="344"/>
      <c r="E22" s="345"/>
      <c r="F22" s="326">
        <f>+D22*E22</f>
        <v>0</v>
      </c>
      <c r="G22" s="346"/>
      <c r="J22" s="430" t="s">
        <v>465</v>
      </c>
      <c r="K22" s="430" t="s">
        <v>461</v>
      </c>
    </row>
    <row r="23" spans="1:11" ht="17.25" thickBot="1">
      <c r="A23" s="941"/>
      <c r="B23" s="941"/>
      <c r="F23" s="4" t="s">
        <v>400</v>
      </c>
      <c r="G23" s="25">
        <f>SUM(F22,F21,F20,F19,F18,F17)</f>
        <v>0</v>
      </c>
      <c r="J23" s="430">
        <v>50</v>
      </c>
      <c r="K23" s="430">
        <f>48000+(0.19*48000)</f>
        <v>57120</v>
      </c>
    </row>
    <row r="24" spans="1:11" ht="17.25" thickBot="1">
      <c r="A24" s="930" t="s">
        <v>405</v>
      </c>
      <c r="B24" s="930"/>
      <c r="J24" s="430">
        <v>1</v>
      </c>
      <c r="K24" s="433">
        <f>J24*K23/J23</f>
        <v>1142.4000000000001</v>
      </c>
    </row>
    <row r="25" spans="1:11">
      <c r="A25" s="931" t="s">
        <v>395</v>
      </c>
      <c r="B25" s="932"/>
      <c r="C25" s="13" t="s">
        <v>402</v>
      </c>
      <c r="D25" s="13" t="s">
        <v>403</v>
      </c>
      <c r="E25" s="13" t="s">
        <v>404</v>
      </c>
      <c r="F25" s="13" t="s">
        <v>399</v>
      </c>
      <c r="G25" s="18"/>
      <c r="I25" s="374"/>
    </row>
    <row r="26" spans="1:11">
      <c r="A26" s="997" t="s">
        <v>475</v>
      </c>
      <c r="B26" s="998"/>
      <c r="C26" s="323" t="s">
        <v>229</v>
      </c>
      <c r="D26" s="536">
        <v>56000</v>
      </c>
      <c r="E26" s="371">
        <v>1</v>
      </c>
      <c r="F26" s="22">
        <f t="shared" ref="F26:F32" si="0">+D26*E26</f>
        <v>56000</v>
      </c>
      <c r="G26" s="16"/>
      <c r="J26" s="996" t="s">
        <v>466</v>
      </c>
      <c r="K26" s="996"/>
    </row>
    <row r="27" spans="1:11">
      <c r="A27" s="916" t="s">
        <v>441</v>
      </c>
      <c r="B27" s="917"/>
      <c r="C27" s="338" t="s">
        <v>440</v>
      </c>
      <c r="D27" s="536">
        <f>+'APU 1,1'!D29</f>
        <v>58303.406666666669</v>
      </c>
      <c r="E27" s="510">
        <v>0.15</v>
      </c>
      <c r="F27" s="22">
        <f t="shared" si="0"/>
        <v>8745.5110000000004</v>
      </c>
      <c r="G27" s="16"/>
      <c r="J27" s="430" t="s">
        <v>465</v>
      </c>
      <c r="K27" s="430" t="s">
        <v>461</v>
      </c>
    </row>
    <row r="28" spans="1:11">
      <c r="A28" s="933" t="s">
        <v>476</v>
      </c>
      <c r="B28" s="944"/>
      <c r="C28" s="323" t="s">
        <v>477</v>
      </c>
      <c r="D28" s="537">
        <v>105800</v>
      </c>
      <c r="E28" s="450">
        <v>0.05</v>
      </c>
      <c r="F28" s="22">
        <f t="shared" si="0"/>
        <v>5290</v>
      </c>
      <c r="G28" s="16"/>
      <c r="J28" s="430">
        <v>50</v>
      </c>
      <c r="K28" s="430">
        <f>75500+(0.19*75500)</f>
        <v>89845</v>
      </c>
    </row>
    <row r="29" spans="1:11">
      <c r="A29" s="933"/>
      <c r="B29" s="934"/>
      <c r="C29" s="323"/>
      <c r="D29" s="348"/>
      <c r="E29" s="347"/>
      <c r="F29" s="22">
        <f t="shared" si="0"/>
        <v>0</v>
      </c>
      <c r="G29" s="16"/>
      <c r="J29" s="430">
        <v>1</v>
      </c>
      <c r="K29" s="433">
        <f>J29*K28/J28</f>
        <v>1796.9</v>
      </c>
    </row>
    <row r="30" spans="1:11">
      <c r="A30" s="945"/>
      <c r="B30" s="944"/>
      <c r="C30" s="323"/>
      <c r="D30" s="324"/>
      <c r="E30" s="347"/>
      <c r="F30" s="22">
        <f t="shared" si="0"/>
        <v>0</v>
      </c>
      <c r="G30" s="16"/>
      <c r="I30" s="374"/>
    </row>
    <row r="31" spans="1:11">
      <c r="A31" s="945"/>
      <c r="B31" s="944"/>
      <c r="C31" s="323"/>
      <c r="D31" s="324"/>
      <c r="E31" s="347"/>
      <c r="F31" s="22">
        <f t="shared" si="0"/>
        <v>0</v>
      </c>
      <c r="G31" s="16"/>
    </row>
    <row r="32" spans="1:11" ht="17.25" thickBot="1">
      <c r="A32" s="946"/>
      <c r="B32" s="947"/>
      <c r="C32" s="325"/>
      <c r="D32" s="349"/>
      <c r="E32" s="350"/>
      <c r="F32" s="326">
        <f t="shared" si="0"/>
        <v>0</v>
      </c>
      <c r="G32" s="17"/>
      <c r="J32" s="996" t="s">
        <v>467</v>
      </c>
      <c r="K32" s="996"/>
    </row>
    <row r="33" spans="1:11" ht="17.25" thickBot="1">
      <c r="F33" s="4" t="s">
        <v>400</v>
      </c>
      <c r="G33" s="11">
        <f>SUM(F26:F32)</f>
        <v>70035.510999999999</v>
      </c>
      <c r="J33" s="430" t="s">
        <v>465</v>
      </c>
      <c r="K33" s="430" t="s">
        <v>461</v>
      </c>
    </row>
    <row r="34" spans="1:11" ht="17.25" thickBot="1">
      <c r="A34" s="923" t="s">
        <v>410</v>
      </c>
      <c r="B34" s="923"/>
      <c r="J34" s="430">
        <v>50</v>
      </c>
      <c r="K34" s="430">
        <f>35538+(0.19*35538)</f>
        <v>42290.22</v>
      </c>
    </row>
    <row r="35" spans="1:11">
      <c r="A35" s="12" t="s">
        <v>411</v>
      </c>
      <c r="B35" s="13" t="s">
        <v>412</v>
      </c>
      <c r="C35" s="13" t="s">
        <v>413</v>
      </c>
      <c r="D35" s="13" t="s">
        <v>414</v>
      </c>
      <c r="E35" s="13" t="s">
        <v>415</v>
      </c>
      <c r="F35" s="13" t="s">
        <v>399</v>
      </c>
      <c r="G35" s="18"/>
      <c r="J35" s="430">
        <v>1</v>
      </c>
      <c r="K35" s="433">
        <f>J35*K34/J34</f>
        <v>845.80439999999999</v>
      </c>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f>AVERAGE(K24,K29,K35)</f>
        <v>1261.7014666666666</v>
      </c>
    </row>
    <row r="38" spans="1:11" ht="17.25" thickBot="1">
      <c r="A38" s="29"/>
      <c r="B38" s="24"/>
      <c r="C38" s="24"/>
      <c r="D38" s="24"/>
      <c r="E38" s="33"/>
      <c r="F38" s="33"/>
      <c r="G38" s="17"/>
    </row>
    <row r="39" spans="1:11" ht="17.25" thickBot="1">
      <c r="F39" s="4" t="s">
        <v>400</v>
      </c>
      <c r="G39" s="11">
        <f>SUM(F36:F38)</f>
        <v>0</v>
      </c>
    </row>
    <row r="40" spans="1:11" ht="17.25" thickBot="1">
      <c r="A40" s="923" t="s">
        <v>419</v>
      </c>
      <c r="B40" s="923"/>
    </row>
    <row r="41" spans="1:11">
      <c r="A41" s="12" t="s">
        <v>416</v>
      </c>
      <c r="B41" s="13" t="s">
        <v>417</v>
      </c>
      <c r="C41" s="13" t="s">
        <v>193</v>
      </c>
      <c r="D41" s="13" t="s">
        <v>418</v>
      </c>
      <c r="E41" s="13" t="s">
        <v>398</v>
      </c>
      <c r="F41" s="13" t="s">
        <v>399</v>
      </c>
      <c r="G41" s="18"/>
    </row>
    <row r="42" spans="1:11" ht="17.25" thickBot="1">
      <c r="A42" s="356" t="str">
        <f>+Insumos!B39</f>
        <v xml:space="preserve">Oficial HVAC+Ayudante </v>
      </c>
      <c r="B42" s="356">
        <f>+Insumos!C40</f>
        <v>26152.364711232374</v>
      </c>
      <c r="C42" s="356">
        <f>+Insumos!D40</f>
        <v>14323.728638017281</v>
      </c>
      <c r="D42" s="326">
        <f>+C42+B42</f>
        <v>40476.093349249655</v>
      </c>
      <c r="E42" s="571">
        <v>1</v>
      </c>
      <c r="F42" s="326">
        <f>+D42*E42</f>
        <v>40476.093349249655</v>
      </c>
      <c r="G42" s="357"/>
    </row>
    <row r="43" spans="1:11" ht="17.25" thickBot="1">
      <c r="F43" s="4" t="s">
        <v>400</v>
      </c>
      <c r="G43" s="11">
        <f>SUM(F42:F42)</f>
        <v>40476.093349249655</v>
      </c>
    </row>
    <row r="44" spans="1:11" ht="17.25" thickBot="1">
      <c r="K44" s="2">
        <v>3750</v>
      </c>
    </row>
    <row r="45" spans="1:11" ht="17.25" thickBot="1">
      <c r="F45" s="4" t="s">
        <v>420</v>
      </c>
      <c r="G45" s="71">
        <f>SUM(G43,G39,G33,G23,G13)</f>
        <v>112955.40901671213</v>
      </c>
    </row>
    <row r="69" spans="10:10">
      <c r="J69" s="2">
        <v>97000</v>
      </c>
    </row>
    <row r="70" spans="10:10">
      <c r="J70" s="2">
        <v>100300</v>
      </c>
    </row>
    <row r="71" spans="10:10">
      <c r="J71" s="151">
        <v>119900</v>
      </c>
    </row>
    <row r="72" spans="10:10">
      <c r="J72" s="2">
        <f>AVERAGE(J69:J71)</f>
        <v>105733.33333333333</v>
      </c>
    </row>
  </sheetData>
  <mergeCells count="36">
    <mergeCell ref="A12:B12"/>
    <mergeCell ref="A1:C1"/>
    <mergeCell ref="D1:G1"/>
    <mergeCell ref="A3:G3"/>
    <mergeCell ref="J3:K3"/>
    <mergeCell ref="A4:G4"/>
    <mergeCell ref="B6:G6"/>
    <mergeCell ref="A8:B8"/>
    <mergeCell ref="J8:K8"/>
    <mergeCell ref="A9:B9"/>
    <mergeCell ref="A10:B10"/>
    <mergeCell ref="A11:B11"/>
    <mergeCell ref="A24:B24"/>
    <mergeCell ref="J14:K14"/>
    <mergeCell ref="A15:B15"/>
    <mergeCell ref="A16:B16"/>
    <mergeCell ref="A17:B17"/>
    <mergeCell ref="A18:B18"/>
    <mergeCell ref="A19:B19"/>
    <mergeCell ref="A20:B20"/>
    <mergeCell ref="A21:B21"/>
    <mergeCell ref="J21:K21"/>
    <mergeCell ref="A22:B22"/>
    <mergeCell ref="A23:B23"/>
    <mergeCell ref="A40:B40"/>
    <mergeCell ref="A25:B25"/>
    <mergeCell ref="A26:B26"/>
    <mergeCell ref="J26:K26"/>
    <mergeCell ref="A27:B27"/>
    <mergeCell ref="A28:B28"/>
    <mergeCell ref="A29:B29"/>
    <mergeCell ref="A30:B30"/>
    <mergeCell ref="A31:B31"/>
    <mergeCell ref="A32:B32"/>
    <mergeCell ref="J32:K32"/>
    <mergeCell ref="A34:B34"/>
  </mergeCells>
  <pageMargins left="0.7" right="0.7" top="0.75" bottom="0.75" header="0.3" footer="0.3"/>
  <pageSetup orientation="portrait" horizontalDpi="4294967295" verticalDpi="4294967295"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EB195-8816-4C0F-8299-FFA80196E35C}">
  <dimension ref="A1:K71"/>
  <sheetViews>
    <sheetView topLeftCell="A10" zoomScale="118" zoomScaleNormal="118" workbookViewId="0">
      <selection activeCell="H22" sqref="H22"/>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1" ht="77.25" customHeight="1" thickBot="1">
      <c r="A1" s="918"/>
      <c r="B1" s="919"/>
      <c r="C1" s="919"/>
      <c r="D1" s="704" t="s">
        <v>388</v>
      </c>
      <c r="E1" s="705"/>
      <c r="F1" s="705"/>
      <c r="G1" s="706"/>
    </row>
    <row r="2" spans="1:11" ht="22.5" customHeight="1" thickBot="1">
      <c r="A2" s="8"/>
      <c r="B2" s="8"/>
      <c r="C2" s="8"/>
      <c r="D2" s="9"/>
      <c r="E2" s="9"/>
      <c r="F2" s="9"/>
      <c r="G2" s="9"/>
    </row>
    <row r="3" spans="1:11" ht="23.25" customHeight="1" thickBot="1">
      <c r="A3" s="747" t="str">
        <f>+'AU  Consul P2'!A3:I3</f>
        <v>SECRETARÍA DE TALENTO HUMANO Y SERVICIOS ADMINISTRATIVOS- DIRECCIÓN DE SERVICIOS GENERALES</v>
      </c>
      <c r="B3" s="748"/>
      <c r="C3" s="748"/>
      <c r="D3" s="748"/>
      <c r="E3" s="748"/>
      <c r="F3" s="748"/>
      <c r="G3" s="749"/>
      <c r="J3" s="941"/>
      <c r="K3" s="941"/>
    </row>
    <row r="4" spans="1:11" s="1" customFormat="1" ht="40.15" customHeight="1" thickBot="1">
      <c r="A4" s="750" t="str">
        <f>+'PRESUPUESTO OFICIAL 2026'!B41</f>
        <v>4.1</v>
      </c>
      <c r="B4" s="751"/>
      <c r="C4" s="752"/>
      <c r="D4" s="752"/>
      <c r="E4" s="752"/>
      <c r="F4" s="752"/>
      <c r="G4" s="753"/>
      <c r="J4" s="377"/>
      <c r="K4" s="377"/>
    </row>
    <row r="5" spans="1:11" ht="22.5" customHeight="1" thickBot="1">
      <c r="A5" s="364" t="s">
        <v>389</v>
      </c>
      <c r="B5" s="372" t="str">
        <f>+'PRESUPUESTO OFICIAL 2026'!B42</f>
        <v>4.2</v>
      </c>
      <c r="C5" s="3"/>
      <c r="D5" s="3"/>
      <c r="E5" s="3"/>
      <c r="F5" s="7" t="s">
        <v>391</v>
      </c>
      <c r="G5" s="363" t="str">
        <f>+'PRESUPUESTO OFICIAL 2026'!H42</f>
        <v>GLO</v>
      </c>
      <c r="J5" s="377"/>
      <c r="K5" s="377"/>
    </row>
    <row r="6" spans="1:11" ht="60" customHeight="1" thickBot="1">
      <c r="A6" s="10" t="s">
        <v>392</v>
      </c>
      <c r="B6" s="974" t="s">
        <v>362</v>
      </c>
      <c r="C6" s="971"/>
      <c r="D6" s="971"/>
      <c r="E6" s="971"/>
      <c r="F6" s="971"/>
      <c r="G6" s="972"/>
      <c r="J6" s="377"/>
      <c r="K6" s="539"/>
    </row>
    <row r="8" spans="1:11" ht="17.25" thickBot="1">
      <c r="A8" s="923" t="s">
        <v>394</v>
      </c>
      <c r="B8" s="923"/>
      <c r="J8" s="941"/>
      <c r="K8" s="941"/>
    </row>
    <row r="9" spans="1:11">
      <c r="A9" s="924" t="s">
        <v>395</v>
      </c>
      <c r="B9" s="925"/>
      <c r="C9" s="13" t="s">
        <v>396</v>
      </c>
      <c r="D9" s="13" t="s">
        <v>397</v>
      </c>
      <c r="E9" s="13" t="s">
        <v>398</v>
      </c>
      <c r="F9" s="13" t="s">
        <v>399</v>
      </c>
      <c r="G9" s="14"/>
      <c r="J9" s="377"/>
      <c r="K9" s="377"/>
    </row>
    <row r="10" spans="1:11">
      <c r="A10" s="926" t="s">
        <v>427</v>
      </c>
      <c r="B10" s="927"/>
      <c r="C10" s="26" t="s">
        <v>428</v>
      </c>
      <c r="D10" s="21">
        <f>G43</f>
        <v>202380.46674624828</v>
      </c>
      <c r="E10" s="335">
        <v>0.05</v>
      </c>
      <c r="F10" s="22">
        <f>E10*D10</f>
        <v>10119.023337312414</v>
      </c>
      <c r="G10" s="15"/>
      <c r="J10" s="377"/>
      <c r="K10" s="377"/>
    </row>
    <row r="11" spans="1:11">
      <c r="A11" s="999"/>
      <c r="B11" s="1000"/>
      <c r="C11" s="436"/>
      <c r="D11" s="437"/>
      <c r="E11" s="535"/>
      <c r="F11" s="414"/>
      <c r="G11" s="15"/>
      <c r="J11" s="377"/>
      <c r="K11" s="377"/>
    </row>
    <row r="12" spans="1:11" ht="17.25" thickBot="1">
      <c r="A12" s="959"/>
      <c r="B12" s="960"/>
      <c r="C12" s="24"/>
      <c r="D12" s="24"/>
      <c r="E12" s="368"/>
      <c r="F12" s="326"/>
      <c r="G12" s="17"/>
      <c r="J12" s="377"/>
      <c r="K12" s="539"/>
    </row>
    <row r="13" spans="1:11" ht="17.25" thickBot="1">
      <c r="F13" s="4" t="s">
        <v>400</v>
      </c>
      <c r="G13" s="25">
        <f>SUM(F10:F12)</f>
        <v>10119.023337312414</v>
      </c>
    </row>
    <row r="14" spans="1:11">
      <c r="F14" s="4"/>
      <c r="G14" s="336"/>
      <c r="J14" s="941"/>
      <c r="K14" s="941"/>
    </row>
    <row r="15" spans="1:11" ht="17.25" thickBot="1">
      <c r="A15" s="930" t="s">
        <v>401</v>
      </c>
      <c r="B15" s="930"/>
      <c r="J15" s="377"/>
      <c r="K15" s="377"/>
    </row>
    <row r="16" spans="1:11">
      <c r="A16" s="931" t="s">
        <v>395</v>
      </c>
      <c r="B16" s="932"/>
      <c r="C16" s="13" t="s">
        <v>402</v>
      </c>
      <c r="D16" s="13" t="s">
        <v>403</v>
      </c>
      <c r="E16" s="13" t="s">
        <v>404</v>
      </c>
      <c r="F16" s="13" t="s">
        <v>399</v>
      </c>
      <c r="G16" s="18"/>
      <c r="J16" s="377"/>
      <c r="K16" s="377"/>
    </row>
    <row r="17" spans="1:11" ht="16.5" customHeight="1">
      <c r="A17" s="997"/>
      <c r="B17" s="998"/>
      <c r="C17" s="323"/>
      <c r="D17" s="366"/>
      <c r="E17" s="371"/>
      <c r="F17" s="22">
        <f>+E17*D17</f>
        <v>0</v>
      </c>
      <c r="G17" s="16"/>
      <c r="J17" s="377"/>
      <c r="K17" s="539"/>
    </row>
    <row r="18" spans="1:11">
      <c r="A18" s="916"/>
      <c r="B18" s="917"/>
      <c r="C18" s="338"/>
      <c r="D18" s="366"/>
      <c r="E18" s="371"/>
      <c r="F18" s="22">
        <f>+D18*E18</f>
        <v>0</v>
      </c>
      <c r="G18" s="16"/>
      <c r="I18" s="374"/>
    </row>
    <row r="19" spans="1:11">
      <c r="A19" s="935"/>
      <c r="B19" s="936"/>
      <c r="C19" s="323"/>
      <c r="D19" s="366"/>
      <c r="E19" s="342"/>
      <c r="F19" s="22">
        <f>+D19*E19</f>
        <v>0</v>
      </c>
      <c r="G19" s="343"/>
      <c r="I19" s="374"/>
      <c r="K19" s="432"/>
    </row>
    <row r="20" spans="1:11">
      <c r="A20" s="933"/>
      <c r="B20" s="934"/>
      <c r="C20" s="338"/>
      <c r="D20" s="367"/>
      <c r="E20" s="342"/>
      <c r="F20" s="22">
        <f>+D20*E20</f>
        <v>0</v>
      </c>
      <c r="G20" s="343"/>
      <c r="I20" s="374"/>
    </row>
    <row r="21" spans="1:11">
      <c r="A21" s="933"/>
      <c r="B21" s="934"/>
      <c r="C21" s="338"/>
      <c r="D21" s="367"/>
      <c r="E21" s="342"/>
      <c r="F21" s="22">
        <f>+D21*E21</f>
        <v>0</v>
      </c>
      <c r="G21" s="343"/>
      <c r="J21" s="941"/>
      <c r="K21" s="941"/>
    </row>
    <row r="22" spans="1:11" ht="17.25" thickBot="1">
      <c r="A22" s="946"/>
      <c r="B22" s="973"/>
      <c r="C22" s="325"/>
      <c r="D22" s="344"/>
      <c r="E22" s="345"/>
      <c r="F22" s="326">
        <f>+D22*E22</f>
        <v>0</v>
      </c>
      <c r="G22" s="346"/>
      <c r="J22" s="377"/>
      <c r="K22" s="377"/>
    </row>
    <row r="23" spans="1:11" ht="17.25" thickBot="1">
      <c r="A23" s="941"/>
      <c r="B23" s="941"/>
      <c r="F23" s="4" t="s">
        <v>400</v>
      </c>
      <c r="G23" s="25">
        <f>SUM(F22,F21,F20,F19,F18,F17)</f>
        <v>0</v>
      </c>
      <c r="J23" s="377"/>
      <c r="K23" s="377"/>
    </row>
    <row r="24" spans="1:11" ht="17.25" thickBot="1">
      <c r="A24" s="930" t="s">
        <v>405</v>
      </c>
      <c r="B24" s="930"/>
      <c r="J24" s="377"/>
      <c r="K24" s="539"/>
    </row>
    <row r="25" spans="1:11">
      <c r="A25" s="931" t="s">
        <v>395</v>
      </c>
      <c r="B25" s="932"/>
      <c r="C25" s="13" t="s">
        <v>402</v>
      </c>
      <c r="D25" s="13" t="s">
        <v>403</v>
      </c>
      <c r="E25" s="13" t="s">
        <v>404</v>
      </c>
      <c r="F25" s="13" t="s">
        <v>399</v>
      </c>
      <c r="G25" s="18"/>
      <c r="I25" s="374"/>
    </row>
    <row r="26" spans="1:11">
      <c r="A26" s="997" t="s">
        <v>478</v>
      </c>
      <c r="B26" s="998"/>
      <c r="C26" s="323" t="s">
        <v>440</v>
      </c>
      <c r="D26" s="536">
        <v>2524704</v>
      </c>
      <c r="E26" s="371">
        <v>1</v>
      </c>
      <c r="F26" s="22">
        <f t="shared" ref="F26:F32" si="0">+D26*E26</f>
        <v>2524704</v>
      </c>
      <c r="G26" s="16"/>
      <c r="J26" s="941"/>
      <c r="K26" s="941"/>
    </row>
    <row r="27" spans="1:11">
      <c r="A27" s="916"/>
      <c r="B27" s="917"/>
      <c r="C27" s="338"/>
      <c r="D27" s="536"/>
      <c r="E27" s="510"/>
      <c r="F27" s="22">
        <f t="shared" si="0"/>
        <v>0</v>
      </c>
      <c r="G27" s="16"/>
      <c r="J27" s="377"/>
      <c r="K27" s="377"/>
    </row>
    <row r="28" spans="1:11">
      <c r="A28" s="933"/>
      <c r="B28" s="944"/>
      <c r="C28" s="323"/>
      <c r="D28" s="537"/>
      <c r="E28" s="450"/>
      <c r="F28" s="22">
        <f t="shared" si="0"/>
        <v>0</v>
      </c>
      <c r="G28" s="16"/>
      <c r="J28" s="377"/>
      <c r="K28" s="377"/>
    </row>
    <row r="29" spans="1:11">
      <c r="A29" s="933"/>
      <c r="B29" s="934"/>
      <c r="C29" s="323"/>
      <c r="D29" s="348"/>
      <c r="E29" s="347"/>
      <c r="F29" s="22">
        <f t="shared" si="0"/>
        <v>0</v>
      </c>
      <c r="G29" s="16"/>
      <c r="J29" s="377"/>
      <c r="K29" s="539"/>
    </row>
    <row r="30" spans="1:11">
      <c r="A30" s="945"/>
      <c r="B30" s="944"/>
      <c r="C30" s="323"/>
      <c r="D30" s="324"/>
      <c r="E30" s="347"/>
      <c r="F30" s="22">
        <f t="shared" si="0"/>
        <v>0</v>
      </c>
      <c r="G30" s="16"/>
      <c r="I30" s="374"/>
    </row>
    <row r="31" spans="1:11">
      <c r="A31" s="945"/>
      <c r="B31" s="944"/>
      <c r="C31" s="323"/>
      <c r="D31" s="324"/>
      <c r="E31" s="347"/>
      <c r="F31" s="22">
        <f t="shared" si="0"/>
        <v>0</v>
      </c>
      <c r="G31" s="16"/>
    </row>
    <row r="32" spans="1:11" ht="17.25" thickBot="1">
      <c r="A32" s="946"/>
      <c r="B32" s="947"/>
      <c r="C32" s="325"/>
      <c r="D32" s="349"/>
      <c r="E32" s="350"/>
      <c r="F32" s="326">
        <f t="shared" si="0"/>
        <v>0</v>
      </c>
      <c r="G32" s="17"/>
      <c r="J32" s="941"/>
      <c r="K32" s="941"/>
    </row>
    <row r="33" spans="1:11" ht="17.25" thickBot="1">
      <c r="F33" s="4" t="s">
        <v>400</v>
      </c>
      <c r="G33" s="11">
        <f>SUM(F26:F32)</f>
        <v>2524704</v>
      </c>
      <c r="J33" s="377"/>
      <c r="K33" s="377"/>
    </row>
    <row r="34" spans="1:11" ht="17.25" thickBot="1">
      <c r="A34" s="923" t="s">
        <v>410</v>
      </c>
      <c r="B34" s="923"/>
      <c r="J34" s="377"/>
      <c r="K34" s="377"/>
    </row>
    <row r="35" spans="1:11">
      <c r="A35" s="12" t="s">
        <v>411</v>
      </c>
      <c r="B35" s="13" t="s">
        <v>412</v>
      </c>
      <c r="C35" s="13" t="s">
        <v>413</v>
      </c>
      <c r="D35" s="13" t="s">
        <v>414</v>
      </c>
      <c r="E35" s="13" t="s">
        <v>415</v>
      </c>
      <c r="F35" s="13" t="s">
        <v>399</v>
      </c>
      <c r="G35" s="18"/>
      <c r="J35" s="377"/>
      <c r="K35" s="539"/>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row>
    <row r="38" spans="1:11" ht="17.25" thickBot="1">
      <c r="A38" s="29"/>
      <c r="B38" s="24"/>
      <c r="C38" s="24"/>
      <c r="D38" s="24"/>
      <c r="E38" s="33"/>
      <c r="F38" s="33"/>
      <c r="G38" s="17"/>
    </row>
    <row r="39" spans="1:11" ht="17.25" thickBot="1">
      <c r="F39" s="4" t="s">
        <v>400</v>
      </c>
      <c r="G39" s="11">
        <f>SUM(F36:F38)</f>
        <v>0</v>
      </c>
    </row>
    <row r="40" spans="1:11" ht="17.25" thickBot="1">
      <c r="A40" s="923" t="s">
        <v>419</v>
      </c>
      <c r="B40" s="923"/>
    </row>
    <row r="41" spans="1:11">
      <c r="A41" s="12" t="s">
        <v>416</v>
      </c>
      <c r="B41" s="13" t="s">
        <v>417</v>
      </c>
      <c r="C41" s="13" t="s">
        <v>193</v>
      </c>
      <c r="D41" s="13" t="s">
        <v>418</v>
      </c>
      <c r="E41" s="13" t="s">
        <v>398</v>
      </c>
      <c r="F41" s="13" t="s">
        <v>399</v>
      </c>
      <c r="G41" s="18"/>
    </row>
    <row r="42" spans="1:11" ht="17.25" thickBot="1">
      <c r="A42" s="356" t="str">
        <f>+Insumos!B30</f>
        <v>Cuadrilla (Electrico + Ayudante)</v>
      </c>
      <c r="B42" s="356">
        <f>+Insumos!C40</f>
        <v>26152.364711232374</v>
      </c>
      <c r="C42" s="356">
        <f>+Insumos!D40</f>
        <v>14323.728638017281</v>
      </c>
      <c r="D42" s="326">
        <f>+C42+B42</f>
        <v>40476.093349249655</v>
      </c>
      <c r="E42" s="434">
        <v>5</v>
      </c>
      <c r="F42" s="326">
        <f>+D42*E42</f>
        <v>202380.46674624828</v>
      </c>
      <c r="G42" s="357"/>
    </row>
    <row r="43" spans="1:11" ht="17.25" thickBot="1">
      <c r="F43" s="4" t="s">
        <v>400</v>
      </c>
      <c r="G43" s="11">
        <f>SUM(F42:F42)</f>
        <v>202380.46674624828</v>
      </c>
    </row>
    <row r="44" spans="1:11" ht="17.25" thickBot="1"/>
    <row r="45" spans="1:11" ht="17.25" thickBot="1">
      <c r="F45" s="4" t="s">
        <v>420</v>
      </c>
      <c r="G45" s="71">
        <f>SUM(G43,G39,G33,G23,G13)</f>
        <v>2737203.4900835608</v>
      </c>
    </row>
    <row r="71" spans="10:10">
      <c r="J71" s="151"/>
    </row>
  </sheetData>
  <mergeCells count="36">
    <mergeCell ref="A12:B12"/>
    <mergeCell ref="A1:C1"/>
    <mergeCell ref="D1:G1"/>
    <mergeCell ref="A3:G3"/>
    <mergeCell ref="J3:K3"/>
    <mergeCell ref="A4:G4"/>
    <mergeCell ref="B6:G6"/>
    <mergeCell ref="A8:B8"/>
    <mergeCell ref="J8:K8"/>
    <mergeCell ref="A9:B9"/>
    <mergeCell ref="A10:B10"/>
    <mergeCell ref="A11:B11"/>
    <mergeCell ref="A24:B24"/>
    <mergeCell ref="J14:K14"/>
    <mergeCell ref="A15:B15"/>
    <mergeCell ref="A16:B16"/>
    <mergeCell ref="A17:B17"/>
    <mergeCell ref="A18:B18"/>
    <mergeCell ref="A19:B19"/>
    <mergeCell ref="A20:B20"/>
    <mergeCell ref="A21:B21"/>
    <mergeCell ref="J21:K21"/>
    <mergeCell ref="A22:B22"/>
    <mergeCell ref="A23:B23"/>
    <mergeCell ref="A40:B40"/>
    <mergeCell ref="A25:B25"/>
    <mergeCell ref="A26:B26"/>
    <mergeCell ref="J26:K26"/>
    <mergeCell ref="A27:B27"/>
    <mergeCell ref="A28:B28"/>
    <mergeCell ref="A29:B29"/>
    <mergeCell ref="A30:B30"/>
    <mergeCell ref="A31:B31"/>
    <mergeCell ref="A32:B32"/>
    <mergeCell ref="J32:K32"/>
    <mergeCell ref="A34:B34"/>
  </mergeCells>
  <pageMargins left="0.7" right="0.7" top="0.75" bottom="0.75" header="0.3" footer="0.3"/>
  <pageSetup orientation="portrait" horizontalDpi="4294967295" verticalDpi="4294967295"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BD46B-9ADD-4CEE-946D-0EECFE5BB1F3}">
  <dimension ref="A1:K71"/>
  <sheetViews>
    <sheetView topLeftCell="A10" zoomScale="96" zoomScaleNormal="96" workbookViewId="0">
      <selection activeCell="D26" sqref="D26"/>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1" ht="77.25" customHeight="1" thickBot="1">
      <c r="A1" s="918"/>
      <c r="B1" s="919"/>
      <c r="C1" s="919"/>
      <c r="D1" s="704" t="s">
        <v>388</v>
      </c>
      <c r="E1" s="705"/>
      <c r="F1" s="705"/>
      <c r="G1" s="706"/>
    </row>
    <row r="2" spans="1:11" ht="22.5" customHeight="1" thickBot="1">
      <c r="A2" s="8"/>
      <c r="B2" s="8"/>
      <c r="C2" s="8"/>
      <c r="D2" s="9"/>
      <c r="E2" s="9"/>
      <c r="F2" s="9"/>
      <c r="G2" s="9"/>
    </row>
    <row r="3" spans="1:11" ht="23.25" customHeight="1" thickBot="1">
      <c r="A3" s="747" t="str">
        <f>+'AU  Consul P2'!A3:I3</f>
        <v>SECRETARÍA DE TALENTO HUMANO Y SERVICIOS ADMINISTRATIVOS- DIRECCIÓN DE SERVICIOS GENERALES</v>
      </c>
      <c r="B3" s="748"/>
      <c r="C3" s="748"/>
      <c r="D3" s="748"/>
      <c r="E3" s="748"/>
      <c r="F3" s="748"/>
      <c r="G3" s="749"/>
      <c r="J3" s="941"/>
      <c r="K3" s="941"/>
    </row>
    <row r="4" spans="1:11" s="1" customFormat="1" ht="40.15" customHeight="1" thickBot="1">
      <c r="A4" s="750" t="str">
        <f>+'PRESUPUESTO OFICIAL 2026'!B41</f>
        <v>4.1</v>
      </c>
      <c r="B4" s="751"/>
      <c r="C4" s="752"/>
      <c r="D4" s="752"/>
      <c r="E4" s="752"/>
      <c r="F4" s="752"/>
      <c r="G4" s="753"/>
      <c r="J4" s="377"/>
      <c r="K4" s="377"/>
    </row>
    <row r="5" spans="1:11" ht="22.5" customHeight="1" thickBot="1">
      <c r="A5" s="364" t="s">
        <v>389</v>
      </c>
      <c r="B5" s="372">
        <f>+'PRESUPUESTO OFICIAL 2026'!B43</f>
        <v>4.5</v>
      </c>
      <c r="C5" s="3"/>
      <c r="D5" s="3"/>
      <c r="E5" s="3"/>
      <c r="F5" s="7" t="s">
        <v>391</v>
      </c>
      <c r="G5" s="363" t="str">
        <f>+'PRESUPUESTO OFICIAL 2026'!H43</f>
        <v>GLO</v>
      </c>
      <c r="J5" s="377"/>
      <c r="K5" s="377"/>
    </row>
    <row r="6" spans="1:11" ht="60" customHeight="1" thickBot="1">
      <c r="A6" s="10" t="s">
        <v>392</v>
      </c>
      <c r="B6" s="974" t="s">
        <v>363</v>
      </c>
      <c r="C6" s="971"/>
      <c r="D6" s="971"/>
      <c r="E6" s="971"/>
      <c r="F6" s="971"/>
      <c r="G6" s="972"/>
      <c r="J6" s="377"/>
      <c r="K6" s="539"/>
    </row>
    <row r="8" spans="1:11" ht="17.25" thickBot="1">
      <c r="A8" s="923" t="s">
        <v>394</v>
      </c>
      <c r="B8" s="923"/>
      <c r="J8" s="941"/>
      <c r="K8" s="941"/>
    </row>
    <row r="9" spans="1:11">
      <c r="A9" s="924" t="s">
        <v>395</v>
      </c>
      <c r="B9" s="925"/>
      <c r="C9" s="13" t="s">
        <v>396</v>
      </c>
      <c r="D9" s="13" t="s">
        <v>397</v>
      </c>
      <c r="E9" s="13" t="s">
        <v>398</v>
      </c>
      <c r="F9" s="13" t="s">
        <v>399</v>
      </c>
      <c r="G9" s="14"/>
      <c r="J9" s="377"/>
      <c r="K9" s="377"/>
    </row>
    <row r="10" spans="1:11">
      <c r="A10" s="926" t="s">
        <v>427</v>
      </c>
      <c r="B10" s="927"/>
      <c r="C10" s="26" t="s">
        <v>428</v>
      </c>
      <c r="D10" s="21">
        <f>G43</f>
        <v>80952.18669849931</v>
      </c>
      <c r="E10" s="335">
        <v>0.05</v>
      </c>
      <c r="F10" s="22">
        <f>E10*D10</f>
        <v>4047.6093349249659</v>
      </c>
      <c r="G10" s="15"/>
      <c r="J10" s="377"/>
      <c r="K10" s="377"/>
    </row>
    <row r="11" spans="1:11">
      <c r="A11" s="999"/>
      <c r="B11" s="1000"/>
      <c r="C11" s="436"/>
      <c r="D11" s="437"/>
      <c r="E11" s="535"/>
      <c r="F11" s="414"/>
      <c r="G11" s="15"/>
      <c r="J11" s="377"/>
      <c r="K11" s="377"/>
    </row>
    <row r="12" spans="1:11" ht="17.25" thickBot="1">
      <c r="A12" s="959"/>
      <c r="B12" s="960"/>
      <c r="C12" s="24"/>
      <c r="D12" s="24"/>
      <c r="E12" s="368"/>
      <c r="F12" s="326"/>
      <c r="G12" s="17"/>
      <c r="J12" s="377"/>
      <c r="K12" s="539"/>
    </row>
    <row r="13" spans="1:11" ht="17.25" thickBot="1">
      <c r="F13" s="4" t="s">
        <v>400</v>
      </c>
      <c r="G13" s="25">
        <f>SUM(F10:F12)</f>
        <v>4047.6093349249659</v>
      </c>
    </row>
    <row r="14" spans="1:11">
      <c r="F14" s="4"/>
      <c r="G14" s="336"/>
      <c r="J14" s="941"/>
      <c r="K14" s="941"/>
    </row>
    <row r="15" spans="1:11" ht="17.25" thickBot="1">
      <c r="A15" s="930" t="s">
        <v>401</v>
      </c>
      <c r="B15" s="930"/>
      <c r="J15" s="377"/>
      <c r="K15" s="377"/>
    </row>
    <row r="16" spans="1:11">
      <c r="A16" s="931" t="s">
        <v>395</v>
      </c>
      <c r="B16" s="932"/>
      <c r="C16" s="13" t="s">
        <v>402</v>
      </c>
      <c r="D16" s="13" t="s">
        <v>403</v>
      </c>
      <c r="E16" s="13" t="s">
        <v>404</v>
      </c>
      <c r="F16" s="13" t="s">
        <v>399</v>
      </c>
      <c r="G16" s="18"/>
      <c r="J16" s="377"/>
      <c r="K16" s="377"/>
    </row>
    <row r="17" spans="1:11" ht="16.5" customHeight="1">
      <c r="A17" s="997"/>
      <c r="B17" s="998"/>
      <c r="C17" s="323"/>
      <c r="D17" s="366"/>
      <c r="E17" s="371"/>
      <c r="F17" s="22">
        <f>+E17*D17</f>
        <v>0</v>
      </c>
      <c r="G17" s="16"/>
      <c r="J17" s="377"/>
      <c r="K17" s="539"/>
    </row>
    <row r="18" spans="1:11">
      <c r="A18" s="916"/>
      <c r="B18" s="917"/>
      <c r="C18" s="338"/>
      <c r="D18" s="366"/>
      <c r="E18" s="371"/>
      <c r="F18" s="22">
        <f>+D18*E18</f>
        <v>0</v>
      </c>
      <c r="G18" s="16"/>
      <c r="I18" s="374"/>
    </row>
    <row r="19" spans="1:11">
      <c r="A19" s="935"/>
      <c r="B19" s="936"/>
      <c r="C19" s="323"/>
      <c r="D19" s="366"/>
      <c r="E19" s="342"/>
      <c r="F19" s="22">
        <f>+D19*E19</f>
        <v>0</v>
      </c>
      <c r="G19" s="343"/>
      <c r="I19" s="374"/>
      <c r="K19" s="432"/>
    </row>
    <row r="20" spans="1:11">
      <c r="A20" s="933"/>
      <c r="B20" s="934"/>
      <c r="C20" s="338"/>
      <c r="D20" s="367"/>
      <c r="E20" s="342"/>
      <c r="F20" s="22">
        <f>+D20*E20</f>
        <v>0</v>
      </c>
      <c r="G20" s="343"/>
      <c r="I20" s="374"/>
    </row>
    <row r="21" spans="1:11">
      <c r="A21" s="933"/>
      <c r="B21" s="934"/>
      <c r="C21" s="338"/>
      <c r="D21" s="367"/>
      <c r="E21" s="342"/>
      <c r="F21" s="22">
        <f>+D21*E21</f>
        <v>0</v>
      </c>
      <c r="G21" s="343"/>
      <c r="J21" s="941"/>
      <c r="K21" s="941"/>
    </row>
    <row r="22" spans="1:11" ht="17.25" thickBot="1">
      <c r="A22" s="946"/>
      <c r="B22" s="973"/>
      <c r="C22" s="325"/>
      <c r="D22" s="344"/>
      <c r="E22" s="345"/>
      <c r="F22" s="326">
        <f>+D22*E22</f>
        <v>0</v>
      </c>
      <c r="G22" s="346"/>
      <c r="J22" s="377"/>
      <c r="K22" s="377"/>
    </row>
    <row r="23" spans="1:11" ht="17.25" thickBot="1">
      <c r="A23" s="941"/>
      <c r="B23" s="941"/>
      <c r="F23" s="4" t="s">
        <v>400</v>
      </c>
      <c r="G23" s="25">
        <f>SUM(F22,F21,F20,F19,F18,F17)</f>
        <v>0</v>
      </c>
      <c r="J23" s="377"/>
      <c r="K23" s="377"/>
    </row>
    <row r="24" spans="1:11" ht="17.25" thickBot="1">
      <c r="A24" s="930" t="s">
        <v>405</v>
      </c>
      <c r="B24" s="930"/>
      <c r="J24" s="377"/>
      <c r="K24" s="539"/>
    </row>
    <row r="25" spans="1:11">
      <c r="A25" s="931" t="s">
        <v>395</v>
      </c>
      <c r="B25" s="932"/>
      <c r="C25" s="13" t="s">
        <v>402</v>
      </c>
      <c r="D25" s="13" t="s">
        <v>403</v>
      </c>
      <c r="E25" s="13" t="s">
        <v>404</v>
      </c>
      <c r="F25" s="13" t="s">
        <v>399</v>
      </c>
      <c r="G25" s="18"/>
      <c r="I25" s="374"/>
    </row>
    <row r="26" spans="1:11">
      <c r="A26" s="997" t="s">
        <v>479</v>
      </c>
      <c r="B26" s="998"/>
      <c r="C26" s="323" t="s">
        <v>496</v>
      </c>
      <c r="D26" s="653">
        <v>10000</v>
      </c>
      <c r="E26" s="641"/>
      <c r="F26" s="22">
        <f t="shared" ref="F26:F32" si="0">+D26*E26</f>
        <v>0</v>
      </c>
      <c r="G26" s="16"/>
      <c r="I26" s="2" t="s">
        <v>503</v>
      </c>
      <c r="J26" s="941"/>
      <c r="K26" s="941"/>
    </row>
    <row r="27" spans="1:11">
      <c r="A27" s="916" t="s">
        <v>480</v>
      </c>
      <c r="B27" s="917"/>
      <c r="C27" s="338" t="s">
        <v>481</v>
      </c>
      <c r="D27" s="536">
        <v>33000</v>
      </c>
      <c r="E27" s="510">
        <v>2</v>
      </c>
      <c r="F27" s="22">
        <f t="shared" si="0"/>
        <v>66000</v>
      </c>
      <c r="G27" s="16"/>
      <c r="J27" s="377"/>
      <c r="K27" s="377"/>
    </row>
    <row r="28" spans="1:11">
      <c r="A28" s="933"/>
      <c r="B28" s="944"/>
      <c r="C28" s="323"/>
      <c r="D28" s="537"/>
      <c r="E28" s="450"/>
      <c r="F28" s="22">
        <f t="shared" si="0"/>
        <v>0</v>
      </c>
      <c r="G28" s="16"/>
      <c r="J28" s="377"/>
      <c r="K28" s="377"/>
    </row>
    <row r="29" spans="1:11">
      <c r="A29" s="933"/>
      <c r="B29" s="934"/>
      <c r="C29" s="323"/>
      <c r="D29" s="348"/>
      <c r="E29" s="347"/>
      <c r="F29" s="22">
        <f t="shared" si="0"/>
        <v>0</v>
      </c>
      <c r="G29" s="16"/>
      <c r="J29" s="377"/>
      <c r="K29" s="539"/>
    </row>
    <row r="30" spans="1:11">
      <c r="A30" s="945"/>
      <c r="B30" s="944"/>
      <c r="C30" s="323"/>
      <c r="D30" s="324"/>
      <c r="E30" s="347"/>
      <c r="F30" s="22">
        <f t="shared" si="0"/>
        <v>0</v>
      </c>
      <c r="G30" s="16"/>
      <c r="I30" s="374"/>
    </row>
    <row r="31" spans="1:11">
      <c r="A31" s="945"/>
      <c r="B31" s="944"/>
      <c r="C31" s="323"/>
      <c r="D31" s="324"/>
      <c r="E31" s="347"/>
      <c r="F31" s="22">
        <f t="shared" si="0"/>
        <v>0</v>
      </c>
      <c r="G31" s="16"/>
    </row>
    <row r="32" spans="1:11" ht="17.25" thickBot="1">
      <c r="A32" s="946"/>
      <c r="B32" s="947"/>
      <c r="C32" s="325"/>
      <c r="D32" s="349"/>
      <c r="E32" s="350"/>
      <c r="F32" s="326">
        <f t="shared" si="0"/>
        <v>0</v>
      </c>
      <c r="G32" s="17"/>
      <c r="J32" s="941"/>
      <c r="K32" s="941"/>
    </row>
    <row r="33" spans="1:11" ht="17.25" thickBot="1">
      <c r="F33" s="4" t="s">
        <v>400</v>
      </c>
      <c r="G33" s="11">
        <f>SUM(F26:F32)</f>
        <v>66000</v>
      </c>
      <c r="J33" s="377"/>
      <c r="K33" s="377"/>
    </row>
    <row r="34" spans="1:11" ht="17.25" thickBot="1">
      <c r="A34" s="923" t="s">
        <v>410</v>
      </c>
      <c r="B34" s="923"/>
      <c r="J34" s="377"/>
      <c r="K34" s="377"/>
    </row>
    <row r="35" spans="1:11">
      <c r="A35" s="12" t="s">
        <v>411</v>
      </c>
      <c r="B35" s="13" t="s">
        <v>412</v>
      </c>
      <c r="C35" s="13" t="s">
        <v>413</v>
      </c>
      <c r="D35" s="13" t="s">
        <v>414</v>
      </c>
      <c r="E35" s="13" t="s">
        <v>415</v>
      </c>
      <c r="F35" s="13" t="s">
        <v>399</v>
      </c>
      <c r="G35" s="18"/>
      <c r="J35" s="377"/>
      <c r="K35" s="539"/>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row>
    <row r="38" spans="1:11" ht="17.25" thickBot="1">
      <c r="A38" s="29"/>
      <c r="B38" s="24"/>
      <c r="C38" s="24"/>
      <c r="D38" s="24"/>
      <c r="E38" s="33"/>
      <c r="F38" s="33"/>
      <c r="G38" s="17"/>
    </row>
    <row r="39" spans="1:11" ht="17.25" thickBot="1">
      <c r="F39" s="4" t="s">
        <v>400</v>
      </c>
      <c r="G39" s="11">
        <f>SUM(F36:F38)</f>
        <v>0</v>
      </c>
    </row>
    <row r="40" spans="1:11" ht="17.25" thickBot="1">
      <c r="A40" s="923" t="s">
        <v>419</v>
      </c>
      <c r="B40" s="923"/>
    </row>
    <row r="41" spans="1:11">
      <c r="A41" s="12" t="s">
        <v>416</v>
      </c>
      <c r="B41" s="13" t="s">
        <v>417</v>
      </c>
      <c r="C41" s="13" t="s">
        <v>193</v>
      </c>
      <c r="D41" s="13" t="s">
        <v>418</v>
      </c>
      <c r="E41" s="13" t="s">
        <v>398</v>
      </c>
      <c r="F41" s="13" t="s">
        <v>399</v>
      </c>
      <c r="G41" s="18"/>
    </row>
    <row r="42" spans="1:11" ht="17.25" thickBot="1">
      <c r="A42" s="356" t="str">
        <f>+Insumos!B30</f>
        <v>Cuadrilla (Electrico + Ayudante)</v>
      </c>
      <c r="B42" s="356">
        <f>+Insumos!C40</f>
        <v>26152.364711232374</v>
      </c>
      <c r="C42" s="356">
        <f>+Insumos!D40</f>
        <v>14323.728638017281</v>
      </c>
      <c r="D42" s="326">
        <f>+C42+B42</f>
        <v>40476.093349249655</v>
      </c>
      <c r="E42" s="434">
        <v>2</v>
      </c>
      <c r="F42" s="326">
        <f>+D42*E42</f>
        <v>80952.18669849931</v>
      </c>
      <c r="G42" s="357"/>
    </row>
    <row r="43" spans="1:11" ht="17.25" thickBot="1">
      <c r="F43" s="4" t="s">
        <v>400</v>
      </c>
      <c r="G43" s="11">
        <f>SUM(F42:F42)</f>
        <v>80952.18669849931</v>
      </c>
    </row>
    <row r="44" spans="1:11" ht="17.25" thickBot="1"/>
    <row r="45" spans="1:11" ht="17.25" thickBot="1">
      <c r="F45" s="4" t="s">
        <v>420</v>
      </c>
      <c r="G45" s="71">
        <f>SUM(G43,G39,G33,G23,G13)</f>
        <v>150999.79603342427</v>
      </c>
    </row>
    <row r="71" spans="10:10">
      <c r="J71" s="151"/>
    </row>
  </sheetData>
  <mergeCells count="36">
    <mergeCell ref="A12:B12"/>
    <mergeCell ref="A1:C1"/>
    <mergeCell ref="D1:G1"/>
    <mergeCell ref="A3:G3"/>
    <mergeCell ref="J3:K3"/>
    <mergeCell ref="A4:G4"/>
    <mergeCell ref="B6:G6"/>
    <mergeCell ref="A8:B8"/>
    <mergeCell ref="J8:K8"/>
    <mergeCell ref="A9:B9"/>
    <mergeCell ref="A10:B10"/>
    <mergeCell ref="A11:B11"/>
    <mergeCell ref="A24:B24"/>
    <mergeCell ref="J14:K14"/>
    <mergeCell ref="A15:B15"/>
    <mergeCell ref="A16:B16"/>
    <mergeCell ref="A17:B17"/>
    <mergeCell ref="A18:B18"/>
    <mergeCell ref="A19:B19"/>
    <mergeCell ref="A20:B20"/>
    <mergeCell ref="A21:B21"/>
    <mergeCell ref="J21:K21"/>
    <mergeCell ref="A22:B22"/>
    <mergeCell ref="A23:B23"/>
    <mergeCell ref="A40:B40"/>
    <mergeCell ref="A25:B25"/>
    <mergeCell ref="A26:B26"/>
    <mergeCell ref="J26:K26"/>
    <mergeCell ref="A27:B27"/>
    <mergeCell ref="A28:B28"/>
    <mergeCell ref="A29:B29"/>
    <mergeCell ref="A30:B30"/>
    <mergeCell ref="A31:B31"/>
    <mergeCell ref="A32:B32"/>
    <mergeCell ref="J32:K32"/>
    <mergeCell ref="A34:B34"/>
  </mergeCells>
  <pageMargins left="0.7" right="0.7" top="0.75" bottom="0.75" header="0.3" footer="0.3"/>
  <pageSetup orientation="portrait" horizontalDpi="4294967295" verticalDpi="4294967295"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3DCD4-F1D2-47A1-BA96-D9FBBF53DC0B}">
  <dimension ref="A1:M71"/>
  <sheetViews>
    <sheetView topLeftCell="A4" zoomScale="98" zoomScaleNormal="98" workbookViewId="0">
      <selection activeCell="L29" sqref="L29"/>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3" ht="77.25" customHeight="1" thickBot="1">
      <c r="A1" s="918"/>
      <c r="B1" s="919"/>
      <c r="C1" s="919"/>
      <c r="D1" s="704" t="s">
        <v>388</v>
      </c>
      <c r="E1" s="705"/>
      <c r="F1" s="705"/>
      <c r="G1" s="706"/>
    </row>
    <row r="2" spans="1:13" ht="22.5" customHeight="1" thickBot="1">
      <c r="A2" s="8"/>
      <c r="B2" s="8"/>
      <c r="C2" s="8"/>
      <c r="D2" s="9"/>
      <c r="E2" s="9"/>
      <c r="F2" s="9"/>
      <c r="G2" s="9"/>
    </row>
    <row r="3" spans="1:13" ht="23.25" customHeight="1" thickBot="1">
      <c r="A3" s="747" t="str">
        <f>+'AU  Consul P2'!A3:I3</f>
        <v>SECRETARÍA DE TALENTO HUMANO Y SERVICIOS ADMINISTRATIVOS- DIRECCIÓN DE SERVICIOS GENERALES</v>
      </c>
      <c r="B3" s="748"/>
      <c r="C3" s="748"/>
      <c r="D3" s="748"/>
      <c r="E3" s="748"/>
      <c r="F3" s="748"/>
      <c r="G3" s="749"/>
      <c r="J3" s="941"/>
      <c r="K3" s="941"/>
    </row>
    <row r="4" spans="1:13" s="1" customFormat="1" ht="40.15" customHeight="1" thickBot="1">
      <c r="A4" s="750" t="str">
        <f>+'PRESUPUESTO OFICIAL 2026'!B41</f>
        <v>4.1</v>
      </c>
      <c r="B4" s="751"/>
      <c r="C4" s="752"/>
      <c r="D4" s="752"/>
      <c r="E4" s="752"/>
      <c r="F4" s="752"/>
      <c r="G4" s="753"/>
      <c r="J4" s="377"/>
      <c r="K4" s="377"/>
    </row>
    <row r="5" spans="1:13" ht="22.5" customHeight="1" thickBot="1">
      <c r="A5" s="364" t="s">
        <v>389</v>
      </c>
      <c r="B5" s="372" t="str">
        <f>+'PRESUPUESTO OFICIAL 2026'!B44</f>
        <v>4.3</v>
      </c>
      <c r="C5" s="3"/>
      <c r="D5" s="3"/>
      <c r="E5" s="3"/>
      <c r="F5" s="7" t="s">
        <v>391</v>
      </c>
      <c r="G5" s="363" t="str">
        <f>+'PRESUPUESTO OFICIAL 2026'!H44</f>
        <v>GLO</v>
      </c>
      <c r="J5" s="377"/>
      <c r="K5" s="377"/>
    </row>
    <row r="6" spans="1:13" ht="60" customHeight="1" thickBot="1">
      <c r="A6" s="10" t="s">
        <v>392</v>
      </c>
      <c r="B6" s="1011" t="s">
        <v>364</v>
      </c>
      <c r="C6" s="1012"/>
      <c r="D6" s="1012"/>
      <c r="E6" s="1012"/>
      <c r="F6" s="1012"/>
      <c r="G6" s="1013"/>
      <c r="J6" s="377"/>
      <c r="K6" s="539"/>
    </row>
    <row r="8" spans="1:13" ht="17.25" thickBot="1">
      <c r="A8" s="923" t="s">
        <v>394</v>
      </c>
      <c r="B8" s="923"/>
      <c r="J8" s="941"/>
      <c r="K8" s="941"/>
    </row>
    <row r="9" spans="1:13">
      <c r="A9" s="924" t="s">
        <v>395</v>
      </c>
      <c r="B9" s="925"/>
      <c r="C9" s="13" t="s">
        <v>396</v>
      </c>
      <c r="D9" s="13" t="s">
        <v>397</v>
      </c>
      <c r="E9" s="13" t="s">
        <v>398</v>
      </c>
      <c r="F9" s="13" t="s">
        <v>399</v>
      </c>
      <c r="G9" s="14"/>
      <c r="J9" s="377"/>
      <c r="K9" s="377"/>
    </row>
    <row r="10" spans="1:13">
      <c r="A10" s="926" t="s">
        <v>427</v>
      </c>
      <c r="B10" s="927"/>
      <c r="C10" s="26" t="s">
        <v>428</v>
      </c>
      <c r="D10" s="21">
        <f>G43</f>
        <v>40476.093349249655</v>
      </c>
      <c r="E10" s="335">
        <v>0.05</v>
      </c>
      <c r="F10" s="22">
        <f>E10*D10</f>
        <v>2023.8046674624829</v>
      </c>
      <c r="G10" s="15"/>
      <c r="J10" s="377"/>
      <c r="K10" s="377"/>
    </row>
    <row r="11" spans="1:13">
      <c r="A11" s="999"/>
      <c r="B11" s="1000"/>
      <c r="C11" s="436"/>
      <c r="D11" s="437"/>
      <c r="E11" s="535"/>
      <c r="F11" s="414"/>
      <c r="G11" s="15"/>
      <c r="J11" s="377"/>
      <c r="K11" s="377"/>
      <c r="L11" s="2">
        <f>130330</f>
        <v>130330</v>
      </c>
      <c r="M11" s="2">
        <f>L11*1.19</f>
        <v>155092.69999999998</v>
      </c>
    </row>
    <row r="12" spans="1:13" ht="17.25" thickBot="1">
      <c r="A12" s="959"/>
      <c r="B12" s="960"/>
      <c r="C12" s="24"/>
      <c r="D12" s="24"/>
      <c r="E12" s="368"/>
      <c r="F12" s="326"/>
      <c r="G12" s="17"/>
      <c r="J12" s="377"/>
      <c r="K12" s="539"/>
      <c r="L12" s="2">
        <v>59530</v>
      </c>
      <c r="M12" s="2">
        <v>59530</v>
      </c>
    </row>
    <row r="13" spans="1:13" ht="17.25" thickBot="1">
      <c r="F13" s="4" t="s">
        <v>400</v>
      </c>
      <c r="G13" s="25">
        <f>SUM(F10:F12)</f>
        <v>2023.8046674624829</v>
      </c>
      <c r="L13" s="2">
        <v>81000</v>
      </c>
      <c r="M13" s="2">
        <v>81000</v>
      </c>
    </row>
    <row r="14" spans="1:13">
      <c r="F14" s="4"/>
      <c r="G14" s="336"/>
      <c r="J14" s="941"/>
      <c r="K14" s="941"/>
      <c r="M14" s="2">
        <f>AVERAGE(M11:M13)</f>
        <v>98540.89999999998</v>
      </c>
    </row>
    <row r="15" spans="1:13" ht="17.25" thickBot="1">
      <c r="A15" s="930" t="s">
        <v>401</v>
      </c>
      <c r="B15" s="930"/>
      <c r="J15" s="377"/>
      <c r="K15" s="377"/>
    </row>
    <row r="16" spans="1:13">
      <c r="A16" s="931" t="s">
        <v>395</v>
      </c>
      <c r="B16" s="932"/>
      <c r="C16" s="13" t="s">
        <v>402</v>
      </c>
      <c r="D16" s="13" t="s">
        <v>403</v>
      </c>
      <c r="E16" s="13" t="s">
        <v>404</v>
      </c>
      <c r="F16" s="13" t="s">
        <v>399</v>
      </c>
      <c r="G16" s="18"/>
      <c r="J16" s="377"/>
      <c r="K16" s="377"/>
    </row>
    <row r="17" spans="1:11" ht="16.5" customHeight="1">
      <c r="A17" s="984"/>
      <c r="B17" s="984"/>
      <c r="C17" s="522"/>
      <c r="D17" s="492"/>
      <c r="E17" s="504"/>
      <c r="F17" s="22"/>
      <c r="G17" s="16"/>
      <c r="J17" s="377"/>
      <c r="K17" s="539"/>
    </row>
    <row r="18" spans="1:11">
      <c r="A18" s="916"/>
      <c r="B18" s="917"/>
      <c r="C18" s="338"/>
      <c r="D18" s="366"/>
      <c r="E18" s="371"/>
      <c r="F18" s="22">
        <f>+D18*E18</f>
        <v>0</v>
      </c>
      <c r="G18" s="16"/>
      <c r="I18" s="374"/>
    </row>
    <row r="19" spans="1:11">
      <c r="A19" s="935"/>
      <c r="B19" s="936"/>
      <c r="C19" s="323"/>
      <c r="D19" s="366"/>
      <c r="E19" s="342"/>
      <c r="F19" s="22">
        <f>+D19*E19</f>
        <v>0</v>
      </c>
      <c r="G19" s="343"/>
      <c r="I19" s="374"/>
      <c r="K19" s="432"/>
    </row>
    <row r="20" spans="1:11">
      <c r="A20" s="933"/>
      <c r="B20" s="934"/>
      <c r="C20" s="338"/>
      <c r="D20" s="367"/>
      <c r="E20" s="342"/>
      <c r="F20" s="22">
        <f>+D20*E20</f>
        <v>0</v>
      </c>
      <c r="G20" s="343"/>
      <c r="I20" s="374"/>
    </row>
    <row r="21" spans="1:11">
      <c r="A21" s="933"/>
      <c r="B21" s="934"/>
      <c r="C21" s="338"/>
      <c r="D21" s="367"/>
      <c r="E21" s="342"/>
      <c r="F21" s="22">
        <f>+D21*E21</f>
        <v>0</v>
      </c>
      <c r="G21" s="343"/>
      <c r="J21" s="941"/>
      <c r="K21" s="941"/>
    </row>
    <row r="22" spans="1:11" ht="17.25" thickBot="1">
      <c r="A22" s="946"/>
      <c r="B22" s="973"/>
      <c r="C22" s="325"/>
      <c r="D22" s="344"/>
      <c r="E22" s="345"/>
      <c r="F22" s="326">
        <f>+D22*E22</f>
        <v>0</v>
      </c>
      <c r="G22" s="346"/>
      <c r="J22" s="377"/>
      <c r="K22" s="377"/>
    </row>
    <row r="23" spans="1:11" ht="17.25" thickBot="1">
      <c r="A23" s="941"/>
      <c r="B23" s="941"/>
      <c r="F23" s="4" t="s">
        <v>400</v>
      </c>
      <c r="G23" s="25">
        <f>SUM(F22,F21,F20,F19,F18,F17)</f>
        <v>0</v>
      </c>
      <c r="J23" s="377"/>
      <c r="K23" s="377"/>
    </row>
    <row r="24" spans="1:11" ht="17.25" thickBot="1">
      <c r="A24" s="930" t="s">
        <v>405</v>
      </c>
      <c r="B24" s="930"/>
      <c r="J24" s="377"/>
      <c r="K24" s="539"/>
    </row>
    <row r="25" spans="1:11">
      <c r="A25" s="931" t="s">
        <v>395</v>
      </c>
      <c r="B25" s="932"/>
      <c r="C25" s="13" t="s">
        <v>402</v>
      </c>
      <c r="D25" s="13" t="s">
        <v>403</v>
      </c>
      <c r="E25" s="13" t="s">
        <v>404</v>
      </c>
      <c r="F25" s="13" t="s">
        <v>399</v>
      </c>
      <c r="G25" s="18"/>
      <c r="I25" s="374"/>
    </row>
    <row r="26" spans="1:11">
      <c r="A26" s="984" t="s">
        <v>482</v>
      </c>
      <c r="B26" s="984"/>
      <c r="C26" s="522" t="s">
        <v>440</v>
      </c>
      <c r="D26" s="492">
        <v>98600</v>
      </c>
      <c r="E26" s="504">
        <v>1</v>
      </c>
      <c r="F26" s="22">
        <f t="shared" ref="F26:F32" si="0">+D26*E26</f>
        <v>98600</v>
      </c>
      <c r="G26" s="16"/>
      <c r="J26" s="941"/>
      <c r="K26" s="941"/>
    </row>
    <row r="27" spans="1:11">
      <c r="A27" s="916" t="s">
        <v>450</v>
      </c>
      <c r="B27" s="917"/>
      <c r="C27" s="338" t="s">
        <v>440</v>
      </c>
      <c r="D27" s="366">
        <f>+'APU 1,1'!D30</f>
        <v>5553.333333333333</v>
      </c>
      <c r="E27" s="371">
        <v>0.1</v>
      </c>
      <c r="F27" s="22">
        <f>+E27*D27</f>
        <v>555.33333333333337</v>
      </c>
      <c r="G27" s="16"/>
      <c r="J27" s="377"/>
      <c r="K27" s="377"/>
    </row>
    <row r="28" spans="1:11">
      <c r="A28" s="933"/>
      <c r="B28" s="944"/>
      <c r="C28" s="323"/>
      <c r="D28" s="537"/>
      <c r="E28" s="450"/>
      <c r="F28" s="22">
        <f t="shared" si="0"/>
        <v>0</v>
      </c>
      <c r="G28" s="16"/>
      <c r="J28" s="377"/>
      <c r="K28" s="377"/>
    </row>
    <row r="29" spans="1:11">
      <c r="A29" s="933"/>
      <c r="B29" s="934"/>
      <c r="C29" s="323"/>
      <c r="D29" s="348"/>
      <c r="E29" s="347"/>
      <c r="F29" s="22">
        <f t="shared" si="0"/>
        <v>0</v>
      </c>
      <c r="G29" s="16"/>
      <c r="J29" s="377"/>
      <c r="K29" s="539"/>
    </row>
    <row r="30" spans="1:11">
      <c r="A30" s="945"/>
      <c r="B30" s="944"/>
      <c r="C30" s="323"/>
      <c r="D30" s="324"/>
      <c r="E30" s="347"/>
      <c r="F30" s="22">
        <f t="shared" si="0"/>
        <v>0</v>
      </c>
      <c r="G30" s="16"/>
      <c r="I30" s="374"/>
    </row>
    <row r="31" spans="1:11">
      <c r="A31" s="945"/>
      <c r="B31" s="944"/>
      <c r="C31" s="323"/>
      <c r="D31" s="324"/>
      <c r="E31" s="347"/>
      <c r="F31" s="22">
        <f t="shared" si="0"/>
        <v>0</v>
      </c>
      <c r="G31" s="16"/>
    </row>
    <row r="32" spans="1:11" ht="17.25" thickBot="1">
      <c r="A32" s="946"/>
      <c r="B32" s="947"/>
      <c r="C32" s="325"/>
      <c r="D32" s="349"/>
      <c r="E32" s="350"/>
      <c r="F32" s="326">
        <f t="shared" si="0"/>
        <v>0</v>
      </c>
      <c r="G32" s="17"/>
      <c r="J32" s="941"/>
      <c r="K32" s="941"/>
    </row>
    <row r="33" spans="1:11" ht="17.25" thickBot="1">
      <c r="F33" s="4" t="s">
        <v>400</v>
      </c>
      <c r="G33" s="11">
        <f>SUM(F26:F32)</f>
        <v>99155.333333333328</v>
      </c>
      <c r="J33" s="377"/>
      <c r="K33" s="377"/>
    </row>
    <row r="34" spans="1:11" ht="17.25" thickBot="1">
      <c r="A34" s="923" t="s">
        <v>410</v>
      </c>
      <c r="B34" s="923"/>
      <c r="J34" s="377"/>
      <c r="K34" s="377"/>
    </row>
    <row r="35" spans="1:11">
      <c r="A35" s="12" t="s">
        <v>411</v>
      </c>
      <c r="B35" s="13" t="s">
        <v>412</v>
      </c>
      <c r="C35" s="13" t="s">
        <v>413</v>
      </c>
      <c r="D35" s="13" t="s">
        <v>414</v>
      </c>
      <c r="E35" s="13" t="s">
        <v>415</v>
      </c>
      <c r="F35" s="13" t="s">
        <v>399</v>
      </c>
      <c r="G35" s="18"/>
      <c r="J35" s="377"/>
      <c r="K35" s="539"/>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row>
    <row r="38" spans="1:11" ht="17.25" thickBot="1">
      <c r="A38" s="29"/>
      <c r="B38" s="24"/>
      <c r="C38" s="24"/>
      <c r="D38" s="24"/>
      <c r="E38" s="33"/>
      <c r="F38" s="33"/>
      <c r="G38" s="17"/>
    </row>
    <row r="39" spans="1:11" ht="17.25" thickBot="1">
      <c r="F39" s="4" t="s">
        <v>400</v>
      </c>
      <c r="G39" s="11">
        <f>SUM(F36:F38)</f>
        <v>0</v>
      </c>
    </row>
    <row r="40" spans="1:11" ht="17.25" thickBot="1">
      <c r="A40" s="923" t="s">
        <v>419</v>
      </c>
      <c r="B40" s="923"/>
    </row>
    <row r="41" spans="1:11">
      <c r="A41" s="12" t="s">
        <v>416</v>
      </c>
      <c r="B41" s="13" t="s">
        <v>417</v>
      </c>
      <c r="C41" s="13" t="s">
        <v>193</v>
      </c>
      <c r="D41" s="13" t="s">
        <v>418</v>
      </c>
      <c r="E41" s="13" t="s">
        <v>398</v>
      </c>
      <c r="F41" s="13" t="s">
        <v>399</v>
      </c>
      <c r="G41" s="18"/>
    </row>
    <row r="42" spans="1:11" ht="17.25" thickBot="1">
      <c r="A42" s="356" t="str">
        <f>+Insumos!B30</f>
        <v>Cuadrilla (Electrico + Ayudante)</v>
      </c>
      <c r="B42" s="356">
        <f>+Insumos!C40</f>
        <v>26152.364711232374</v>
      </c>
      <c r="C42" s="356">
        <f>+Insumos!D40</f>
        <v>14323.728638017281</v>
      </c>
      <c r="D42" s="326">
        <f>+C42+B42</f>
        <v>40476.093349249655</v>
      </c>
      <c r="E42" s="434">
        <v>1</v>
      </c>
      <c r="F42" s="326">
        <f>+D42*E42</f>
        <v>40476.093349249655</v>
      </c>
      <c r="G42" s="357"/>
    </row>
    <row r="43" spans="1:11" ht="17.25" thickBot="1">
      <c r="F43" s="4" t="s">
        <v>400</v>
      </c>
      <c r="G43" s="11">
        <f>SUM(F42:F42)</f>
        <v>40476.093349249655</v>
      </c>
    </row>
    <row r="44" spans="1:11" ht="17.25" thickBot="1"/>
    <row r="45" spans="1:11" ht="17.25" thickBot="1">
      <c r="F45" s="4" t="s">
        <v>420</v>
      </c>
      <c r="G45" s="71">
        <f>SUM(G43,G39,G33,G23,G13)</f>
        <v>141655.23135004548</v>
      </c>
    </row>
    <row r="71" spans="10:10">
      <c r="J71" s="151"/>
    </row>
  </sheetData>
  <mergeCells count="36">
    <mergeCell ref="A40:B40"/>
    <mergeCell ref="A25:B25"/>
    <mergeCell ref="A26:B26"/>
    <mergeCell ref="J26:K26"/>
    <mergeCell ref="A27:B27"/>
    <mergeCell ref="A28:B28"/>
    <mergeCell ref="A29:B29"/>
    <mergeCell ref="A30:B30"/>
    <mergeCell ref="A31:B31"/>
    <mergeCell ref="A32:B32"/>
    <mergeCell ref="J32:K32"/>
    <mergeCell ref="A34:B34"/>
    <mergeCell ref="A24:B24"/>
    <mergeCell ref="J14:K14"/>
    <mergeCell ref="A15:B15"/>
    <mergeCell ref="A16:B16"/>
    <mergeCell ref="A17:B17"/>
    <mergeCell ref="A18:B18"/>
    <mergeCell ref="A19:B19"/>
    <mergeCell ref="A20:B20"/>
    <mergeCell ref="A21:B21"/>
    <mergeCell ref="J21:K21"/>
    <mergeCell ref="A22:B22"/>
    <mergeCell ref="A23:B23"/>
    <mergeCell ref="A12:B12"/>
    <mergeCell ref="A1:C1"/>
    <mergeCell ref="D1:G1"/>
    <mergeCell ref="A3:G3"/>
    <mergeCell ref="J3:K3"/>
    <mergeCell ref="A4:G4"/>
    <mergeCell ref="B6:G6"/>
    <mergeCell ref="A8:B8"/>
    <mergeCell ref="J8:K8"/>
    <mergeCell ref="A9:B9"/>
    <mergeCell ref="A10:B10"/>
    <mergeCell ref="A11:B11"/>
  </mergeCells>
  <pageMargins left="0.7" right="0.7" top="0.75" bottom="0.75" header="0.3" footer="0.3"/>
  <pageSetup orientation="portrait" horizontalDpi="4294967295" verticalDpi="4294967295"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92012-DD1E-42BE-A695-1973F44CED3B}">
  <dimension ref="A1:M71"/>
  <sheetViews>
    <sheetView zoomScale="118" zoomScaleNormal="118" workbookViewId="0">
      <selection activeCell="J18" sqref="J18"/>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1" ht="77.25" customHeight="1" thickBot="1">
      <c r="A1" s="918"/>
      <c r="B1" s="919"/>
      <c r="C1" s="919"/>
      <c r="D1" s="704" t="s">
        <v>388</v>
      </c>
      <c r="E1" s="705"/>
      <c r="F1" s="705"/>
      <c r="G1" s="706"/>
    </row>
    <row r="2" spans="1:11" ht="22.5" customHeight="1" thickBot="1">
      <c r="A2" s="8"/>
      <c r="B2" s="8"/>
      <c r="C2" s="8"/>
      <c r="D2" s="9"/>
      <c r="E2" s="9"/>
      <c r="F2" s="9"/>
      <c r="G2" s="9"/>
    </row>
    <row r="3" spans="1:11" ht="23.25" customHeight="1" thickBot="1">
      <c r="A3" s="747" t="str">
        <f>+'AU  Consul P2'!A3:I3</f>
        <v>SECRETARÍA DE TALENTO HUMANO Y SERVICIOS ADMINISTRATIVOS- DIRECCIÓN DE SERVICIOS GENERALES</v>
      </c>
      <c r="B3" s="748"/>
      <c r="C3" s="748"/>
      <c r="D3" s="748"/>
      <c r="E3" s="748"/>
      <c r="F3" s="748"/>
      <c r="G3" s="749"/>
      <c r="J3" s="941"/>
      <c r="K3" s="941"/>
    </row>
    <row r="4" spans="1:11" s="1" customFormat="1" ht="40.15" customHeight="1" thickBot="1">
      <c r="A4" s="750" t="str">
        <f>+'PRESUPUESTO OFICIAL 2026'!B41</f>
        <v>4.1</v>
      </c>
      <c r="B4" s="751"/>
      <c r="C4" s="752"/>
      <c r="D4" s="752"/>
      <c r="E4" s="752"/>
      <c r="F4" s="752"/>
      <c r="G4" s="753"/>
      <c r="J4" s="377"/>
      <c r="K4" s="377"/>
    </row>
    <row r="5" spans="1:11" ht="22.5" customHeight="1" thickBot="1">
      <c r="A5" s="364" t="s">
        <v>389</v>
      </c>
      <c r="B5" s="372" t="str">
        <f>+'PRESUPUESTO OFICIAL 2026'!B45</f>
        <v>4.4</v>
      </c>
      <c r="C5" s="3"/>
      <c r="D5" s="3"/>
      <c r="E5" s="3"/>
      <c r="F5" s="7" t="s">
        <v>391</v>
      </c>
      <c r="G5" s="363" t="str">
        <f>+'PRESUPUESTO OFICIAL 2026'!H45</f>
        <v xml:space="preserve">GLO </v>
      </c>
      <c r="J5" s="377"/>
      <c r="K5" s="377"/>
    </row>
    <row r="6" spans="1:11" ht="60" customHeight="1" thickBot="1">
      <c r="A6" s="10" t="s">
        <v>392</v>
      </c>
      <c r="B6" s="1011" t="s">
        <v>365</v>
      </c>
      <c r="C6" s="1012"/>
      <c r="D6" s="1012"/>
      <c r="E6" s="1012"/>
      <c r="F6" s="1012"/>
      <c r="G6" s="1013"/>
      <c r="J6" s="377"/>
      <c r="K6" s="539"/>
    </row>
    <row r="8" spans="1:11" ht="17.25" thickBot="1">
      <c r="A8" s="923" t="s">
        <v>394</v>
      </c>
      <c r="B8" s="923"/>
      <c r="J8" s="941"/>
      <c r="K8" s="941"/>
    </row>
    <row r="9" spans="1:11">
      <c r="A9" s="924" t="s">
        <v>395</v>
      </c>
      <c r="B9" s="925"/>
      <c r="C9" s="13" t="s">
        <v>396</v>
      </c>
      <c r="D9" s="13" t="s">
        <v>397</v>
      </c>
      <c r="E9" s="13" t="s">
        <v>398</v>
      </c>
      <c r="F9" s="13" t="s">
        <v>399</v>
      </c>
      <c r="G9" s="14"/>
      <c r="J9" s="377"/>
      <c r="K9" s="377"/>
    </row>
    <row r="10" spans="1:11">
      <c r="A10" s="926" t="s">
        <v>427</v>
      </c>
      <c r="B10" s="927"/>
      <c r="C10" s="26" t="s">
        <v>428</v>
      </c>
      <c r="D10" s="21">
        <f>G43</f>
        <v>40476.093349249655</v>
      </c>
      <c r="E10" s="335">
        <v>0.05</v>
      </c>
      <c r="F10" s="22">
        <f>E10*D10</f>
        <v>2023.8046674624829</v>
      </c>
      <c r="G10" s="15"/>
      <c r="J10" s="377"/>
      <c r="K10" s="377"/>
    </row>
    <row r="11" spans="1:11">
      <c r="A11" s="999"/>
      <c r="B11" s="1000"/>
      <c r="C11" s="436"/>
      <c r="D11" s="437"/>
      <c r="E11" s="535"/>
      <c r="F11" s="414"/>
      <c r="G11" s="15"/>
      <c r="J11" s="377"/>
      <c r="K11" s="377"/>
    </row>
    <row r="12" spans="1:11" ht="17.25" thickBot="1">
      <c r="A12" s="959"/>
      <c r="B12" s="960"/>
      <c r="C12" s="24"/>
      <c r="D12" s="24"/>
      <c r="E12" s="368"/>
      <c r="F12" s="326"/>
      <c r="G12" s="17"/>
      <c r="J12" s="377"/>
      <c r="K12" s="539"/>
    </row>
    <row r="13" spans="1:11" ht="17.25" thickBot="1">
      <c r="F13" s="4" t="s">
        <v>400</v>
      </c>
      <c r="G13" s="25">
        <f>SUM(F10:F12)</f>
        <v>2023.8046674624829</v>
      </c>
    </row>
    <row r="14" spans="1:11">
      <c r="F14" s="4"/>
      <c r="G14" s="336"/>
      <c r="J14" s="941"/>
      <c r="K14" s="941"/>
    </row>
    <row r="15" spans="1:11" ht="17.25" thickBot="1">
      <c r="A15" s="930" t="s">
        <v>401</v>
      </c>
      <c r="B15" s="930"/>
      <c r="J15" s="377"/>
      <c r="K15" s="377"/>
    </row>
    <row r="16" spans="1:11">
      <c r="A16" s="931" t="s">
        <v>395</v>
      </c>
      <c r="B16" s="932"/>
      <c r="C16" s="13" t="s">
        <v>402</v>
      </c>
      <c r="D16" s="13" t="s">
        <v>403</v>
      </c>
      <c r="E16" s="13" t="s">
        <v>404</v>
      </c>
      <c r="F16" s="13" t="s">
        <v>399</v>
      </c>
      <c r="G16" s="18"/>
      <c r="J16" s="377"/>
      <c r="K16" s="377"/>
    </row>
    <row r="17" spans="1:13" ht="16.5" customHeight="1">
      <c r="A17" s="984"/>
      <c r="B17" s="984"/>
      <c r="C17" s="522"/>
      <c r="D17" s="492"/>
      <c r="E17" s="504"/>
      <c r="F17" s="22"/>
      <c r="G17" s="16"/>
      <c r="J17" s="377"/>
      <c r="K17" s="539"/>
      <c r="M17" s="2">
        <v>51008</v>
      </c>
    </row>
    <row r="18" spans="1:13">
      <c r="A18" s="916"/>
      <c r="B18" s="917"/>
      <c r="C18" s="338"/>
      <c r="D18" s="366"/>
      <c r="E18" s="371"/>
      <c r="F18" s="22">
        <f>+D18*E18</f>
        <v>0</v>
      </c>
      <c r="G18" s="16"/>
      <c r="I18" s="374"/>
      <c r="M18" s="2">
        <v>45684</v>
      </c>
    </row>
    <row r="19" spans="1:13" ht="17.25" thickBot="1">
      <c r="A19" s="935"/>
      <c r="B19" s="936"/>
      <c r="C19" s="323"/>
      <c r="D19" s="366"/>
      <c r="E19" s="342"/>
      <c r="F19" s="22">
        <f>+D19*E19</f>
        <v>0</v>
      </c>
      <c r="G19" s="343"/>
      <c r="I19" s="374"/>
      <c r="K19" s="432"/>
      <c r="M19" s="525">
        <v>50000</v>
      </c>
    </row>
    <row r="20" spans="1:13">
      <c r="A20" s="933"/>
      <c r="B20" s="934"/>
      <c r="C20" s="338"/>
      <c r="D20" s="367"/>
      <c r="E20" s="342"/>
      <c r="F20" s="22">
        <f>+D20*E20</f>
        <v>0</v>
      </c>
      <c r="G20" s="343"/>
      <c r="I20" s="374"/>
      <c r="M20" s="2">
        <f>AVERAGE(M17:M19)</f>
        <v>48897.333333333336</v>
      </c>
    </row>
    <row r="21" spans="1:13">
      <c r="A21" s="933"/>
      <c r="B21" s="934"/>
      <c r="C21" s="338"/>
      <c r="D21" s="367"/>
      <c r="E21" s="342"/>
      <c r="F21" s="22">
        <f>+D21*E21</f>
        <v>0</v>
      </c>
      <c r="G21" s="343"/>
      <c r="J21" s="941"/>
      <c r="K21" s="941"/>
    </row>
    <row r="22" spans="1:13" ht="17.25" thickBot="1">
      <c r="A22" s="946"/>
      <c r="B22" s="973"/>
      <c r="C22" s="325"/>
      <c r="D22" s="344"/>
      <c r="E22" s="345"/>
      <c r="F22" s="326">
        <f>+D22*E22</f>
        <v>0</v>
      </c>
      <c r="G22" s="346"/>
      <c r="J22" s="377"/>
      <c r="K22" s="377"/>
    </row>
    <row r="23" spans="1:13" ht="17.25" thickBot="1">
      <c r="A23" s="941"/>
      <c r="B23" s="941"/>
      <c r="F23" s="4" t="s">
        <v>400</v>
      </c>
      <c r="G23" s="25">
        <f>SUM(F22,F21,F20,F19,F18,F17)</f>
        <v>0</v>
      </c>
      <c r="J23" s="377"/>
      <c r="K23" s="377"/>
    </row>
    <row r="24" spans="1:13" ht="17.25" thickBot="1">
      <c r="A24" s="930" t="s">
        <v>405</v>
      </c>
      <c r="B24" s="930"/>
      <c r="J24" s="377"/>
      <c r="K24" s="539"/>
    </row>
    <row r="25" spans="1:13">
      <c r="A25" s="931" t="s">
        <v>395</v>
      </c>
      <c r="B25" s="932"/>
      <c r="C25" s="13" t="s">
        <v>402</v>
      </c>
      <c r="D25" s="13" t="s">
        <v>403</v>
      </c>
      <c r="E25" s="13" t="s">
        <v>404</v>
      </c>
      <c r="F25" s="13" t="s">
        <v>399</v>
      </c>
      <c r="G25" s="18"/>
      <c r="I25" s="374"/>
    </row>
    <row r="26" spans="1:13">
      <c r="A26" s="984" t="s">
        <v>483</v>
      </c>
      <c r="B26" s="984"/>
      <c r="C26" s="522" t="s">
        <v>440</v>
      </c>
      <c r="D26" s="492">
        <v>49000</v>
      </c>
      <c r="E26" s="504">
        <v>1</v>
      </c>
      <c r="F26" s="22">
        <f t="shared" ref="F26:F32" si="0">+D26*E26</f>
        <v>49000</v>
      </c>
      <c r="G26" s="16"/>
      <c r="J26" s="941"/>
      <c r="K26" s="941"/>
    </row>
    <row r="27" spans="1:13">
      <c r="A27" s="916" t="s">
        <v>450</v>
      </c>
      <c r="B27" s="917"/>
      <c r="C27" s="338" t="s">
        <v>440</v>
      </c>
      <c r="D27" s="366">
        <f>+'APU 1,1'!D30</f>
        <v>5553.333333333333</v>
      </c>
      <c r="E27" s="371">
        <v>0.1</v>
      </c>
      <c r="F27" s="22">
        <f>+E27*D27</f>
        <v>555.33333333333337</v>
      </c>
      <c r="G27" s="16"/>
      <c r="J27" s="377"/>
      <c r="K27" s="377"/>
    </row>
    <row r="28" spans="1:13">
      <c r="A28" s="933"/>
      <c r="B28" s="944"/>
      <c r="C28" s="323"/>
      <c r="D28" s="537"/>
      <c r="E28" s="450"/>
      <c r="F28" s="22">
        <f t="shared" si="0"/>
        <v>0</v>
      </c>
      <c r="G28" s="16"/>
      <c r="J28" s="377"/>
      <c r="K28" s="377"/>
    </row>
    <row r="29" spans="1:13">
      <c r="A29" s="933"/>
      <c r="B29" s="934"/>
      <c r="C29" s="323"/>
      <c r="D29" s="348"/>
      <c r="E29" s="347"/>
      <c r="F29" s="22">
        <f t="shared" si="0"/>
        <v>0</v>
      </c>
      <c r="G29" s="16"/>
      <c r="J29" s="377"/>
      <c r="K29" s="539"/>
    </row>
    <row r="30" spans="1:13">
      <c r="A30" s="945"/>
      <c r="B30" s="944"/>
      <c r="C30" s="323"/>
      <c r="D30" s="324"/>
      <c r="E30" s="347"/>
      <c r="F30" s="22">
        <f t="shared" si="0"/>
        <v>0</v>
      </c>
      <c r="G30" s="16"/>
      <c r="I30" s="374"/>
    </row>
    <row r="31" spans="1:13">
      <c r="A31" s="945"/>
      <c r="B31" s="944"/>
      <c r="C31" s="323"/>
      <c r="D31" s="324"/>
      <c r="E31" s="347"/>
      <c r="F31" s="22">
        <f t="shared" si="0"/>
        <v>0</v>
      </c>
      <c r="G31" s="16"/>
    </row>
    <row r="32" spans="1:13" ht="17.25" thickBot="1">
      <c r="A32" s="946"/>
      <c r="B32" s="947"/>
      <c r="C32" s="325"/>
      <c r="D32" s="349"/>
      <c r="E32" s="350"/>
      <c r="F32" s="326">
        <f t="shared" si="0"/>
        <v>0</v>
      </c>
      <c r="G32" s="17"/>
      <c r="J32" s="941"/>
      <c r="K32" s="941"/>
    </row>
    <row r="33" spans="1:11" ht="17.25" thickBot="1">
      <c r="F33" s="4" t="s">
        <v>400</v>
      </c>
      <c r="G33" s="11">
        <f>SUM(F26:F32)</f>
        <v>49555.333333333336</v>
      </c>
      <c r="J33" s="377"/>
      <c r="K33" s="377"/>
    </row>
    <row r="34" spans="1:11" ht="17.25" thickBot="1">
      <c r="A34" s="923" t="s">
        <v>410</v>
      </c>
      <c r="B34" s="923"/>
      <c r="J34" s="377"/>
      <c r="K34" s="377"/>
    </row>
    <row r="35" spans="1:11">
      <c r="A35" s="12" t="s">
        <v>411</v>
      </c>
      <c r="B35" s="13" t="s">
        <v>412</v>
      </c>
      <c r="C35" s="13" t="s">
        <v>413</v>
      </c>
      <c r="D35" s="13" t="s">
        <v>414</v>
      </c>
      <c r="E35" s="13" t="s">
        <v>415</v>
      </c>
      <c r="F35" s="13" t="s">
        <v>399</v>
      </c>
      <c r="G35" s="18"/>
      <c r="J35" s="377"/>
      <c r="K35" s="539"/>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row>
    <row r="38" spans="1:11" ht="17.25" thickBot="1">
      <c r="A38" s="29"/>
      <c r="B38" s="24"/>
      <c r="C38" s="24"/>
      <c r="D38" s="24"/>
      <c r="E38" s="33"/>
      <c r="F38" s="33"/>
      <c r="G38" s="17"/>
    </row>
    <row r="39" spans="1:11" ht="17.25" thickBot="1">
      <c r="F39" s="4" t="s">
        <v>400</v>
      </c>
      <c r="G39" s="11">
        <f>SUM(F36:F38)</f>
        <v>0</v>
      </c>
    </row>
    <row r="40" spans="1:11" ht="17.25" thickBot="1">
      <c r="A40" s="923" t="s">
        <v>419</v>
      </c>
      <c r="B40" s="923"/>
    </row>
    <row r="41" spans="1:11">
      <c r="A41" s="12" t="s">
        <v>416</v>
      </c>
      <c r="B41" s="13" t="s">
        <v>417</v>
      </c>
      <c r="C41" s="13" t="s">
        <v>193</v>
      </c>
      <c r="D41" s="13" t="s">
        <v>418</v>
      </c>
      <c r="E41" s="13" t="s">
        <v>398</v>
      </c>
      <c r="F41" s="13" t="s">
        <v>399</v>
      </c>
      <c r="G41" s="18"/>
    </row>
    <row r="42" spans="1:11" ht="17.25" thickBot="1">
      <c r="A42" s="356" t="str">
        <f>+Insumos!B30</f>
        <v>Cuadrilla (Electrico + Ayudante)</v>
      </c>
      <c r="B42" s="356">
        <f>+Insumos!C40</f>
        <v>26152.364711232374</v>
      </c>
      <c r="C42" s="356">
        <f>+Insumos!D40</f>
        <v>14323.728638017281</v>
      </c>
      <c r="D42" s="326">
        <f>+C42+B42</f>
        <v>40476.093349249655</v>
      </c>
      <c r="E42" s="434">
        <v>1</v>
      </c>
      <c r="F42" s="326">
        <f>+D42*E42</f>
        <v>40476.093349249655</v>
      </c>
      <c r="G42" s="357"/>
    </row>
    <row r="43" spans="1:11" ht="17.25" thickBot="1">
      <c r="F43" s="4" t="s">
        <v>400</v>
      </c>
      <c r="G43" s="11">
        <f>SUM(F42:F42)</f>
        <v>40476.093349249655</v>
      </c>
    </row>
    <row r="44" spans="1:11" ht="17.25" thickBot="1"/>
    <row r="45" spans="1:11" ht="17.25" thickBot="1">
      <c r="F45" s="4" t="s">
        <v>420</v>
      </c>
      <c r="G45" s="71">
        <f>SUM(G43,G39,G33,G23,G13)</f>
        <v>92055.231350045477</v>
      </c>
    </row>
    <row r="71" spans="10:10">
      <c r="J71" s="151"/>
    </row>
  </sheetData>
  <mergeCells count="36">
    <mergeCell ref="A40:B40"/>
    <mergeCell ref="A25:B25"/>
    <mergeCell ref="A26:B26"/>
    <mergeCell ref="J26:K26"/>
    <mergeCell ref="A27:B27"/>
    <mergeCell ref="A28:B28"/>
    <mergeCell ref="A29:B29"/>
    <mergeCell ref="A30:B30"/>
    <mergeCell ref="A31:B31"/>
    <mergeCell ref="A32:B32"/>
    <mergeCell ref="J32:K32"/>
    <mergeCell ref="A34:B34"/>
    <mergeCell ref="A24:B24"/>
    <mergeCell ref="J14:K14"/>
    <mergeCell ref="A15:B15"/>
    <mergeCell ref="A16:B16"/>
    <mergeCell ref="A17:B17"/>
    <mergeCell ref="A18:B18"/>
    <mergeCell ref="A19:B19"/>
    <mergeCell ref="A20:B20"/>
    <mergeCell ref="A21:B21"/>
    <mergeCell ref="J21:K21"/>
    <mergeCell ref="A22:B22"/>
    <mergeCell ref="A23:B23"/>
    <mergeCell ref="A12:B12"/>
    <mergeCell ref="A1:C1"/>
    <mergeCell ref="D1:G1"/>
    <mergeCell ref="A3:G3"/>
    <mergeCell ref="J3:K3"/>
    <mergeCell ref="A4:G4"/>
    <mergeCell ref="B6:G6"/>
    <mergeCell ref="A8:B8"/>
    <mergeCell ref="J8:K8"/>
    <mergeCell ref="A9:B9"/>
    <mergeCell ref="A10:B10"/>
    <mergeCell ref="A11:B11"/>
  </mergeCells>
  <pageMargins left="0.7" right="0.7" top="0.75" bottom="0.75" header="0.3" footer="0.3"/>
  <pageSetup orientation="portrait" horizontalDpi="4294967295" verticalDpi="4294967295"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3440C-A8D0-46C3-BB86-7938464563D4}">
  <dimension ref="A1:M71"/>
  <sheetViews>
    <sheetView topLeftCell="A10" zoomScale="96" zoomScaleNormal="96" workbookViewId="0">
      <selection activeCell="N41" sqref="N41"/>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1" ht="77.25" customHeight="1" thickBot="1">
      <c r="A1" s="918"/>
      <c r="B1" s="919"/>
      <c r="C1" s="919"/>
      <c r="D1" s="704" t="s">
        <v>388</v>
      </c>
      <c r="E1" s="705"/>
      <c r="F1" s="705"/>
      <c r="G1" s="706"/>
    </row>
    <row r="2" spans="1:11" ht="22.5" customHeight="1" thickBot="1">
      <c r="A2" s="8"/>
      <c r="B2" s="8"/>
      <c r="C2" s="8"/>
      <c r="D2" s="9"/>
      <c r="E2" s="9"/>
      <c r="F2" s="9"/>
      <c r="G2" s="9"/>
    </row>
    <row r="3" spans="1:11" ht="23.25" customHeight="1" thickBot="1">
      <c r="A3" s="747" t="str">
        <f>+'AU  Consul P2'!A3:I3</f>
        <v>SECRETARÍA DE TALENTO HUMANO Y SERVICIOS ADMINISTRATIVOS- DIRECCIÓN DE SERVICIOS GENERALES</v>
      </c>
      <c r="B3" s="748"/>
      <c r="C3" s="748"/>
      <c r="D3" s="748"/>
      <c r="E3" s="748"/>
      <c r="F3" s="748"/>
      <c r="G3" s="749"/>
      <c r="J3" s="941"/>
      <c r="K3" s="941"/>
    </row>
    <row r="4" spans="1:11" s="1" customFormat="1" ht="40.15" customHeight="1" thickBot="1">
      <c r="A4" s="750" t="str">
        <f>+'PRESUPUESTO OFICIAL 2026'!B41</f>
        <v>4.1</v>
      </c>
      <c r="B4" s="751"/>
      <c r="C4" s="752"/>
      <c r="D4" s="752"/>
      <c r="E4" s="752"/>
      <c r="F4" s="752"/>
      <c r="G4" s="753"/>
      <c r="J4" s="377"/>
      <c r="K4" s="377"/>
    </row>
    <row r="5" spans="1:11" ht="22.5" customHeight="1" thickBot="1">
      <c r="A5" s="364" t="s">
        <v>389</v>
      </c>
      <c r="B5" s="372" t="str">
        <f>+'PRESUPUESTO OFICIAL 2026'!B46</f>
        <v>4.5</v>
      </c>
      <c r="C5" s="3"/>
      <c r="D5" s="3"/>
      <c r="E5" s="3"/>
      <c r="F5" s="7" t="s">
        <v>391</v>
      </c>
      <c r="G5" s="363" t="str">
        <f>+'PRESUPUESTO OFICIAL 2026'!H46</f>
        <v xml:space="preserve">GLO </v>
      </c>
      <c r="J5" s="377"/>
      <c r="K5" s="377"/>
    </row>
    <row r="6" spans="1:11" ht="60" customHeight="1" thickBot="1">
      <c r="A6" s="10" t="s">
        <v>392</v>
      </c>
      <c r="B6" s="1011" t="s">
        <v>366</v>
      </c>
      <c r="C6" s="1012"/>
      <c r="D6" s="1012"/>
      <c r="E6" s="1012"/>
      <c r="F6" s="1012"/>
      <c r="G6" s="1013"/>
      <c r="J6" s="377"/>
      <c r="K6" s="539"/>
    </row>
    <row r="8" spans="1:11" ht="17.25" thickBot="1">
      <c r="A8" s="923" t="s">
        <v>394</v>
      </c>
      <c r="B8" s="923"/>
      <c r="J8" s="941"/>
      <c r="K8" s="941"/>
    </row>
    <row r="9" spans="1:11">
      <c r="A9" s="924" t="s">
        <v>395</v>
      </c>
      <c r="B9" s="925"/>
      <c r="C9" s="13" t="s">
        <v>396</v>
      </c>
      <c r="D9" s="13" t="s">
        <v>397</v>
      </c>
      <c r="E9" s="13" t="s">
        <v>398</v>
      </c>
      <c r="F9" s="13" t="s">
        <v>399</v>
      </c>
      <c r="G9" s="14"/>
      <c r="J9" s="377"/>
      <c r="K9" s="377"/>
    </row>
    <row r="10" spans="1:11">
      <c r="A10" s="926" t="s">
        <v>427</v>
      </c>
      <c r="B10" s="927"/>
      <c r="C10" s="26" t="s">
        <v>428</v>
      </c>
      <c r="D10" s="21">
        <f>G43</f>
        <v>40476.093349249655</v>
      </c>
      <c r="E10" s="335">
        <v>0.1</v>
      </c>
      <c r="F10" s="22">
        <f>E10*D10</f>
        <v>4047.6093349249659</v>
      </c>
      <c r="G10" s="15"/>
      <c r="J10" s="377"/>
      <c r="K10" s="377"/>
    </row>
    <row r="11" spans="1:11">
      <c r="A11" s="999"/>
      <c r="B11" s="1000"/>
      <c r="C11" s="436"/>
      <c r="D11" s="437"/>
      <c r="E11" s="535"/>
      <c r="F11" s="414"/>
      <c r="G11" s="15"/>
      <c r="J11" s="377"/>
      <c r="K11" s="377"/>
    </row>
    <row r="12" spans="1:11" ht="17.25" thickBot="1">
      <c r="A12" s="959"/>
      <c r="B12" s="960"/>
      <c r="C12" s="24"/>
      <c r="D12" s="24"/>
      <c r="E12" s="368"/>
      <c r="F12" s="326"/>
      <c r="G12" s="17"/>
      <c r="J12" s="377"/>
      <c r="K12" s="539"/>
    </row>
    <row r="13" spans="1:11" ht="17.25" thickBot="1">
      <c r="F13" s="4" t="s">
        <v>400</v>
      </c>
      <c r="G13" s="25">
        <f>SUM(F10:F12)</f>
        <v>4047.6093349249659</v>
      </c>
    </row>
    <row r="14" spans="1:11">
      <c r="F14" s="4"/>
      <c r="G14" s="336"/>
      <c r="J14" s="941"/>
      <c r="K14" s="941"/>
    </row>
    <row r="15" spans="1:11" ht="17.25" thickBot="1">
      <c r="A15" s="930" t="s">
        <v>401</v>
      </c>
      <c r="B15" s="930"/>
      <c r="J15" s="377"/>
      <c r="K15" s="377"/>
    </row>
    <row r="16" spans="1:11">
      <c r="A16" s="931" t="s">
        <v>395</v>
      </c>
      <c r="B16" s="932"/>
      <c r="C16" s="13" t="s">
        <v>402</v>
      </c>
      <c r="D16" s="13" t="s">
        <v>403</v>
      </c>
      <c r="E16" s="13" t="s">
        <v>404</v>
      </c>
      <c r="F16" s="13" t="s">
        <v>399</v>
      </c>
      <c r="G16" s="18"/>
      <c r="J16" s="377"/>
      <c r="K16" s="377"/>
    </row>
    <row r="17" spans="1:13" ht="16.5" customHeight="1">
      <c r="A17" s="984" t="s">
        <v>450</v>
      </c>
      <c r="B17" s="984"/>
      <c r="C17" s="522" t="s">
        <v>440</v>
      </c>
      <c r="D17" s="492">
        <f>+'APU 1,1'!D30</f>
        <v>5553.333333333333</v>
      </c>
      <c r="E17" s="504">
        <v>0.1</v>
      </c>
      <c r="F17" s="22">
        <f>+E17*D17</f>
        <v>555.33333333333337</v>
      </c>
      <c r="G17" s="16"/>
      <c r="J17" s="377"/>
      <c r="K17" s="539"/>
      <c r="M17" s="2">
        <v>92000</v>
      </c>
    </row>
    <row r="18" spans="1:13">
      <c r="A18" s="916"/>
      <c r="B18" s="917"/>
      <c r="C18" s="338"/>
      <c r="D18" s="366"/>
      <c r="E18" s="371"/>
      <c r="F18" s="22">
        <f>+D18*E18</f>
        <v>0</v>
      </c>
      <c r="G18" s="16"/>
      <c r="I18" s="374"/>
      <c r="M18" s="2">
        <v>70000</v>
      </c>
    </row>
    <row r="19" spans="1:13" ht="17.25" thickBot="1">
      <c r="A19" s="935"/>
      <c r="B19" s="936"/>
      <c r="C19" s="323"/>
      <c r="D19" s="366"/>
      <c r="E19" s="342"/>
      <c r="F19" s="22">
        <f>+D19*E19</f>
        <v>0</v>
      </c>
      <c r="G19" s="343"/>
      <c r="I19" s="374"/>
      <c r="K19" s="432"/>
      <c r="M19" s="525">
        <v>65000</v>
      </c>
    </row>
    <row r="20" spans="1:13">
      <c r="A20" s="933"/>
      <c r="B20" s="934"/>
      <c r="C20" s="338"/>
      <c r="D20" s="367"/>
      <c r="E20" s="342"/>
      <c r="F20" s="22">
        <f>+D20*E20</f>
        <v>0</v>
      </c>
      <c r="G20" s="343"/>
      <c r="I20" s="374"/>
      <c r="M20" s="2">
        <f t="array" ref="M20">AVERAGE(M17:M19)</f>
        <v>75666.666666666672</v>
      </c>
    </row>
    <row r="21" spans="1:13">
      <c r="A21" s="933"/>
      <c r="B21" s="934"/>
      <c r="C21" s="338"/>
      <c r="D21" s="367"/>
      <c r="E21" s="342"/>
      <c r="F21" s="22">
        <f>+D21*E21</f>
        <v>0</v>
      </c>
      <c r="G21" s="343"/>
      <c r="J21" s="941"/>
      <c r="K21" s="941"/>
    </row>
    <row r="22" spans="1:13" ht="17.25" thickBot="1">
      <c r="A22" s="946"/>
      <c r="B22" s="973"/>
      <c r="C22" s="325"/>
      <c r="D22" s="344"/>
      <c r="E22" s="345"/>
      <c r="F22" s="326">
        <f>+D22*E22</f>
        <v>0</v>
      </c>
      <c r="G22" s="346"/>
      <c r="J22" s="377"/>
      <c r="K22" s="377"/>
    </row>
    <row r="23" spans="1:13" ht="17.25" thickBot="1">
      <c r="A23" s="941"/>
      <c r="B23" s="941"/>
      <c r="F23" s="4" t="s">
        <v>400</v>
      </c>
      <c r="G23" s="25">
        <f>SUM(F22,F21,F20,F19,F18,F17)</f>
        <v>555.33333333333337</v>
      </c>
      <c r="J23" s="377"/>
      <c r="K23" s="377"/>
    </row>
    <row r="24" spans="1:13" ht="17.25" thickBot="1">
      <c r="A24" s="930" t="s">
        <v>405</v>
      </c>
      <c r="B24" s="930"/>
      <c r="J24" s="377"/>
      <c r="K24" s="539"/>
    </row>
    <row r="25" spans="1:13">
      <c r="A25" s="931" t="s">
        <v>395</v>
      </c>
      <c r="B25" s="932"/>
      <c r="C25" s="13" t="s">
        <v>402</v>
      </c>
      <c r="D25" s="13" t="s">
        <v>403</v>
      </c>
      <c r="E25" s="13" t="s">
        <v>404</v>
      </c>
      <c r="F25" s="13" t="s">
        <v>399</v>
      </c>
      <c r="G25" s="18"/>
      <c r="I25" s="374"/>
    </row>
    <row r="26" spans="1:13">
      <c r="A26" s="984" t="s">
        <v>484</v>
      </c>
      <c r="B26" s="984"/>
      <c r="C26" s="522" t="s">
        <v>440</v>
      </c>
      <c r="D26" s="492">
        <v>76000</v>
      </c>
      <c r="E26" s="504">
        <v>1</v>
      </c>
      <c r="F26" s="22">
        <f t="shared" ref="F26:F32" si="0">+D26*E26</f>
        <v>76000</v>
      </c>
      <c r="G26" s="16"/>
      <c r="J26" s="941"/>
      <c r="K26" s="941"/>
    </row>
    <row r="27" spans="1:13">
      <c r="A27" s="916"/>
      <c r="B27" s="917"/>
      <c r="C27" s="338"/>
      <c r="D27" s="366"/>
      <c r="E27" s="371"/>
      <c r="F27" s="22">
        <f t="shared" si="0"/>
        <v>0</v>
      </c>
      <c r="G27" s="16"/>
      <c r="J27" s="377"/>
      <c r="K27" s="377"/>
    </row>
    <row r="28" spans="1:13">
      <c r="A28" s="933"/>
      <c r="B28" s="944"/>
      <c r="C28" s="323"/>
      <c r="D28" s="537"/>
      <c r="E28" s="450"/>
      <c r="F28" s="22">
        <f t="shared" si="0"/>
        <v>0</v>
      </c>
      <c r="G28" s="16"/>
      <c r="J28" s="377"/>
      <c r="K28" s="377"/>
    </row>
    <row r="29" spans="1:13">
      <c r="A29" s="933"/>
      <c r="B29" s="934"/>
      <c r="C29" s="323"/>
      <c r="D29" s="348"/>
      <c r="E29" s="347"/>
      <c r="F29" s="22">
        <f t="shared" si="0"/>
        <v>0</v>
      </c>
      <c r="G29" s="16"/>
      <c r="J29" s="377"/>
      <c r="K29" s="539"/>
    </row>
    <row r="30" spans="1:13">
      <c r="A30" s="945"/>
      <c r="B30" s="944"/>
      <c r="C30" s="323"/>
      <c r="D30" s="324"/>
      <c r="E30" s="347"/>
      <c r="F30" s="22">
        <f t="shared" si="0"/>
        <v>0</v>
      </c>
      <c r="G30" s="16"/>
      <c r="I30" s="374"/>
    </row>
    <row r="31" spans="1:13">
      <c r="A31" s="945"/>
      <c r="B31" s="944"/>
      <c r="C31" s="323"/>
      <c r="D31" s="324"/>
      <c r="E31" s="347"/>
      <c r="F31" s="22">
        <f t="shared" si="0"/>
        <v>0</v>
      </c>
      <c r="G31" s="16"/>
    </row>
    <row r="32" spans="1:13" ht="17.25" thickBot="1">
      <c r="A32" s="946"/>
      <c r="B32" s="947"/>
      <c r="C32" s="325"/>
      <c r="D32" s="349"/>
      <c r="E32" s="350"/>
      <c r="F32" s="326">
        <f t="shared" si="0"/>
        <v>0</v>
      </c>
      <c r="G32" s="17"/>
      <c r="J32" s="941"/>
      <c r="K32" s="941"/>
    </row>
    <row r="33" spans="1:11" ht="17.25" thickBot="1">
      <c r="F33" s="4" t="s">
        <v>400</v>
      </c>
      <c r="G33" s="11">
        <f>SUM(F26:F32)</f>
        <v>76000</v>
      </c>
      <c r="J33" s="377"/>
      <c r="K33" s="377"/>
    </row>
    <row r="34" spans="1:11" ht="17.25" thickBot="1">
      <c r="A34" s="923" t="s">
        <v>410</v>
      </c>
      <c r="B34" s="923"/>
      <c r="J34" s="377"/>
      <c r="K34" s="377"/>
    </row>
    <row r="35" spans="1:11">
      <c r="A35" s="12" t="s">
        <v>411</v>
      </c>
      <c r="B35" s="13" t="s">
        <v>412</v>
      </c>
      <c r="C35" s="13" t="s">
        <v>413</v>
      </c>
      <c r="D35" s="13" t="s">
        <v>414</v>
      </c>
      <c r="E35" s="13" t="s">
        <v>415</v>
      </c>
      <c r="F35" s="13" t="s">
        <v>399</v>
      </c>
      <c r="G35" s="18"/>
      <c r="J35" s="377"/>
      <c r="K35" s="539"/>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row>
    <row r="38" spans="1:11" ht="17.25" thickBot="1">
      <c r="A38" s="29"/>
      <c r="B38" s="24"/>
      <c r="C38" s="24"/>
      <c r="D38" s="24"/>
      <c r="E38" s="33"/>
      <c r="F38" s="33"/>
      <c r="G38" s="17"/>
    </row>
    <row r="39" spans="1:11" ht="17.25" thickBot="1">
      <c r="F39" s="4" t="s">
        <v>400</v>
      </c>
      <c r="G39" s="11">
        <f>SUM(F36:F38)</f>
        <v>0</v>
      </c>
    </row>
    <row r="40" spans="1:11" ht="17.25" thickBot="1">
      <c r="A40" s="923" t="s">
        <v>419</v>
      </c>
      <c r="B40" s="923"/>
    </row>
    <row r="41" spans="1:11">
      <c r="A41" s="12" t="s">
        <v>416</v>
      </c>
      <c r="B41" s="13" t="s">
        <v>417</v>
      </c>
      <c r="C41" s="13" t="s">
        <v>193</v>
      </c>
      <c r="D41" s="13" t="s">
        <v>418</v>
      </c>
      <c r="E41" s="13" t="s">
        <v>398</v>
      </c>
      <c r="F41" s="13" t="s">
        <v>399</v>
      </c>
      <c r="G41" s="18"/>
    </row>
    <row r="42" spans="1:11" ht="17.25" thickBot="1">
      <c r="A42" s="356" t="str">
        <f>+Insumos!B30</f>
        <v>Cuadrilla (Electrico + Ayudante)</v>
      </c>
      <c r="B42" s="356">
        <f>+Insumos!C40</f>
        <v>26152.364711232374</v>
      </c>
      <c r="C42" s="356">
        <f>+Insumos!D40</f>
        <v>14323.728638017281</v>
      </c>
      <c r="D42" s="326">
        <f>+C42+B42</f>
        <v>40476.093349249655</v>
      </c>
      <c r="E42" s="434">
        <v>1</v>
      </c>
      <c r="F42" s="326">
        <f>+D42*E42</f>
        <v>40476.093349249655</v>
      </c>
      <c r="G42" s="357"/>
    </row>
    <row r="43" spans="1:11" ht="17.25" thickBot="1">
      <c r="F43" s="4" t="s">
        <v>400</v>
      </c>
      <c r="G43" s="11">
        <f>SUM(F42:F42)</f>
        <v>40476.093349249655</v>
      </c>
    </row>
    <row r="44" spans="1:11" ht="17.25" thickBot="1"/>
    <row r="45" spans="1:11" ht="17.25" thickBot="1">
      <c r="F45" s="4" t="s">
        <v>420</v>
      </c>
      <c r="G45" s="71">
        <f>SUM(G43,G39,G33,G23,G13)</f>
        <v>121079.03601750795</v>
      </c>
    </row>
    <row r="71" spans="10:10">
      <c r="J71" s="151"/>
    </row>
  </sheetData>
  <mergeCells count="36">
    <mergeCell ref="A40:B40"/>
    <mergeCell ref="A25:B25"/>
    <mergeCell ref="A26:B26"/>
    <mergeCell ref="J26:K26"/>
    <mergeCell ref="A27:B27"/>
    <mergeCell ref="A28:B28"/>
    <mergeCell ref="A29:B29"/>
    <mergeCell ref="A30:B30"/>
    <mergeCell ref="A31:B31"/>
    <mergeCell ref="A32:B32"/>
    <mergeCell ref="J32:K32"/>
    <mergeCell ref="A34:B34"/>
    <mergeCell ref="A24:B24"/>
    <mergeCell ref="J14:K14"/>
    <mergeCell ref="A15:B15"/>
    <mergeCell ref="A16:B16"/>
    <mergeCell ref="A17:B17"/>
    <mergeCell ref="A18:B18"/>
    <mergeCell ref="A19:B19"/>
    <mergeCell ref="A20:B20"/>
    <mergeCell ref="A21:B21"/>
    <mergeCell ref="J21:K21"/>
    <mergeCell ref="A22:B22"/>
    <mergeCell ref="A23:B23"/>
    <mergeCell ref="A12:B12"/>
    <mergeCell ref="A1:C1"/>
    <mergeCell ref="D1:G1"/>
    <mergeCell ref="A3:G3"/>
    <mergeCell ref="J3:K3"/>
    <mergeCell ref="A4:G4"/>
    <mergeCell ref="B6:G6"/>
    <mergeCell ref="A8:B8"/>
    <mergeCell ref="J8:K8"/>
    <mergeCell ref="A9:B9"/>
    <mergeCell ref="A10:B10"/>
    <mergeCell ref="A11:B11"/>
  </mergeCells>
  <pageMargins left="0.7" right="0.7" top="0.75" bottom="0.75" header="0.3" footer="0.3"/>
  <pageSetup orientation="portrait" horizontalDpi="4294967295" verticalDpi="4294967295"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D6B89-884F-4A44-87AE-C6DE00F84358}">
  <dimension ref="A1:M71"/>
  <sheetViews>
    <sheetView topLeftCell="A10" zoomScale="112" zoomScaleNormal="112" workbookViewId="0">
      <selection activeCell="L35" sqref="L35"/>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1" ht="77.25" customHeight="1" thickBot="1">
      <c r="A1" s="918"/>
      <c r="B1" s="919"/>
      <c r="C1" s="919"/>
      <c r="D1" s="704" t="s">
        <v>388</v>
      </c>
      <c r="E1" s="705"/>
      <c r="F1" s="705"/>
      <c r="G1" s="706"/>
    </row>
    <row r="2" spans="1:11" ht="22.5" customHeight="1" thickBot="1">
      <c r="A2" s="8"/>
      <c r="B2" s="8"/>
      <c r="C2" s="8"/>
      <c r="D2" s="9"/>
      <c r="E2" s="9"/>
      <c r="F2" s="9"/>
      <c r="G2" s="9"/>
    </row>
    <row r="3" spans="1:11" ht="23.25" customHeight="1" thickBot="1">
      <c r="A3" s="747" t="str">
        <f>+'AU  Consul P2'!A3:I3</f>
        <v>SECRETARÍA DE TALENTO HUMANO Y SERVICIOS ADMINISTRATIVOS- DIRECCIÓN DE SERVICIOS GENERALES</v>
      </c>
      <c r="B3" s="748"/>
      <c r="C3" s="748"/>
      <c r="D3" s="748"/>
      <c r="E3" s="748"/>
      <c r="F3" s="748"/>
      <c r="G3" s="749"/>
      <c r="J3" s="941"/>
      <c r="K3" s="941"/>
    </row>
    <row r="4" spans="1:11" s="1" customFormat="1" ht="40.15" customHeight="1" thickBot="1">
      <c r="A4" s="750" t="str">
        <f>+'PRESUPUESTO OFICIAL 2026'!B41</f>
        <v>4.1</v>
      </c>
      <c r="B4" s="751"/>
      <c r="C4" s="752"/>
      <c r="D4" s="752"/>
      <c r="E4" s="752"/>
      <c r="F4" s="752"/>
      <c r="G4" s="753"/>
      <c r="J4" s="377"/>
      <c r="K4" s="377"/>
    </row>
    <row r="5" spans="1:11" ht="22.5" customHeight="1" thickBot="1">
      <c r="A5" s="364" t="s">
        <v>389</v>
      </c>
      <c r="B5" s="569" t="str">
        <f>+'PRESUPUESTO OFICIAL 2026'!B47</f>
        <v>4.6</v>
      </c>
      <c r="C5" s="3"/>
      <c r="D5" s="3"/>
      <c r="E5" s="3"/>
      <c r="F5" s="7" t="s">
        <v>391</v>
      </c>
      <c r="G5" s="363" t="str">
        <f>+'PRESUPUESTO OFICIAL 2026'!H47</f>
        <v xml:space="preserve">GLO </v>
      </c>
      <c r="J5" s="377"/>
      <c r="K5" s="377"/>
    </row>
    <row r="6" spans="1:11" ht="60" customHeight="1" thickBot="1">
      <c r="A6" s="10" t="s">
        <v>392</v>
      </c>
      <c r="B6" s="1011" t="s">
        <v>367</v>
      </c>
      <c r="C6" s="1012"/>
      <c r="D6" s="1012"/>
      <c r="E6" s="1012"/>
      <c r="F6" s="1012"/>
      <c r="G6" s="1013"/>
      <c r="J6" s="377"/>
      <c r="K6" s="539"/>
    </row>
    <row r="8" spans="1:11" ht="17.25" thickBot="1">
      <c r="A8" s="923" t="s">
        <v>394</v>
      </c>
      <c r="B8" s="923"/>
      <c r="J8" s="941"/>
      <c r="K8" s="941"/>
    </row>
    <row r="9" spans="1:11">
      <c r="A9" s="924" t="s">
        <v>395</v>
      </c>
      <c r="B9" s="925"/>
      <c r="C9" s="13" t="s">
        <v>396</v>
      </c>
      <c r="D9" s="13" t="s">
        <v>397</v>
      </c>
      <c r="E9" s="13" t="s">
        <v>398</v>
      </c>
      <c r="F9" s="13" t="s">
        <v>399</v>
      </c>
      <c r="G9" s="14"/>
      <c r="J9" s="377"/>
      <c r="K9" s="377"/>
    </row>
    <row r="10" spans="1:11">
      <c r="A10" s="926" t="s">
        <v>427</v>
      </c>
      <c r="B10" s="927"/>
      <c r="C10" s="26" t="s">
        <v>428</v>
      </c>
      <c r="D10" s="21">
        <f>G43</f>
        <v>161904.37339699862</v>
      </c>
      <c r="E10" s="335">
        <v>0.1</v>
      </c>
      <c r="F10" s="22">
        <f>E10*D10</f>
        <v>16190.437339699864</v>
      </c>
      <c r="G10" s="15"/>
      <c r="J10" s="377"/>
      <c r="K10" s="377"/>
    </row>
    <row r="11" spans="1:11">
      <c r="A11" s="999"/>
      <c r="B11" s="1000"/>
      <c r="C11" s="436"/>
      <c r="D11" s="437"/>
      <c r="E11" s="535"/>
      <c r="F11" s="414"/>
      <c r="G11" s="15"/>
      <c r="J11" s="377"/>
      <c r="K11" s="377"/>
    </row>
    <row r="12" spans="1:11" ht="17.25" thickBot="1">
      <c r="A12" s="959"/>
      <c r="B12" s="960"/>
      <c r="C12" s="24"/>
      <c r="D12" s="24"/>
      <c r="E12" s="368"/>
      <c r="F12" s="326"/>
      <c r="G12" s="17"/>
      <c r="J12" s="377"/>
      <c r="K12" s="539"/>
    </row>
    <row r="13" spans="1:11" ht="17.25" thickBot="1">
      <c r="F13" s="4" t="s">
        <v>400</v>
      </c>
      <c r="G13" s="25">
        <f>SUM(F10:F12)</f>
        <v>16190.437339699864</v>
      </c>
    </row>
    <row r="14" spans="1:11">
      <c r="F14" s="4"/>
      <c r="G14" s="336"/>
      <c r="J14" s="941"/>
      <c r="K14" s="941"/>
    </row>
    <row r="15" spans="1:11" ht="17.25" thickBot="1">
      <c r="A15" s="930" t="s">
        <v>401</v>
      </c>
      <c r="B15" s="930"/>
      <c r="J15" s="377"/>
      <c r="K15" s="377"/>
    </row>
    <row r="16" spans="1:11">
      <c r="A16" s="931" t="s">
        <v>395</v>
      </c>
      <c r="B16" s="932"/>
      <c r="C16" s="13" t="s">
        <v>402</v>
      </c>
      <c r="D16" s="13" t="s">
        <v>403</v>
      </c>
      <c r="E16" s="13" t="s">
        <v>404</v>
      </c>
      <c r="F16" s="13" t="s">
        <v>399</v>
      </c>
      <c r="G16" s="18"/>
      <c r="J16" s="377"/>
      <c r="K16" s="377"/>
    </row>
    <row r="17" spans="1:13" ht="16.5" customHeight="1">
      <c r="A17" s="984"/>
      <c r="B17" s="984"/>
      <c r="C17" s="522"/>
      <c r="D17" s="492"/>
      <c r="E17" s="504"/>
      <c r="F17" s="22"/>
      <c r="G17" s="16"/>
      <c r="J17" s="377"/>
      <c r="K17" s="539"/>
      <c r="M17" s="2">
        <v>128200</v>
      </c>
    </row>
    <row r="18" spans="1:13">
      <c r="A18" s="916"/>
      <c r="B18" s="917"/>
      <c r="C18" s="338"/>
      <c r="D18" s="366"/>
      <c r="E18" s="371"/>
      <c r="F18" s="22">
        <f>+D18*E18</f>
        <v>0</v>
      </c>
      <c r="G18" s="16"/>
      <c r="I18" s="374"/>
      <c r="M18" s="2">
        <v>114900</v>
      </c>
    </row>
    <row r="19" spans="1:13" ht="17.25" thickBot="1">
      <c r="A19" s="935"/>
      <c r="B19" s="936"/>
      <c r="C19" s="323"/>
      <c r="D19" s="366"/>
      <c r="E19" s="342"/>
      <c r="F19" s="22">
        <f>+D19*E19</f>
        <v>0</v>
      </c>
      <c r="G19" s="343"/>
      <c r="I19" s="374"/>
      <c r="K19" s="432"/>
      <c r="M19" s="525">
        <v>124394.51</v>
      </c>
    </row>
    <row r="20" spans="1:13">
      <c r="A20" s="933"/>
      <c r="B20" s="934"/>
      <c r="C20" s="338"/>
      <c r="D20" s="367"/>
      <c r="E20" s="342"/>
      <c r="F20" s="22">
        <f>+D20*E20</f>
        <v>0</v>
      </c>
      <c r="G20" s="343"/>
      <c r="I20" s="374"/>
      <c r="M20" s="2">
        <f>AVERAGE(M17:M19)</f>
        <v>122498.17</v>
      </c>
    </row>
    <row r="21" spans="1:13">
      <c r="A21" s="933"/>
      <c r="B21" s="934"/>
      <c r="C21" s="338"/>
      <c r="D21" s="367"/>
      <c r="E21" s="342"/>
      <c r="F21" s="22">
        <f>+D21*E21</f>
        <v>0</v>
      </c>
      <c r="G21" s="343"/>
      <c r="J21" s="941"/>
      <c r="K21" s="941"/>
    </row>
    <row r="22" spans="1:13" ht="17.25" thickBot="1">
      <c r="A22" s="946"/>
      <c r="B22" s="973"/>
      <c r="C22" s="325"/>
      <c r="D22" s="344"/>
      <c r="E22" s="345"/>
      <c r="F22" s="326">
        <f>+D22*E22</f>
        <v>0</v>
      </c>
      <c r="G22" s="346"/>
      <c r="J22" s="377"/>
      <c r="K22" s="377"/>
    </row>
    <row r="23" spans="1:13" ht="17.25" thickBot="1">
      <c r="A23" s="941"/>
      <c r="B23" s="941"/>
      <c r="F23" s="4" t="s">
        <v>400</v>
      </c>
      <c r="G23" s="25">
        <f>SUM(F22,F21,F20,F19,F18,F17)</f>
        <v>0</v>
      </c>
      <c r="J23" s="377"/>
      <c r="K23" s="377"/>
    </row>
    <row r="24" spans="1:13" ht="17.25" thickBot="1">
      <c r="A24" s="930" t="s">
        <v>405</v>
      </c>
      <c r="B24" s="930"/>
      <c r="J24" s="377"/>
      <c r="K24" s="539"/>
    </row>
    <row r="25" spans="1:13">
      <c r="A25" s="931" t="s">
        <v>395</v>
      </c>
      <c r="B25" s="932"/>
      <c r="C25" s="13" t="s">
        <v>402</v>
      </c>
      <c r="D25" s="13" t="s">
        <v>403</v>
      </c>
      <c r="E25" s="13" t="s">
        <v>404</v>
      </c>
      <c r="F25" s="13" t="s">
        <v>399</v>
      </c>
      <c r="G25" s="18"/>
      <c r="I25" s="374"/>
    </row>
    <row r="26" spans="1:13">
      <c r="A26" s="984" t="s">
        <v>485</v>
      </c>
      <c r="B26" s="984"/>
      <c r="C26" s="522" t="s">
        <v>440</v>
      </c>
      <c r="D26" s="492">
        <v>122500</v>
      </c>
      <c r="E26" s="504">
        <v>1</v>
      </c>
      <c r="F26" s="22">
        <f t="shared" ref="F26:F32" si="0">+D26*E26</f>
        <v>122500</v>
      </c>
      <c r="G26" s="16"/>
      <c r="J26" s="941"/>
      <c r="K26" s="941"/>
    </row>
    <row r="27" spans="1:13">
      <c r="A27" s="916" t="s">
        <v>450</v>
      </c>
      <c r="B27" s="917"/>
      <c r="C27" s="338" t="s">
        <v>440</v>
      </c>
      <c r="D27" s="366">
        <f>+'APU 1,1'!D30</f>
        <v>5553.333333333333</v>
      </c>
      <c r="E27" s="371">
        <v>0.1</v>
      </c>
      <c r="F27" s="22">
        <f>+E27*D27</f>
        <v>555.33333333333337</v>
      </c>
      <c r="G27" s="16"/>
      <c r="J27" s="377"/>
      <c r="K27" s="377"/>
    </row>
    <row r="28" spans="1:13">
      <c r="A28" s="933"/>
      <c r="B28" s="944"/>
      <c r="C28" s="323"/>
      <c r="D28" s="537"/>
      <c r="E28" s="450"/>
      <c r="F28" s="22">
        <f t="shared" si="0"/>
        <v>0</v>
      </c>
      <c r="G28" s="16"/>
      <c r="J28" s="377"/>
      <c r="K28" s="377"/>
    </row>
    <row r="29" spans="1:13">
      <c r="A29" s="933"/>
      <c r="B29" s="934"/>
      <c r="C29" s="323"/>
      <c r="D29" s="348"/>
      <c r="E29" s="347"/>
      <c r="F29" s="22">
        <f t="shared" si="0"/>
        <v>0</v>
      </c>
      <c r="G29" s="16"/>
      <c r="J29" s="377"/>
      <c r="K29" s="539"/>
    </row>
    <row r="30" spans="1:13">
      <c r="A30" s="945"/>
      <c r="B30" s="944"/>
      <c r="C30" s="323"/>
      <c r="D30" s="324"/>
      <c r="E30" s="347"/>
      <c r="F30" s="22">
        <f t="shared" si="0"/>
        <v>0</v>
      </c>
      <c r="G30" s="16"/>
      <c r="I30" s="374"/>
    </row>
    <row r="31" spans="1:13">
      <c r="A31" s="945"/>
      <c r="B31" s="944"/>
      <c r="C31" s="323"/>
      <c r="D31" s="324"/>
      <c r="E31" s="347"/>
      <c r="F31" s="22">
        <f t="shared" si="0"/>
        <v>0</v>
      </c>
      <c r="G31" s="16"/>
    </row>
    <row r="32" spans="1:13" ht="17.25" thickBot="1">
      <c r="A32" s="946"/>
      <c r="B32" s="947"/>
      <c r="C32" s="325"/>
      <c r="D32" s="349"/>
      <c r="E32" s="350"/>
      <c r="F32" s="326">
        <f t="shared" si="0"/>
        <v>0</v>
      </c>
      <c r="G32" s="17"/>
      <c r="J32" s="941"/>
      <c r="K32" s="941"/>
    </row>
    <row r="33" spans="1:11" ht="17.25" thickBot="1">
      <c r="F33" s="4" t="s">
        <v>400</v>
      </c>
      <c r="G33" s="11">
        <f>SUM(F26:F32)</f>
        <v>123055.33333333333</v>
      </c>
      <c r="J33" s="377"/>
      <c r="K33" s="377"/>
    </row>
    <row r="34" spans="1:11" ht="17.25" thickBot="1">
      <c r="A34" s="923" t="s">
        <v>410</v>
      </c>
      <c r="B34" s="923"/>
      <c r="J34" s="377"/>
      <c r="K34" s="377"/>
    </row>
    <row r="35" spans="1:11">
      <c r="A35" s="12" t="s">
        <v>411</v>
      </c>
      <c r="B35" s="13" t="s">
        <v>412</v>
      </c>
      <c r="C35" s="13" t="s">
        <v>413</v>
      </c>
      <c r="D35" s="13" t="s">
        <v>414</v>
      </c>
      <c r="E35" s="13" t="s">
        <v>415</v>
      </c>
      <c r="F35" s="13" t="s">
        <v>399</v>
      </c>
      <c r="G35" s="18"/>
      <c r="J35" s="377"/>
      <c r="K35" s="539"/>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row>
    <row r="38" spans="1:11" ht="17.25" thickBot="1">
      <c r="A38" s="29"/>
      <c r="B38" s="24"/>
      <c r="C38" s="24"/>
      <c r="D38" s="24"/>
      <c r="E38" s="33"/>
      <c r="F38" s="33"/>
      <c r="G38" s="17"/>
    </row>
    <row r="39" spans="1:11" ht="17.25" thickBot="1">
      <c r="F39" s="4" t="s">
        <v>400</v>
      </c>
      <c r="G39" s="11">
        <f>SUM(F36:F38)</f>
        <v>0</v>
      </c>
    </row>
    <row r="40" spans="1:11" ht="17.25" thickBot="1">
      <c r="A40" s="923" t="s">
        <v>419</v>
      </c>
      <c r="B40" s="923"/>
    </row>
    <row r="41" spans="1:11">
      <c r="A41" s="12" t="s">
        <v>416</v>
      </c>
      <c r="B41" s="13" t="s">
        <v>417</v>
      </c>
      <c r="C41" s="13" t="s">
        <v>193</v>
      </c>
      <c r="D41" s="13" t="s">
        <v>418</v>
      </c>
      <c r="E41" s="13" t="s">
        <v>398</v>
      </c>
      <c r="F41" s="13" t="s">
        <v>399</v>
      </c>
      <c r="G41" s="18"/>
    </row>
    <row r="42" spans="1:11" ht="17.25" thickBot="1">
      <c r="A42" s="356" t="str">
        <f>+Insumos!B39</f>
        <v xml:space="preserve">Oficial HVAC+Ayudante </v>
      </c>
      <c r="B42" s="356">
        <f>+Insumos!C40</f>
        <v>26152.364711232374</v>
      </c>
      <c r="C42" s="356">
        <f>+Insumos!D40</f>
        <v>14323.728638017281</v>
      </c>
      <c r="D42" s="326">
        <f>+C42+B42</f>
        <v>40476.093349249655</v>
      </c>
      <c r="E42" s="434">
        <v>4</v>
      </c>
      <c r="F42" s="326">
        <f>+D42*E42</f>
        <v>161904.37339699862</v>
      </c>
      <c r="G42" s="357"/>
    </row>
    <row r="43" spans="1:11" ht="17.25" thickBot="1">
      <c r="F43" s="4" t="s">
        <v>400</v>
      </c>
      <c r="G43" s="11">
        <f>SUM(F42:F42)</f>
        <v>161904.37339699862</v>
      </c>
    </row>
    <row r="44" spans="1:11" ht="17.25" thickBot="1"/>
    <row r="45" spans="1:11" ht="17.25" thickBot="1">
      <c r="F45" s="4" t="s">
        <v>420</v>
      </c>
      <c r="G45" s="71">
        <f>SUM(G43,G39,G33,G23,G13)</f>
        <v>301150.14407003182</v>
      </c>
    </row>
    <row r="71" spans="10:10">
      <c r="J71" s="151"/>
    </row>
  </sheetData>
  <mergeCells count="36">
    <mergeCell ref="A12:B12"/>
    <mergeCell ref="A1:C1"/>
    <mergeCell ref="D1:G1"/>
    <mergeCell ref="A3:G3"/>
    <mergeCell ref="J3:K3"/>
    <mergeCell ref="A4:G4"/>
    <mergeCell ref="B6:G6"/>
    <mergeCell ref="A8:B8"/>
    <mergeCell ref="J8:K8"/>
    <mergeCell ref="A9:B9"/>
    <mergeCell ref="A10:B10"/>
    <mergeCell ref="A11:B11"/>
    <mergeCell ref="A24:B24"/>
    <mergeCell ref="J14:K14"/>
    <mergeCell ref="A15:B15"/>
    <mergeCell ref="A16:B16"/>
    <mergeCell ref="A17:B17"/>
    <mergeCell ref="A18:B18"/>
    <mergeCell ref="A19:B19"/>
    <mergeCell ref="A20:B20"/>
    <mergeCell ref="A21:B21"/>
    <mergeCell ref="J21:K21"/>
    <mergeCell ref="A22:B22"/>
    <mergeCell ref="A23:B23"/>
    <mergeCell ref="A40:B40"/>
    <mergeCell ref="A25:B25"/>
    <mergeCell ref="A26:B26"/>
    <mergeCell ref="J26:K26"/>
    <mergeCell ref="A27:B27"/>
    <mergeCell ref="A28:B28"/>
    <mergeCell ref="A29:B29"/>
    <mergeCell ref="A30:B30"/>
    <mergeCell ref="A31:B31"/>
    <mergeCell ref="A32:B32"/>
    <mergeCell ref="J32:K32"/>
    <mergeCell ref="A34:B34"/>
  </mergeCells>
  <pageMargins left="0.7" right="0.7" top="0.75" bottom="0.75" header="0.3" footer="0.3"/>
  <pageSetup orientation="portrait" horizontalDpi="4294967295" verticalDpi="4294967295"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BBF9D-6990-474C-998A-B36F4E9B9DED}">
  <dimension ref="A1:M71"/>
  <sheetViews>
    <sheetView topLeftCell="A4" zoomScale="98" zoomScaleNormal="98" workbookViewId="0">
      <selection activeCell="N28" sqref="N28"/>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3" ht="77.25" customHeight="1" thickBot="1">
      <c r="A1" s="918"/>
      <c r="B1" s="919"/>
      <c r="C1" s="919"/>
      <c r="D1" s="704" t="s">
        <v>388</v>
      </c>
      <c r="E1" s="705"/>
      <c r="F1" s="705"/>
      <c r="G1" s="706"/>
    </row>
    <row r="2" spans="1:13" ht="22.5" customHeight="1" thickBot="1">
      <c r="A2" s="8"/>
      <c r="B2" s="8"/>
      <c r="C2" s="8"/>
      <c r="D2" s="9"/>
      <c r="E2" s="9"/>
      <c r="F2" s="9"/>
      <c r="G2" s="9"/>
    </row>
    <row r="3" spans="1:13" ht="23.25" customHeight="1" thickBot="1">
      <c r="A3" s="747" t="str">
        <f>+'AU  Consul P2'!A3:I3</f>
        <v>SECRETARÍA DE TALENTO HUMANO Y SERVICIOS ADMINISTRATIVOS- DIRECCIÓN DE SERVICIOS GENERALES</v>
      </c>
      <c r="B3" s="748"/>
      <c r="C3" s="748"/>
      <c r="D3" s="748"/>
      <c r="E3" s="748"/>
      <c r="F3" s="748"/>
      <c r="G3" s="749"/>
      <c r="J3" s="941"/>
      <c r="K3" s="941"/>
    </row>
    <row r="4" spans="1:13" s="1" customFormat="1" ht="40.15" customHeight="1" thickBot="1">
      <c r="A4" s="750" t="str">
        <f>+'PRESUPUESTO OFICIAL 2026'!B41</f>
        <v>4.1</v>
      </c>
      <c r="B4" s="751"/>
      <c r="C4" s="752"/>
      <c r="D4" s="752"/>
      <c r="E4" s="752"/>
      <c r="F4" s="752"/>
      <c r="G4" s="753"/>
      <c r="J4" s="377"/>
      <c r="K4" s="377"/>
    </row>
    <row r="5" spans="1:13" ht="22.5" customHeight="1" thickBot="1">
      <c r="A5" s="364" t="s">
        <v>389</v>
      </c>
      <c r="B5" s="558" t="str">
        <f>+'PRESUPUESTO OFICIAL 2026'!B48</f>
        <v>4.7</v>
      </c>
      <c r="C5" s="3"/>
      <c r="D5" s="3"/>
      <c r="E5" s="3"/>
      <c r="F5" s="7" t="s">
        <v>391</v>
      </c>
      <c r="G5" s="363" t="str">
        <f>+'PRESUPUESTO OFICIAL 2026'!H48</f>
        <v xml:space="preserve">GLO </v>
      </c>
      <c r="J5" s="377"/>
      <c r="K5" s="377"/>
    </row>
    <row r="6" spans="1:13" ht="60" customHeight="1" thickBot="1">
      <c r="A6" s="10" t="s">
        <v>392</v>
      </c>
      <c r="B6" s="1011" t="s">
        <v>486</v>
      </c>
      <c r="C6" s="1012"/>
      <c r="D6" s="1012"/>
      <c r="E6" s="1012"/>
      <c r="F6" s="1012"/>
      <c r="G6" s="1013"/>
      <c r="J6" s="377"/>
      <c r="K6" s="539"/>
    </row>
    <row r="8" spans="1:13" ht="17.25" thickBot="1">
      <c r="A8" s="923" t="s">
        <v>394</v>
      </c>
      <c r="B8" s="923"/>
      <c r="J8" s="941"/>
      <c r="K8" s="941"/>
    </row>
    <row r="9" spans="1:13">
      <c r="A9" s="924" t="s">
        <v>395</v>
      </c>
      <c r="B9" s="925"/>
      <c r="C9" s="13" t="s">
        <v>396</v>
      </c>
      <c r="D9" s="13" t="s">
        <v>397</v>
      </c>
      <c r="E9" s="13" t="s">
        <v>398</v>
      </c>
      <c r="F9" s="13" t="s">
        <v>399</v>
      </c>
      <c r="G9" s="14"/>
      <c r="J9" s="377"/>
      <c r="K9" s="377"/>
    </row>
    <row r="10" spans="1:13">
      <c r="A10" s="926" t="s">
        <v>427</v>
      </c>
      <c r="B10" s="927"/>
      <c r="C10" s="26" t="s">
        <v>428</v>
      </c>
      <c r="D10" s="21">
        <f>G43</f>
        <v>80952.18669849931</v>
      </c>
      <c r="E10" s="335">
        <v>0.1</v>
      </c>
      <c r="F10" s="22">
        <f>E10*D10</f>
        <v>8095.2186698499318</v>
      </c>
      <c r="G10" s="15"/>
      <c r="J10" s="377"/>
      <c r="K10" s="377"/>
    </row>
    <row r="11" spans="1:13">
      <c r="A11" s="999"/>
      <c r="B11" s="1000"/>
      <c r="C11" s="436"/>
      <c r="D11" s="437"/>
      <c r="E11" s="535"/>
      <c r="F11" s="414"/>
      <c r="G11" s="15"/>
      <c r="J11" s="377"/>
      <c r="K11" s="377"/>
    </row>
    <row r="12" spans="1:13" ht="17.25" thickBot="1">
      <c r="A12" s="959"/>
      <c r="B12" s="960"/>
      <c r="C12" s="24"/>
      <c r="D12" s="24"/>
      <c r="E12" s="368"/>
      <c r="F12" s="326"/>
      <c r="G12" s="17"/>
      <c r="J12" s="377"/>
      <c r="K12" s="539"/>
    </row>
    <row r="13" spans="1:13" ht="17.25" thickBot="1">
      <c r="F13" s="4" t="s">
        <v>400</v>
      </c>
      <c r="G13" s="25">
        <f>SUM(F10:F12)</f>
        <v>8095.2186698499318</v>
      </c>
    </row>
    <row r="14" spans="1:13">
      <c r="F14" s="4"/>
      <c r="G14" s="336"/>
      <c r="J14" s="941"/>
      <c r="K14" s="941"/>
    </row>
    <row r="15" spans="1:13" ht="17.25" thickBot="1">
      <c r="A15" s="930" t="s">
        <v>401</v>
      </c>
      <c r="B15" s="930"/>
      <c r="J15" s="377"/>
      <c r="K15" s="377"/>
    </row>
    <row r="16" spans="1:13">
      <c r="A16" s="931" t="s">
        <v>395</v>
      </c>
      <c r="B16" s="932"/>
      <c r="C16" s="13" t="s">
        <v>402</v>
      </c>
      <c r="D16" s="13" t="s">
        <v>403</v>
      </c>
      <c r="E16" s="13" t="s">
        <v>404</v>
      </c>
      <c r="F16" s="13" t="s">
        <v>399</v>
      </c>
      <c r="G16" s="18"/>
      <c r="J16" s="377"/>
      <c r="K16" s="377"/>
      <c r="M16" s="2">
        <v>303450</v>
      </c>
    </row>
    <row r="17" spans="1:13" ht="16.5" customHeight="1">
      <c r="A17" s="984"/>
      <c r="B17" s="984"/>
      <c r="C17" s="522"/>
      <c r="D17" s="492"/>
      <c r="E17" s="504"/>
      <c r="F17" s="22"/>
      <c r="G17" s="16"/>
      <c r="J17" s="377"/>
      <c r="K17" s="539"/>
      <c r="M17" s="2">
        <v>175000</v>
      </c>
    </row>
    <row r="18" spans="1:13">
      <c r="A18" s="916"/>
      <c r="B18" s="917"/>
      <c r="C18" s="338"/>
      <c r="D18" s="366"/>
      <c r="E18" s="371"/>
      <c r="F18" s="22">
        <f>+D18*E18</f>
        <v>0</v>
      </c>
      <c r="G18" s="16"/>
      <c r="I18" s="374"/>
      <c r="M18" s="2">
        <v>224000</v>
      </c>
    </row>
    <row r="19" spans="1:13" ht="17.25" thickBot="1">
      <c r="A19" s="935"/>
      <c r="B19" s="936"/>
      <c r="C19" s="323"/>
      <c r="D19" s="366"/>
      <c r="E19" s="342"/>
      <c r="F19" s="22">
        <f>+D19*E19</f>
        <v>0</v>
      </c>
      <c r="G19" s="343"/>
      <c r="I19" s="374"/>
      <c r="K19" s="432"/>
      <c r="M19" s="525">
        <v>250000</v>
      </c>
    </row>
    <row r="20" spans="1:13">
      <c r="A20" s="933"/>
      <c r="B20" s="934"/>
      <c r="C20" s="338"/>
      <c r="D20" s="367"/>
      <c r="E20" s="342"/>
      <c r="F20" s="22">
        <f>+D20*E20</f>
        <v>0</v>
      </c>
      <c r="G20" s="343"/>
      <c r="I20" s="374"/>
      <c r="M20" s="2">
        <f>AVERAGE(M16:M19)</f>
        <v>238112.5</v>
      </c>
    </row>
    <row r="21" spans="1:13">
      <c r="A21" s="933"/>
      <c r="B21" s="934"/>
      <c r="C21" s="338"/>
      <c r="D21" s="367"/>
      <c r="E21" s="342"/>
      <c r="F21" s="22">
        <f>+D21*E21</f>
        <v>0</v>
      </c>
      <c r="G21" s="343"/>
      <c r="J21" s="941"/>
      <c r="K21" s="941"/>
    </row>
    <row r="22" spans="1:13" ht="17.25" thickBot="1">
      <c r="A22" s="946"/>
      <c r="B22" s="973"/>
      <c r="C22" s="325"/>
      <c r="D22" s="344"/>
      <c r="E22" s="345"/>
      <c r="F22" s="326">
        <f>+D22*E22</f>
        <v>0</v>
      </c>
      <c r="G22" s="346"/>
      <c r="J22" s="377"/>
      <c r="K22" s="377"/>
    </row>
    <row r="23" spans="1:13" ht="17.25" thickBot="1">
      <c r="A23" s="941"/>
      <c r="B23" s="941"/>
      <c r="F23" s="4" t="s">
        <v>400</v>
      </c>
      <c r="G23" s="25">
        <f>SUM(F22,F21,F20,F19,F18,F17)</f>
        <v>0</v>
      </c>
      <c r="J23" s="377"/>
      <c r="K23" s="377"/>
    </row>
    <row r="24" spans="1:13" ht="17.25" thickBot="1">
      <c r="A24" s="930" t="s">
        <v>405</v>
      </c>
      <c r="B24" s="930"/>
      <c r="J24" s="377"/>
      <c r="K24" s="539"/>
    </row>
    <row r="25" spans="1:13">
      <c r="A25" s="931" t="s">
        <v>395</v>
      </c>
      <c r="B25" s="932"/>
      <c r="C25" s="13" t="s">
        <v>402</v>
      </c>
      <c r="D25" s="13" t="s">
        <v>403</v>
      </c>
      <c r="E25" s="13" t="s">
        <v>404</v>
      </c>
      <c r="F25" s="13" t="s">
        <v>399</v>
      </c>
      <c r="G25" s="18"/>
      <c r="I25" s="374"/>
    </row>
    <row r="26" spans="1:13">
      <c r="A26" s="984" t="s">
        <v>487</v>
      </c>
      <c r="B26" s="984"/>
      <c r="C26" s="522" t="s">
        <v>440</v>
      </c>
      <c r="D26" s="492">
        <v>238113</v>
      </c>
      <c r="E26" s="504">
        <v>1</v>
      </c>
      <c r="F26" s="22">
        <f t="shared" ref="F26:F32" si="0">+D26*E26</f>
        <v>238113</v>
      </c>
      <c r="G26" s="16"/>
      <c r="J26" s="941"/>
      <c r="K26" s="941"/>
    </row>
    <row r="27" spans="1:13">
      <c r="A27" s="916" t="s">
        <v>450</v>
      </c>
      <c r="B27" s="917"/>
      <c r="C27" s="338" t="s">
        <v>440</v>
      </c>
      <c r="D27" s="492">
        <f>+'APU 1,1'!D30</f>
        <v>5553.333333333333</v>
      </c>
      <c r="E27" s="504">
        <v>0.1</v>
      </c>
      <c r="F27" s="22">
        <f>+E27*D27</f>
        <v>555.33333333333337</v>
      </c>
      <c r="G27" s="16"/>
      <c r="J27" s="377"/>
      <c r="K27" s="377"/>
    </row>
    <row r="28" spans="1:13">
      <c r="A28" s="933"/>
      <c r="B28" s="944"/>
      <c r="C28" s="323"/>
      <c r="D28" s="537"/>
      <c r="E28" s="450"/>
      <c r="F28" s="22">
        <f t="shared" si="0"/>
        <v>0</v>
      </c>
      <c r="G28" s="16"/>
      <c r="J28" s="377"/>
      <c r="K28" s="377"/>
    </row>
    <row r="29" spans="1:13">
      <c r="A29" s="933"/>
      <c r="B29" s="934"/>
      <c r="C29" s="323"/>
      <c r="D29" s="348"/>
      <c r="E29" s="347"/>
      <c r="F29" s="22">
        <f t="shared" si="0"/>
        <v>0</v>
      </c>
      <c r="G29" s="16"/>
      <c r="J29" s="377"/>
      <c r="K29" s="539"/>
    </row>
    <row r="30" spans="1:13">
      <c r="A30" s="945"/>
      <c r="B30" s="944"/>
      <c r="C30" s="323"/>
      <c r="D30" s="324"/>
      <c r="E30" s="347"/>
      <c r="F30" s="22">
        <f t="shared" si="0"/>
        <v>0</v>
      </c>
      <c r="G30" s="16"/>
      <c r="I30" s="374"/>
    </row>
    <row r="31" spans="1:13">
      <c r="A31" s="945"/>
      <c r="B31" s="944"/>
      <c r="C31" s="323"/>
      <c r="D31" s="324"/>
      <c r="E31" s="347"/>
      <c r="F31" s="22">
        <f t="shared" si="0"/>
        <v>0</v>
      </c>
      <c r="G31" s="16"/>
    </row>
    <row r="32" spans="1:13" ht="17.25" thickBot="1">
      <c r="A32" s="946"/>
      <c r="B32" s="947"/>
      <c r="C32" s="325"/>
      <c r="D32" s="349"/>
      <c r="E32" s="350"/>
      <c r="F32" s="326">
        <f t="shared" si="0"/>
        <v>0</v>
      </c>
      <c r="G32" s="17"/>
      <c r="J32" s="941"/>
      <c r="K32" s="941"/>
    </row>
    <row r="33" spans="1:11" ht="17.25" thickBot="1">
      <c r="F33" s="4" t="s">
        <v>400</v>
      </c>
      <c r="G33" s="11">
        <f>SUM(F26:F32)</f>
        <v>238668.33333333334</v>
      </c>
      <c r="J33" s="377"/>
      <c r="K33" s="377"/>
    </row>
    <row r="34" spans="1:11" ht="17.25" thickBot="1">
      <c r="A34" s="923" t="s">
        <v>410</v>
      </c>
      <c r="B34" s="923"/>
      <c r="J34" s="377"/>
      <c r="K34" s="377"/>
    </row>
    <row r="35" spans="1:11">
      <c r="A35" s="12" t="s">
        <v>411</v>
      </c>
      <c r="B35" s="13" t="s">
        <v>412</v>
      </c>
      <c r="C35" s="13" t="s">
        <v>413</v>
      </c>
      <c r="D35" s="13" t="s">
        <v>414</v>
      </c>
      <c r="E35" s="13" t="s">
        <v>415</v>
      </c>
      <c r="F35" s="13" t="s">
        <v>399</v>
      </c>
      <c r="G35" s="18"/>
      <c r="J35" s="377"/>
      <c r="K35" s="539"/>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row>
    <row r="38" spans="1:11" ht="17.25" thickBot="1">
      <c r="A38" s="29"/>
      <c r="B38" s="24"/>
      <c r="C38" s="24"/>
      <c r="D38" s="24"/>
      <c r="E38" s="33"/>
      <c r="F38" s="33"/>
      <c r="G38" s="17"/>
    </row>
    <row r="39" spans="1:11" ht="17.25" thickBot="1">
      <c r="F39" s="4" t="s">
        <v>400</v>
      </c>
      <c r="G39" s="11">
        <f>SUM(F36:F38)</f>
        <v>0</v>
      </c>
    </row>
    <row r="40" spans="1:11" ht="17.25" thickBot="1">
      <c r="A40" s="923" t="s">
        <v>419</v>
      </c>
      <c r="B40" s="923"/>
    </row>
    <row r="41" spans="1:11">
      <c r="A41" s="12" t="s">
        <v>416</v>
      </c>
      <c r="B41" s="13" t="s">
        <v>417</v>
      </c>
      <c r="C41" s="13" t="s">
        <v>193</v>
      </c>
      <c r="D41" s="13" t="s">
        <v>418</v>
      </c>
      <c r="E41" s="13" t="s">
        <v>398</v>
      </c>
      <c r="F41" s="13" t="s">
        <v>399</v>
      </c>
      <c r="G41" s="18"/>
    </row>
    <row r="42" spans="1:11" ht="17.25" thickBot="1">
      <c r="A42" s="356" t="str">
        <f>+Insumos!B39</f>
        <v xml:space="preserve">Oficial HVAC+Ayudante </v>
      </c>
      <c r="B42" s="356">
        <f>+Insumos!C40</f>
        <v>26152.364711232374</v>
      </c>
      <c r="C42" s="356">
        <f>+Insumos!D40</f>
        <v>14323.728638017281</v>
      </c>
      <c r="D42" s="326">
        <f>+C42+B42</f>
        <v>40476.093349249655</v>
      </c>
      <c r="E42" s="434">
        <v>2</v>
      </c>
      <c r="F42" s="326">
        <f>+D42*E42</f>
        <v>80952.18669849931</v>
      </c>
      <c r="G42" s="357"/>
    </row>
    <row r="43" spans="1:11" ht="17.25" thickBot="1">
      <c r="F43" s="4" t="s">
        <v>400</v>
      </c>
      <c r="G43" s="11">
        <f>SUM(F42:F42)</f>
        <v>80952.18669849931</v>
      </c>
    </row>
    <row r="44" spans="1:11" ht="17.25" thickBot="1"/>
    <row r="45" spans="1:11" ht="17.25" thickBot="1">
      <c r="F45" s="4" t="s">
        <v>420</v>
      </c>
      <c r="G45" s="71">
        <f>SUM(G43,G39,G33,G23,G13)</f>
        <v>327715.73870168254</v>
      </c>
    </row>
    <row r="71" spans="10:10">
      <c r="J71" s="151"/>
    </row>
  </sheetData>
  <mergeCells count="36">
    <mergeCell ref="A12:B12"/>
    <mergeCell ref="A1:C1"/>
    <mergeCell ref="D1:G1"/>
    <mergeCell ref="A3:G3"/>
    <mergeCell ref="J3:K3"/>
    <mergeCell ref="A4:G4"/>
    <mergeCell ref="B6:G6"/>
    <mergeCell ref="A8:B8"/>
    <mergeCell ref="J8:K8"/>
    <mergeCell ref="A9:B9"/>
    <mergeCell ref="A10:B10"/>
    <mergeCell ref="A11:B11"/>
    <mergeCell ref="A24:B24"/>
    <mergeCell ref="J14:K14"/>
    <mergeCell ref="A15:B15"/>
    <mergeCell ref="A16:B16"/>
    <mergeCell ref="A17:B17"/>
    <mergeCell ref="A18:B18"/>
    <mergeCell ref="A19:B19"/>
    <mergeCell ref="A20:B20"/>
    <mergeCell ref="A21:B21"/>
    <mergeCell ref="J21:K21"/>
    <mergeCell ref="A22:B22"/>
    <mergeCell ref="A23:B23"/>
    <mergeCell ref="A40:B40"/>
    <mergeCell ref="A25:B25"/>
    <mergeCell ref="A26:B26"/>
    <mergeCell ref="J26:K26"/>
    <mergeCell ref="A27:B27"/>
    <mergeCell ref="A28:B28"/>
    <mergeCell ref="A29:B29"/>
    <mergeCell ref="A30:B30"/>
    <mergeCell ref="A31:B31"/>
    <mergeCell ref="A32:B32"/>
    <mergeCell ref="J32:K32"/>
    <mergeCell ref="A34:B34"/>
  </mergeCells>
  <pageMargins left="0.7" right="0.7" top="0.75" bottom="0.75" header="0.3" footer="0.3"/>
  <pageSetup orientation="portrait" horizontalDpi="4294967295" verticalDpi="4294967295"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pageSetUpPr fitToPage="1"/>
  </sheetPr>
  <dimension ref="A1:G48"/>
  <sheetViews>
    <sheetView view="pageBreakPreview" zoomScale="115" zoomScaleNormal="100" zoomScaleSheetLayoutView="115" workbookViewId="0">
      <selection activeCell="B6" sqref="B6:G6"/>
    </sheetView>
  </sheetViews>
  <sheetFormatPr baseColWidth="10" defaultColWidth="11.42578125" defaultRowHeight="16.5"/>
  <cols>
    <col min="1" max="1" width="23.42578125" style="2" customWidth="1"/>
    <col min="2" max="2" width="17" style="2" customWidth="1"/>
    <col min="3" max="3" width="14.28515625" style="2" customWidth="1"/>
    <col min="4" max="4" width="14" style="2" customWidth="1"/>
    <col min="5" max="5" width="12" style="2" customWidth="1"/>
    <col min="6" max="6" width="13.85546875" style="2" customWidth="1"/>
    <col min="7" max="7" width="16.42578125" style="2" customWidth="1"/>
    <col min="8" max="16384" width="11.42578125" style="2"/>
  </cols>
  <sheetData>
    <row r="1" spans="1:7" ht="68.25" customHeight="1" thickBot="1">
      <c r="A1" s="918"/>
      <c r="B1" s="919"/>
      <c r="C1" s="919"/>
      <c r="D1" s="704" t="s">
        <v>388</v>
      </c>
      <c r="E1" s="705"/>
      <c r="F1" s="705"/>
      <c r="G1" s="706"/>
    </row>
    <row r="2" spans="1:7" ht="12" customHeight="1" thickBot="1">
      <c r="A2" s="8"/>
      <c r="B2" s="8"/>
      <c r="C2" s="8"/>
      <c r="D2" s="9"/>
      <c r="E2" s="9"/>
      <c r="F2" s="9"/>
      <c r="G2" s="9"/>
    </row>
    <row r="3" spans="1:7" ht="12" customHeight="1" thickBot="1">
      <c r="A3" s="1014" t="e">
        <f>#REF!</f>
        <v>#REF!</v>
      </c>
      <c r="B3" s="1015"/>
      <c r="C3" s="1015"/>
      <c r="D3" s="1015"/>
      <c r="E3" s="1015"/>
      <c r="F3" s="1015"/>
      <c r="G3" s="1016"/>
    </row>
    <row r="4" spans="1:7" s="1" customFormat="1" ht="26.25" customHeight="1" thickBot="1">
      <c r="A4" s="1017" t="e">
        <f>#REF!</f>
        <v>#REF!</v>
      </c>
      <c r="B4" s="1018"/>
      <c r="C4" s="1018"/>
      <c r="D4" s="1018"/>
      <c r="E4" s="1018"/>
      <c r="F4" s="1018"/>
      <c r="G4" s="1019"/>
    </row>
    <row r="5" spans="1:7" ht="17.25" thickBot="1">
      <c r="A5" s="6" t="s">
        <v>389</v>
      </c>
      <c r="B5" s="67"/>
      <c r="C5" s="3"/>
      <c r="D5" s="3"/>
      <c r="E5" s="3"/>
      <c r="F5" s="7" t="s">
        <v>391</v>
      </c>
      <c r="G5" s="5"/>
    </row>
    <row r="6" spans="1:7" ht="76.5" customHeight="1" thickBot="1">
      <c r="A6" s="10" t="s">
        <v>392</v>
      </c>
      <c r="B6" s="1020"/>
      <c r="C6" s="1020"/>
      <c r="D6" s="1020"/>
      <c r="E6" s="1020"/>
      <c r="F6" s="1020"/>
      <c r="G6" s="1021"/>
    </row>
    <row r="8" spans="1:7" ht="17.25" thickBot="1">
      <c r="A8" s="923" t="s">
        <v>488</v>
      </c>
      <c r="B8" s="923"/>
    </row>
    <row r="9" spans="1:7">
      <c r="A9" s="924" t="s">
        <v>395</v>
      </c>
      <c r="B9" s="925"/>
      <c r="C9" s="13" t="s">
        <v>396</v>
      </c>
      <c r="D9" s="13" t="s">
        <v>397</v>
      </c>
      <c r="E9" s="13" t="s">
        <v>398</v>
      </c>
      <c r="F9" s="13" t="s">
        <v>399</v>
      </c>
      <c r="G9" s="14"/>
    </row>
    <row r="10" spans="1:7">
      <c r="A10" s="926"/>
      <c r="B10" s="927"/>
      <c r="C10" s="26"/>
      <c r="D10" s="97"/>
      <c r="E10" s="31"/>
      <c r="F10" s="22">
        <f>E10*D10</f>
        <v>0</v>
      </c>
      <c r="G10" s="15"/>
    </row>
    <row r="11" spans="1:7">
      <c r="A11" s="926"/>
      <c r="B11" s="927"/>
      <c r="C11" s="26"/>
      <c r="D11" s="97"/>
      <c r="E11" s="27"/>
      <c r="F11" s="22">
        <f>E11*D11</f>
        <v>0</v>
      </c>
      <c r="G11" s="15"/>
    </row>
    <row r="12" spans="1:7">
      <c r="A12" s="926"/>
      <c r="B12" s="927"/>
      <c r="C12" s="26"/>
      <c r="D12" s="97"/>
      <c r="E12" s="27"/>
      <c r="F12" s="22">
        <f>E12*D12</f>
        <v>0</v>
      </c>
      <c r="G12" s="16"/>
    </row>
    <row r="13" spans="1:7" ht="17.25" thickBot="1">
      <c r="A13" s="928"/>
      <c r="B13" s="929"/>
      <c r="C13" s="24"/>
      <c r="D13" s="24"/>
      <c r="E13" s="24"/>
      <c r="F13" s="24"/>
      <c r="G13" s="17"/>
    </row>
    <row r="14" spans="1:7" ht="17.25" thickBot="1">
      <c r="F14" s="4" t="s">
        <v>400</v>
      </c>
      <c r="G14" s="25">
        <f>SUM(F10:F13)</f>
        <v>0</v>
      </c>
    </row>
    <row r="15" spans="1:7" ht="17.25" thickBot="1">
      <c r="A15" s="923" t="s">
        <v>489</v>
      </c>
      <c r="B15" s="923"/>
    </row>
    <row r="16" spans="1:7">
      <c r="A16" s="924" t="s">
        <v>395</v>
      </c>
      <c r="B16" s="925"/>
      <c r="C16" s="13" t="s">
        <v>402</v>
      </c>
      <c r="D16" s="13" t="s">
        <v>403</v>
      </c>
      <c r="E16" s="13" t="s">
        <v>404</v>
      </c>
      <c r="F16" s="13" t="s">
        <v>399</v>
      </c>
      <c r="G16" s="18"/>
    </row>
    <row r="17" spans="1:7" s="83" customFormat="1" ht="34.5" customHeight="1">
      <c r="A17" s="1024"/>
      <c r="B17" s="1025"/>
      <c r="C17" s="98"/>
      <c r="D17" s="99"/>
      <c r="E17" s="84"/>
      <c r="F17" s="81">
        <f>E17*D17</f>
        <v>0</v>
      </c>
      <c r="G17" s="82"/>
    </row>
    <row r="18" spans="1:7">
      <c r="A18" s="1022"/>
      <c r="B18" s="1023"/>
      <c r="C18" s="100"/>
      <c r="D18" s="101"/>
      <c r="E18" s="85"/>
      <c r="F18" s="66">
        <f t="shared" ref="F18:F30" si="0">E18*D18</f>
        <v>0</v>
      </c>
      <c r="G18" s="16"/>
    </row>
    <row r="19" spans="1:7">
      <c r="A19" s="1022"/>
      <c r="B19" s="1023"/>
      <c r="C19" s="100"/>
      <c r="D19" s="101"/>
      <c r="E19" s="85"/>
      <c r="F19" s="66">
        <f t="shared" si="0"/>
        <v>0</v>
      </c>
      <c r="G19" s="16"/>
    </row>
    <row r="20" spans="1:7" ht="16.5" customHeight="1">
      <c r="A20" s="1022"/>
      <c r="B20" s="1023"/>
      <c r="C20" s="100"/>
      <c r="D20" s="101"/>
      <c r="E20" s="85"/>
      <c r="F20" s="66">
        <f t="shared" si="0"/>
        <v>0</v>
      </c>
      <c r="G20" s="16"/>
    </row>
    <row r="21" spans="1:7" ht="16.5" customHeight="1">
      <c r="A21" s="1022"/>
      <c r="B21" s="1023"/>
      <c r="C21" s="100"/>
      <c r="D21" s="101"/>
      <c r="E21" s="85"/>
      <c r="F21" s="66">
        <f t="shared" si="0"/>
        <v>0</v>
      </c>
      <c r="G21" s="16"/>
    </row>
    <row r="22" spans="1:7">
      <c r="A22" s="1022"/>
      <c r="B22" s="1023"/>
      <c r="C22" s="100"/>
      <c r="D22" s="101"/>
      <c r="E22" s="85"/>
      <c r="F22" s="66">
        <f t="shared" si="0"/>
        <v>0</v>
      </c>
      <c r="G22" s="16"/>
    </row>
    <row r="23" spans="1:7">
      <c r="A23" s="1022"/>
      <c r="B23" s="1023"/>
      <c r="C23" s="100"/>
      <c r="D23" s="101"/>
      <c r="E23" s="85"/>
      <c r="F23" s="66">
        <f t="shared" si="0"/>
        <v>0</v>
      </c>
      <c r="G23" s="16"/>
    </row>
    <row r="24" spans="1:7" ht="18" customHeight="1">
      <c r="A24" s="1022"/>
      <c r="B24" s="1023"/>
      <c r="C24" s="100"/>
      <c r="D24" s="101"/>
      <c r="E24" s="85"/>
      <c r="F24" s="66">
        <f t="shared" si="0"/>
        <v>0</v>
      </c>
      <c r="G24" s="16"/>
    </row>
    <row r="25" spans="1:7" ht="16.5" customHeight="1">
      <c r="A25" s="1022"/>
      <c r="B25" s="1023"/>
      <c r="C25" s="100"/>
      <c r="D25" s="101"/>
      <c r="E25" s="85"/>
      <c r="F25" s="66">
        <f t="shared" si="0"/>
        <v>0</v>
      </c>
      <c r="G25" s="16"/>
    </row>
    <row r="26" spans="1:7" ht="16.5" customHeight="1">
      <c r="A26" s="102"/>
      <c r="B26" s="103"/>
      <c r="C26" s="100"/>
      <c r="D26" s="101"/>
      <c r="E26" s="85"/>
      <c r="F26" s="66">
        <f t="shared" si="0"/>
        <v>0</v>
      </c>
      <c r="G26" s="16"/>
    </row>
    <row r="27" spans="1:7" ht="16.5" customHeight="1">
      <c r="A27" s="102"/>
      <c r="B27" s="103"/>
      <c r="C27" s="100"/>
      <c r="D27" s="101"/>
      <c r="E27" s="85"/>
      <c r="F27" s="66">
        <f t="shared" si="0"/>
        <v>0</v>
      </c>
      <c r="G27" s="16"/>
    </row>
    <row r="28" spans="1:7">
      <c r="A28" s="1026"/>
      <c r="B28" s="969"/>
      <c r="C28" s="77"/>
      <c r="D28" s="78"/>
      <c r="E28" s="79"/>
      <c r="F28" s="66">
        <f t="shared" si="0"/>
        <v>0</v>
      </c>
      <c r="G28" s="16"/>
    </row>
    <row r="29" spans="1:7">
      <c r="A29" s="1026"/>
      <c r="B29" s="969"/>
      <c r="C29" s="77"/>
      <c r="D29" s="78"/>
      <c r="E29" s="79"/>
      <c r="F29" s="66">
        <f t="shared" si="0"/>
        <v>0</v>
      </c>
      <c r="G29" s="16"/>
    </row>
    <row r="30" spans="1:7" ht="17.25" thickBot="1">
      <c r="A30" s="1027"/>
      <c r="B30" s="1028"/>
      <c r="C30" s="24"/>
      <c r="D30" s="69"/>
      <c r="E30" s="30"/>
      <c r="F30" s="70">
        <f t="shared" si="0"/>
        <v>0</v>
      </c>
      <c r="G30" s="17"/>
    </row>
    <row r="31" spans="1:7" ht="17.25" thickBot="1">
      <c r="F31" s="4" t="s">
        <v>400</v>
      </c>
      <c r="G31" s="80">
        <f>SUM(F17:F30)</f>
        <v>0</v>
      </c>
    </row>
    <row r="32" spans="1:7" ht="17.25" thickBot="1">
      <c r="A32" s="923" t="s">
        <v>490</v>
      </c>
      <c r="B32" s="923"/>
    </row>
    <row r="33" spans="1:7">
      <c r="A33" s="12" t="s">
        <v>491</v>
      </c>
      <c r="B33" s="13" t="s">
        <v>412</v>
      </c>
      <c r="C33" s="13" t="s">
        <v>413</v>
      </c>
      <c r="D33" s="13" t="s">
        <v>414</v>
      </c>
      <c r="E33" s="13" t="s">
        <v>415</v>
      </c>
      <c r="F33" s="13" t="s">
        <v>399</v>
      </c>
      <c r="G33" s="18"/>
    </row>
    <row r="34" spans="1:7" ht="17.25" thickBot="1">
      <c r="A34" s="68"/>
      <c r="B34" s="20"/>
      <c r="C34" s="26"/>
      <c r="D34" s="34"/>
      <c r="E34" s="105"/>
      <c r="F34" s="32">
        <f>+E34</f>
        <v>0</v>
      </c>
      <c r="G34" s="19"/>
    </row>
    <row r="35" spans="1:7">
      <c r="A35" s="12" t="s">
        <v>492</v>
      </c>
      <c r="B35" s="13" t="s">
        <v>417</v>
      </c>
      <c r="C35" s="13" t="s">
        <v>193</v>
      </c>
      <c r="D35" s="13" t="s">
        <v>418</v>
      </c>
      <c r="E35" s="13" t="s">
        <v>398</v>
      </c>
      <c r="F35" s="13" t="s">
        <v>399</v>
      </c>
      <c r="G35" s="19"/>
    </row>
    <row r="36" spans="1:7">
      <c r="A36" s="75"/>
      <c r="B36" s="64"/>
      <c r="C36" s="64"/>
      <c r="D36" s="76"/>
      <c r="E36" s="106"/>
      <c r="F36" s="107" t="e">
        <f>D36/ E36</f>
        <v>#DIV/0!</v>
      </c>
      <c r="G36" s="19"/>
    </row>
    <row r="37" spans="1:7">
      <c r="A37" s="28"/>
      <c r="B37" s="20"/>
      <c r="C37" s="20"/>
      <c r="D37" s="27"/>
      <c r="E37" s="21"/>
      <c r="F37" s="32"/>
      <c r="G37" s="16"/>
    </row>
    <row r="38" spans="1:7" ht="17.25" thickBot="1">
      <c r="A38" s="29"/>
      <c r="B38" s="24"/>
      <c r="C38" s="24"/>
      <c r="D38" s="24"/>
      <c r="E38" s="33"/>
      <c r="F38" s="33"/>
      <c r="G38" s="17"/>
    </row>
    <row r="39" spans="1:7" ht="17.25" thickBot="1">
      <c r="F39" s="4" t="s">
        <v>400</v>
      </c>
      <c r="G39" s="11" t="e">
        <f>SUM(F34:F38)</f>
        <v>#DIV/0!</v>
      </c>
    </row>
    <row r="40" spans="1:7" ht="17.25" thickBot="1">
      <c r="A40" s="923" t="s">
        <v>419</v>
      </c>
      <c r="B40" s="923"/>
    </row>
    <row r="41" spans="1:7">
      <c r="A41" s="12" t="s">
        <v>416</v>
      </c>
      <c r="B41" s="13" t="s">
        <v>417</v>
      </c>
      <c r="C41" s="13" t="s">
        <v>193</v>
      </c>
      <c r="D41" s="13" t="s">
        <v>418</v>
      </c>
      <c r="E41" s="13" t="s">
        <v>398</v>
      </c>
      <c r="F41" s="13" t="s">
        <v>399</v>
      </c>
      <c r="G41" s="18"/>
    </row>
    <row r="42" spans="1:7">
      <c r="A42" s="28"/>
      <c r="B42" s="64"/>
      <c r="C42" s="64"/>
      <c r="D42" s="22">
        <f>C42+B42</f>
        <v>0</v>
      </c>
      <c r="E42" s="104"/>
      <c r="F42" s="22" t="e">
        <f>D42/E42</f>
        <v>#DIV/0!</v>
      </c>
      <c r="G42" s="19"/>
    </row>
    <row r="43" spans="1:7">
      <c r="A43" s="28"/>
      <c r="B43" s="64"/>
      <c r="C43" s="64"/>
      <c r="D43" s="22">
        <f>C43+B43</f>
        <v>0</v>
      </c>
      <c r="E43" s="104"/>
      <c r="F43" s="22" t="e">
        <f>D43/E43</f>
        <v>#DIV/0!</v>
      </c>
      <c r="G43" s="19"/>
    </row>
    <row r="44" spans="1:7">
      <c r="A44" s="28"/>
      <c r="B44" s="23"/>
      <c r="C44" s="23"/>
      <c r="D44" s="23"/>
      <c r="E44" s="23"/>
      <c r="F44" s="23"/>
      <c r="G44" s="16"/>
    </row>
    <row r="45" spans="1:7" ht="17.25" thickBot="1">
      <c r="A45" s="29"/>
      <c r="B45" s="24"/>
      <c r="C45" s="24"/>
      <c r="D45" s="24"/>
      <c r="E45" s="24"/>
      <c r="F45" s="24"/>
      <c r="G45" s="17"/>
    </row>
    <row r="46" spans="1:7" ht="17.25" thickBot="1">
      <c r="F46" s="4" t="s">
        <v>400</v>
      </c>
      <c r="G46" s="11" t="e">
        <f>SUM(F42:F45)</f>
        <v>#DIV/0!</v>
      </c>
    </row>
    <row r="47" spans="1:7" ht="17.25" thickBot="1"/>
    <row r="48" spans="1:7" ht="17.25" thickBot="1">
      <c r="F48" s="4" t="s">
        <v>420</v>
      </c>
      <c r="G48" s="71" t="e">
        <f>ROUND(G14+G31+G39+G46,0)</f>
        <v>#DIV/0!</v>
      </c>
    </row>
  </sheetData>
  <mergeCells count="27">
    <mergeCell ref="A28:B28"/>
    <mergeCell ref="A29:B29"/>
    <mergeCell ref="A30:B30"/>
    <mergeCell ref="A32:B32"/>
    <mergeCell ref="A40:B40"/>
    <mergeCell ref="A16:B16"/>
    <mergeCell ref="A17:B17"/>
    <mergeCell ref="A18:B18"/>
    <mergeCell ref="A19:B19"/>
    <mergeCell ref="A20:B20"/>
    <mergeCell ref="A21:B21"/>
    <mergeCell ref="A22:B22"/>
    <mergeCell ref="A23:B23"/>
    <mergeCell ref="A24:B24"/>
    <mergeCell ref="A25:B25"/>
    <mergeCell ref="A15:B15"/>
    <mergeCell ref="A1:C1"/>
    <mergeCell ref="D1:G1"/>
    <mergeCell ref="A3:G3"/>
    <mergeCell ref="A4:G4"/>
    <mergeCell ref="B6:G6"/>
    <mergeCell ref="A8:B8"/>
    <mergeCell ref="A9:B9"/>
    <mergeCell ref="A10:B10"/>
    <mergeCell ref="A11:B11"/>
    <mergeCell ref="A12:B12"/>
    <mergeCell ref="A13:B13"/>
  </mergeCells>
  <pageMargins left="0.23622047244094491" right="0.23622047244094491" top="0.35433070866141736" bottom="0.35433070866141736" header="0.31496062992125984" footer="0.31496062992125984"/>
  <pageSetup scale="81"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A29" sqref="A29"/>
    </sheetView>
  </sheetViews>
  <sheetFormatPr baseColWidth="10" defaultColWidth="11.42578125" defaultRowHeight="15"/>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40E7E-D989-4770-952B-166AE9E5EE02}">
  <dimension ref="A1:O71"/>
  <sheetViews>
    <sheetView topLeftCell="A16" zoomScale="96" zoomScaleNormal="96" workbookViewId="0">
      <selection activeCell="P17" sqref="P17"/>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1" ht="77.25" customHeight="1">
      <c r="A1" s="918"/>
      <c r="B1" s="919"/>
      <c r="C1" s="919"/>
      <c r="D1" s="704" t="s">
        <v>388</v>
      </c>
      <c r="E1" s="705"/>
      <c r="F1" s="705"/>
      <c r="G1" s="706"/>
    </row>
    <row r="2" spans="1:11" ht="22.5" customHeight="1">
      <c r="A2" s="8"/>
      <c r="B2" s="8"/>
      <c r="C2" s="8"/>
      <c r="D2" s="9"/>
      <c r="E2" s="9"/>
      <c r="F2" s="9"/>
      <c r="G2" s="9"/>
    </row>
    <row r="3" spans="1:11" ht="23.25" customHeight="1">
      <c r="A3" s="747" t="str">
        <f>+'AU  Consul P2'!A3:I3</f>
        <v>SECRETARÍA DE TALENTO HUMANO Y SERVICIOS ADMINISTRATIVOS- DIRECCIÓN DE SERVICIOS GENERALES</v>
      </c>
      <c r="B3" s="748"/>
      <c r="C3" s="748"/>
      <c r="D3" s="748"/>
      <c r="E3" s="748"/>
      <c r="F3" s="748"/>
      <c r="G3" s="749"/>
      <c r="J3" s="941"/>
      <c r="K3" s="941"/>
    </row>
    <row r="4" spans="1:11" s="1" customFormat="1" ht="40.15" customHeight="1">
      <c r="A4" s="750" t="str">
        <f>+'PRESUPUESTO OFICIAL 2026'!B41</f>
        <v>4.1</v>
      </c>
      <c r="B4" s="751"/>
      <c r="C4" s="752"/>
      <c r="D4" s="752"/>
      <c r="E4" s="752"/>
      <c r="F4" s="752"/>
      <c r="G4" s="753"/>
      <c r="J4" s="377"/>
      <c r="K4" s="377"/>
    </row>
    <row r="5" spans="1:11" ht="22.5" customHeight="1">
      <c r="A5" s="364" t="s">
        <v>389</v>
      </c>
      <c r="B5" s="558" t="str">
        <f>+'PRESUPUESTO OFICIAL 2026'!B49</f>
        <v>4.8</v>
      </c>
      <c r="C5" s="3"/>
      <c r="D5" s="3"/>
      <c r="E5" s="3"/>
      <c r="F5" s="7" t="s">
        <v>391</v>
      </c>
      <c r="G5" s="363" t="str">
        <f>+'PRESUPUESTO OFICIAL 2026'!H49</f>
        <v xml:space="preserve">GLO </v>
      </c>
      <c r="J5" s="377"/>
      <c r="K5" s="377"/>
    </row>
    <row r="6" spans="1:11" ht="60" customHeight="1">
      <c r="A6" s="10" t="s">
        <v>392</v>
      </c>
      <c r="B6" s="1011" t="s">
        <v>369</v>
      </c>
      <c r="C6" s="1012"/>
      <c r="D6" s="1012"/>
      <c r="E6" s="1012"/>
      <c r="F6" s="1012"/>
      <c r="G6" s="1013"/>
      <c r="J6" s="377"/>
      <c r="K6" s="539"/>
    </row>
    <row r="8" spans="1:11">
      <c r="A8" s="923" t="s">
        <v>394</v>
      </c>
      <c r="B8" s="923"/>
      <c r="J8" s="941"/>
      <c r="K8" s="941"/>
    </row>
    <row r="9" spans="1:11">
      <c r="A9" s="924" t="s">
        <v>395</v>
      </c>
      <c r="B9" s="925"/>
      <c r="C9" s="13" t="s">
        <v>396</v>
      </c>
      <c r="D9" s="13" t="s">
        <v>397</v>
      </c>
      <c r="E9" s="13" t="s">
        <v>398</v>
      </c>
      <c r="F9" s="13" t="s">
        <v>399</v>
      </c>
      <c r="G9" s="14"/>
      <c r="J9" s="377"/>
      <c r="K9" s="377"/>
    </row>
    <row r="10" spans="1:11">
      <c r="A10" s="926" t="s">
        <v>427</v>
      </c>
      <c r="B10" s="927"/>
      <c r="C10" s="26" t="s">
        <v>428</v>
      </c>
      <c r="D10" s="21">
        <f>G43</f>
        <v>20238.046674624828</v>
      </c>
      <c r="E10" s="335">
        <v>0.05</v>
      </c>
      <c r="F10" s="22">
        <f>E10*D10</f>
        <v>1011.9023337312415</v>
      </c>
      <c r="G10" s="15"/>
      <c r="J10" s="377"/>
      <c r="K10" s="377"/>
    </row>
    <row r="11" spans="1:11">
      <c r="A11" s="999"/>
      <c r="B11" s="1000"/>
      <c r="C11" s="436"/>
      <c r="D11" s="437"/>
      <c r="E11" s="535"/>
      <c r="F11" s="414"/>
      <c r="G11" s="15"/>
      <c r="J11" s="377"/>
      <c r="K11" s="377"/>
    </row>
    <row r="12" spans="1:11">
      <c r="A12" s="959"/>
      <c r="B12" s="960"/>
      <c r="C12" s="24"/>
      <c r="D12" s="24"/>
      <c r="E12" s="368"/>
      <c r="F12" s="326"/>
      <c r="G12" s="17"/>
      <c r="J12" s="377"/>
      <c r="K12" s="539"/>
    </row>
    <row r="13" spans="1:11">
      <c r="F13" s="4" t="s">
        <v>400</v>
      </c>
      <c r="G13" s="25">
        <f>SUM(F10:F12)</f>
        <v>1011.9023337312415</v>
      </c>
    </row>
    <row r="14" spans="1:11">
      <c r="F14" s="4"/>
      <c r="G14" s="336"/>
      <c r="J14" s="941"/>
      <c r="K14" s="941"/>
    </row>
    <row r="15" spans="1:11">
      <c r="A15" s="930" t="s">
        <v>401</v>
      </c>
      <c r="B15" s="930"/>
      <c r="J15" s="377"/>
      <c r="K15" s="377"/>
    </row>
    <row r="16" spans="1:11">
      <c r="A16" s="931" t="s">
        <v>395</v>
      </c>
      <c r="B16" s="932"/>
      <c r="C16" s="13" t="s">
        <v>402</v>
      </c>
      <c r="D16" s="13" t="s">
        <v>403</v>
      </c>
      <c r="E16" s="13" t="s">
        <v>404</v>
      </c>
      <c r="F16" s="13" t="s">
        <v>399</v>
      </c>
      <c r="G16" s="18"/>
      <c r="J16" s="377"/>
      <c r="K16" s="377"/>
    </row>
    <row r="17" spans="1:15" ht="16.5" customHeight="1">
      <c r="A17" s="984"/>
      <c r="B17" s="984"/>
      <c r="C17" s="522"/>
      <c r="D17" s="492"/>
      <c r="E17" s="504"/>
      <c r="F17" s="22">
        <f>+E17*D17</f>
        <v>0</v>
      </c>
      <c r="G17" s="16"/>
      <c r="J17" s="377"/>
      <c r="K17" s="539"/>
      <c r="L17" s="2">
        <v>258500</v>
      </c>
      <c r="M17" s="2">
        <f>L17*1.19</f>
        <v>307615</v>
      </c>
    </row>
    <row r="18" spans="1:15">
      <c r="A18" s="916"/>
      <c r="B18" s="917"/>
      <c r="C18" s="338"/>
      <c r="D18" s="366"/>
      <c r="E18" s="371"/>
      <c r="F18" s="22">
        <f>+D18*E18</f>
        <v>0</v>
      </c>
      <c r="G18" s="16"/>
      <c r="I18" s="374"/>
    </row>
    <row r="19" spans="1:15">
      <c r="A19" s="935"/>
      <c r="B19" s="936"/>
      <c r="C19" s="323"/>
      <c r="D19" s="366"/>
      <c r="E19" s="342"/>
      <c r="F19" s="22">
        <f>+D19*E19</f>
        <v>0</v>
      </c>
      <c r="G19" s="343"/>
      <c r="I19" s="374"/>
      <c r="K19" s="432"/>
      <c r="M19" s="525"/>
    </row>
    <row r="20" spans="1:15">
      <c r="A20" s="933"/>
      <c r="B20" s="934"/>
      <c r="C20" s="338"/>
      <c r="D20" s="367"/>
      <c r="E20" s="342"/>
      <c r="F20" s="22">
        <f>+D20*E20</f>
        <v>0</v>
      </c>
      <c r="G20" s="343"/>
      <c r="I20" s="374"/>
    </row>
    <row r="21" spans="1:15">
      <c r="A21" s="933"/>
      <c r="B21" s="934"/>
      <c r="C21" s="338"/>
      <c r="D21" s="367"/>
      <c r="E21" s="342"/>
      <c r="F21" s="22">
        <f>+D21*E21</f>
        <v>0</v>
      </c>
      <c r="G21" s="343"/>
      <c r="J21" s="941"/>
      <c r="K21" s="941"/>
      <c r="O21" s="583"/>
    </row>
    <row r="22" spans="1:15">
      <c r="A22" s="946"/>
      <c r="B22" s="973"/>
      <c r="C22" s="325"/>
      <c r="D22" s="344"/>
      <c r="E22" s="345"/>
      <c r="F22" s="326">
        <f>+D22*E22</f>
        <v>0</v>
      </c>
      <c r="G22" s="346"/>
      <c r="J22" s="377"/>
      <c r="K22" s="377"/>
    </row>
    <row r="23" spans="1:15">
      <c r="A23" s="941"/>
      <c r="B23" s="941"/>
      <c r="F23" s="4" t="s">
        <v>400</v>
      </c>
      <c r="G23" s="25">
        <f>SUM(F22,F21,F20,F19,F18,F17)</f>
        <v>0</v>
      </c>
      <c r="J23" s="377"/>
      <c r="K23" s="377"/>
    </row>
    <row r="24" spans="1:15">
      <c r="A24" s="930" t="s">
        <v>405</v>
      </c>
      <c r="B24" s="930"/>
      <c r="J24" s="377"/>
      <c r="K24" s="539"/>
    </row>
    <row r="25" spans="1:15">
      <c r="A25" s="931" t="s">
        <v>395</v>
      </c>
      <c r="B25" s="932"/>
      <c r="C25" s="13" t="s">
        <v>402</v>
      </c>
      <c r="D25" s="13" t="s">
        <v>403</v>
      </c>
      <c r="E25" s="13" t="s">
        <v>404</v>
      </c>
      <c r="F25" s="13" t="s">
        <v>399</v>
      </c>
      <c r="G25" s="18"/>
      <c r="I25" s="374"/>
    </row>
    <row r="26" spans="1:15">
      <c r="A26" s="1029" t="s">
        <v>493</v>
      </c>
      <c r="B26" s="1029"/>
      <c r="C26" s="522" t="s">
        <v>440</v>
      </c>
      <c r="D26" s="492">
        <v>307615</v>
      </c>
      <c r="E26" s="504">
        <v>1</v>
      </c>
      <c r="F26" s="22">
        <f t="shared" ref="F26:F32" si="0">+D26*E26</f>
        <v>307615</v>
      </c>
      <c r="G26" s="16"/>
      <c r="J26" s="941"/>
      <c r="K26" s="941"/>
      <c r="L26" s="2">
        <v>24800</v>
      </c>
    </row>
    <row r="27" spans="1:15">
      <c r="A27" s="916" t="s">
        <v>494</v>
      </c>
      <c r="B27" s="917"/>
      <c r="C27" s="338" t="s">
        <v>297</v>
      </c>
      <c r="D27" s="638">
        <v>18050</v>
      </c>
      <c r="E27" s="371">
        <v>0.5</v>
      </c>
      <c r="F27" s="22">
        <f t="shared" si="0"/>
        <v>9025</v>
      </c>
      <c r="G27" s="16"/>
      <c r="J27" s="377"/>
      <c r="K27" s="377"/>
      <c r="L27" s="2">
        <v>14850</v>
      </c>
    </row>
    <row r="28" spans="1:15">
      <c r="A28" s="933"/>
      <c r="B28" s="944"/>
      <c r="C28" s="323"/>
      <c r="D28" s="537"/>
      <c r="E28" s="450"/>
      <c r="F28" s="22">
        <f t="shared" si="0"/>
        <v>0</v>
      </c>
      <c r="G28" s="16"/>
      <c r="J28" s="377"/>
      <c r="K28" s="377"/>
      <c r="L28" s="2">
        <v>14500</v>
      </c>
    </row>
    <row r="29" spans="1:15">
      <c r="A29" s="933"/>
      <c r="B29" s="934"/>
      <c r="C29" s="323"/>
      <c r="D29" s="348"/>
      <c r="E29" s="347"/>
      <c r="F29" s="22">
        <f t="shared" si="0"/>
        <v>0</v>
      </c>
      <c r="G29" s="16"/>
      <c r="J29" s="377"/>
      <c r="K29" s="539"/>
      <c r="L29" s="2">
        <f>AVERAGE(L26:L28)</f>
        <v>18050</v>
      </c>
    </row>
    <row r="30" spans="1:15">
      <c r="A30" s="945"/>
      <c r="B30" s="944"/>
      <c r="C30" s="323"/>
      <c r="D30" s="324"/>
      <c r="E30" s="347"/>
      <c r="F30" s="22">
        <f t="shared" si="0"/>
        <v>0</v>
      </c>
      <c r="G30" s="16"/>
      <c r="I30" s="374"/>
    </row>
    <row r="31" spans="1:15">
      <c r="A31" s="945"/>
      <c r="B31" s="944"/>
      <c r="C31" s="323"/>
      <c r="D31" s="324"/>
      <c r="E31" s="347"/>
      <c r="F31" s="22">
        <f t="shared" si="0"/>
        <v>0</v>
      </c>
      <c r="G31" s="16"/>
    </row>
    <row r="32" spans="1:15">
      <c r="A32" s="946"/>
      <c r="B32" s="947"/>
      <c r="C32" s="325"/>
      <c r="D32" s="349"/>
      <c r="E32" s="350"/>
      <c r="F32" s="326">
        <f t="shared" si="0"/>
        <v>0</v>
      </c>
      <c r="G32" s="17"/>
      <c r="J32" s="941"/>
      <c r="K32" s="941"/>
    </row>
    <row r="33" spans="1:11">
      <c r="F33" s="4" t="s">
        <v>400</v>
      </c>
      <c r="G33" s="11">
        <f>SUM(F26:F32)</f>
        <v>316640</v>
      </c>
      <c r="J33" s="377"/>
      <c r="K33" s="377"/>
    </row>
    <row r="34" spans="1:11">
      <c r="A34" s="923" t="s">
        <v>410</v>
      </c>
      <c r="B34" s="923"/>
      <c r="J34" s="377"/>
      <c r="K34" s="377"/>
    </row>
    <row r="35" spans="1:11">
      <c r="A35" s="12" t="s">
        <v>411</v>
      </c>
      <c r="B35" s="13" t="s">
        <v>412</v>
      </c>
      <c r="C35" s="13" t="s">
        <v>413</v>
      </c>
      <c r="D35" s="13" t="s">
        <v>414</v>
      </c>
      <c r="E35" s="13" t="s">
        <v>415</v>
      </c>
      <c r="F35" s="13" t="s">
        <v>399</v>
      </c>
      <c r="G35" s="18"/>
      <c r="J35" s="377"/>
      <c r="K35" s="539"/>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row>
    <row r="38" spans="1:11">
      <c r="A38" s="29"/>
      <c r="B38" s="24"/>
      <c r="C38" s="24"/>
      <c r="D38" s="24"/>
      <c r="E38" s="33"/>
      <c r="F38" s="33"/>
      <c r="G38" s="17"/>
    </row>
    <row r="39" spans="1:11">
      <c r="F39" s="4" t="s">
        <v>400</v>
      </c>
      <c r="G39" s="11">
        <f>SUM(F36:F38)</f>
        <v>0</v>
      </c>
    </row>
    <row r="40" spans="1:11">
      <c r="A40" s="923" t="s">
        <v>419</v>
      </c>
      <c r="B40" s="923"/>
    </row>
    <row r="41" spans="1:11">
      <c r="A41" s="12" t="s">
        <v>416</v>
      </c>
      <c r="B41" s="13" t="s">
        <v>417</v>
      </c>
      <c r="C41" s="13" t="s">
        <v>193</v>
      </c>
      <c r="D41" s="13" t="s">
        <v>418</v>
      </c>
      <c r="E41" s="13" t="s">
        <v>398</v>
      </c>
      <c r="F41" s="13" t="s">
        <v>399</v>
      </c>
      <c r="G41" s="18"/>
    </row>
    <row r="42" spans="1:11">
      <c r="A42" s="356" t="str">
        <f>+Insumos!B39</f>
        <v xml:space="preserve">Oficial HVAC+Ayudante </v>
      </c>
      <c r="B42" s="356">
        <f>+Insumos!C40</f>
        <v>26152.364711232374</v>
      </c>
      <c r="C42" s="356">
        <f>+Insumos!D40</f>
        <v>14323.728638017281</v>
      </c>
      <c r="D42" s="326">
        <f>+C42+B42</f>
        <v>40476.093349249655</v>
      </c>
      <c r="E42" s="434">
        <v>0.5</v>
      </c>
      <c r="F42" s="326">
        <f>+D42*E42</f>
        <v>20238.046674624828</v>
      </c>
      <c r="G42" s="357"/>
    </row>
    <row r="43" spans="1:11">
      <c r="F43" s="4" t="s">
        <v>400</v>
      </c>
      <c r="G43" s="11">
        <f>SUM(F42:F42)</f>
        <v>20238.046674624828</v>
      </c>
    </row>
    <row r="45" spans="1:11">
      <c r="F45" s="4" t="s">
        <v>420</v>
      </c>
      <c r="G45" s="71">
        <f>SUM(G43,G39,G33,G23,G13)</f>
        <v>337889.94900835608</v>
      </c>
    </row>
    <row r="71" spans="10:10">
      <c r="J71" s="151"/>
    </row>
  </sheetData>
  <mergeCells count="36">
    <mergeCell ref="A40:B40"/>
    <mergeCell ref="A25:B25"/>
    <mergeCell ref="A26:B26"/>
    <mergeCell ref="J26:K26"/>
    <mergeCell ref="A27:B27"/>
    <mergeCell ref="A28:B28"/>
    <mergeCell ref="A29:B29"/>
    <mergeCell ref="A30:B30"/>
    <mergeCell ref="A31:B31"/>
    <mergeCell ref="A32:B32"/>
    <mergeCell ref="J32:K32"/>
    <mergeCell ref="A34:B34"/>
    <mergeCell ref="A24:B24"/>
    <mergeCell ref="J14:K14"/>
    <mergeCell ref="A15:B15"/>
    <mergeCell ref="A16:B16"/>
    <mergeCell ref="A17:B17"/>
    <mergeCell ref="A18:B18"/>
    <mergeCell ref="A19:B19"/>
    <mergeCell ref="A20:B20"/>
    <mergeCell ref="A21:B21"/>
    <mergeCell ref="J21:K21"/>
    <mergeCell ref="A22:B22"/>
    <mergeCell ref="A23:B23"/>
    <mergeCell ref="A12:B12"/>
    <mergeCell ref="A1:C1"/>
    <mergeCell ref="D1:G1"/>
    <mergeCell ref="A3:G3"/>
    <mergeCell ref="J3:K3"/>
    <mergeCell ref="A4:G4"/>
    <mergeCell ref="B6:G6"/>
    <mergeCell ref="A8:B8"/>
    <mergeCell ref="J8:K8"/>
    <mergeCell ref="A9:B9"/>
    <mergeCell ref="A10:B10"/>
    <mergeCell ref="A11:B11"/>
  </mergeCells>
  <pageMargins left="0.7" right="0.7" top="0.75" bottom="0.75" header="0.3" footer="0.3"/>
  <pageSetup orientation="portrait" horizontalDpi="4294967295" verticalDpi="4294967295"/>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E4EFE-8CCF-45AC-8D2B-8EA0EE49077F}">
  <dimension ref="A1:M71"/>
  <sheetViews>
    <sheetView zoomScale="95" zoomScaleNormal="95" workbookViewId="0">
      <selection activeCell="N38" sqref="N38"/>
    </sheetView>
  </sheetViews>
  <sheetFormatPr baseColWidth="10" defaultColWidth="11.42578125" defaultRowHeight="16.5"/>
  <cols>
    <col min="1" max="1" width="33" style="2" customWidth="1"/>
    <col min="2" max="2" width="24.85546875" style="2" customWidth="1"/>
    <col min="3" max="3" width="14.85546875" style="2" customWidth="1"/>
    <col min="4" max="4" width="13.85546875" style="2" customWidth="1"/>
    <col min="5" max="5" width="14.85546875" style="2" customWidth="1"/>
    <col min="6" max="6" width="16.140625" style="2" customWidth="1"/>
    <col min="7" max="7" width="16.7109375" style="2" customWidth="1"/>
    <col min="8" max="16384" width="11.42578125" style="2"/>
  </cols>
  <sheetData>
    <row r="1" spans="1:11" ht="77.25" customHeight="1">
      <c r="A1" s="918"/>
      <c r="B1" s="919"/>
      <c r="C1" s="919"/>
      <c r="D1" s="704" t="s">
        <v>388</v>
      </c>
      <c r="E1" s="705"/>
      <c r="F1" s="705"/>
      <c r="G1" s="706"/>
    </row>
    <row r="2" spans="1:11" ht="22.5" customHeight="1">
      <c r="A2" s="8"/>
      <c r="B2" s="8"/>
      <c r="C2" s="8"/>
      <c r="D2" s="9"/>
      <c r="E2" s="9"/>
      <c r="F2" s="9"/>
      <c r="G2" s="9"/>
    </row>
    <row r="3" spans="1:11" ht="23.25" customHeight="1">
      <c r="A3" s="747" t="str">
        <f>+'AU  Consul P2'!A3:I3</f>
        <v>SECRETARÍA DE TALENTO HUMANO Y SERVICIOS ADMINISTRATIVOS- DIRECCIÓN DE SERVICIOS GENERALES</v>
      </c>
      <c r="B3" s="748"/>
      <c r="C3" s="748"/>
      <c r="D3" s="748"/>
      <c r="E3" s="748"/>
      <c r="F3" s="748"/>
      <c r="G3" s="749"/>
      <c r="J3" s="941"/>
      <c r="K3" s="941"/>
    </row>
    <row r="4" spans="1:11" s="1" customFormat="1" ht="40.15" customHeight="1">
      <c r="A4" s="750" t="str">
        <f>+'PRESUPUESTO OFICIAL 2026'!B41</f>
        <v>4.1</v>
      </c>
      <c r="B4" s="751"/>
      <c r="C4" s="752"/>
      <c r="D4" s="752"/>
      <c r="E4" s="752"/>
      <c r="F4" s="752"/>
      <c r="G4" s="753"/>
      <c r="J4" s="377"/>
      <c r="K4" s="377"/>
    </row>
    <row r="5" spans="1:11" ht="22.5" customHeight="1">
      <c r="A5" s="364" t="s">
        <v>389</v>
      </c>
      <c r="B5" s="558" t="str">
        <f>+'PRESUPUESTO OFICIAL 2026'!B50</f>
        <v>4.9</v>
      </c>
      <c r="C5" s="3"/>
      <c r="D5" s="3"/>
      <c r="E5" s="3"/>
      <c r="F5" s="7" t="s">
        <v>391</v>
      </c>
      <c r="G5" s="363" t="str">
        <f>+'PRESUPUESTO OFICIAL 2026'!H50</f>
        <v xml:space="preserve">GLO </v>
      </c>
      <c r="J5" s="377"/>
      <c r="K5" s="377"/>
    </row>
    <row r="6" spans="1:11" ht="60" customHeight="1">
      <c r="A6" s="10" t="s">
        <v>392</v>
      </c>
      <c r="B6" s="1011" t="s">
        <v>370</v>
      </c>
      <c r="C6" s="1012"/>
      <c r="D6" s="1012"/>
      <c r="E6" s="1012"/>
      <c r="F6" s="1012"/>
      <c r="G6" s="1013"/>
      <c r="J6" s="377"/>
      <c r="K6" s="539"/>
    </row>
    <row r="8" spans="1:11">
      <c r="A8" s="923" t="s">
        <v>394</v>
      </c>
      <c r="B8" s="923"/>
      <c r="J8" s="941"/>
      <c r="K8" s="941"/>
    </row>
    <row r="9" spans="1:11">
      <c r="A9" s="924" t="s">
        <v>395</v>
      </c>
      <c r="B9" s="925"/>
      <c r="C9" s="13" t="s">
        <v>396</v>
      </c>
      <c r="D9" s="13" t="s">
        <v>397</v>
      </c>
      <c r="E9" s="13" t="s">
        <v>398</v>
      </c>
      <c r="F9" s="13" t="s">
        <v>399</v>
      </c>
      <c r="G9" s="14"/>
      <c r="J9" s="377"/>
      <c r="K9" s="377"/>
    </row>
    <row r="10" spans="1:11">
      <c r="A10" s="926" t="s">
        <v>427</v>
      </c>
      <c r="B10" s="927"/>
      <c r="C10" s="26" t="s">
        <v>428</v>
      </c>
      <c r="D10" s="21">
        <f>G43</f>
        <v>80952.18669849931</v>
      </c>
      <c r="E10" s="335">
        <v>0.05</v>
      </c>
      <c r="F10" s="22">
        <f>E10*D10</f>
        <v>4047.6093349249659</v>
      </c>
      <c r="G10" s="15"/>
      <c r="J10" s="377"/>
      <c r="K10" s="377"/>
    </row>
    <row r="11" spans="1:11">
      <c r="A11" s="999"/>
      <c r="B11" s="1000"/>
      <c r="C11" s="436"/>
      <c r="D11" s="437"/>
      <c r="E11" s="535"/>
      <c r="F11" s="414"/>
      <c r="G11" s="15"/>
      <c r="J11" s="377"/>
      <c r="K11" s="377"/>
    </row>
    <row r="12" spans="1:11">
      <c r="A12" s="959"/>
      <c r="B12" s="960"/>
      <c r="C12" s="24"/>
      <c r="D12" s="24"/>
      <c r="E12" s="368"/>
      <c r="F12" s="326"/>
      <c r="G12" s="17"/>
      <c r="J12" s="377"/>
      <c r="K12" s="539"/>
    </row>
    <row r="13" spans="1:11">
      <c r="F13" s="4" t="s">
        <v>400</v>
      </c>
      <c r="G13" s="25">
        <f>SUM(F10:F12)</f>
        <v>4047.6093349249659</v>
      </c>
    </row>
    <row r="14" spans="1:11">
      <c r="F14" s="4"/>
      <c r="G14" s="336"/>
      <c r="J14" s="941"/>
      <c r="K14" s="941"/>
    </row>
    <row r="15" spans="1:11">
      <c r="A15" s="930" t="s">
        <v>401</v>
      </c>
      <c r="B15" s="930"/>
      <c r="J15" s="377"/>
      <c r="K15" s="377"/>
    </row>
    <row r="16" spans="1:11">
      <c r="A16" s="931" t="s">
        <v>395</v>
      </c>
      <c r="B16" s="932"/>
      <c r="C16" s="13" t="s">
        <v>402</v>
      </c>
      <c r="D16" s="13" t="s">
        <v>403</v>
      </c>
      <c r="E16" s="13" t="s">
        <v>404</v>
      </c>
      <c r="F16" s="13" t="s">
        <v>399</v>
      </c>
      <c r="G16" s="18"/>
      <c r="J16" s="377"/>
      <c r="K16" s="377"/>
    </row>
    <row r="17" spans="1:13" ht="16.5" customHeight="1">
      <c r="A17" s="1029"/>
      <c r="B17" s="1029"/>
      <c r="C17" s="522"/>
      <c r="D17" s="447"/>
      <c r="E17" s="504"/>
      <c r="F17" s="32"/>
      <c r="G17" s="16"/>
      <c r="J17" s="377"/>
      <c r="K17" s="539"/>
      <c r="M17" s="2">
        <v>83000</v>
      </c>
    </row>
    <row r="18" spans="1:13">
      <c r="A18" s="916"/>
      <c r="B18" s="917"/>
      <c r="C18" s="338"/>
      <c r="D18" s="366"/>
      <c r="E18" s="371"/>
      <c r="F18" s="22">
        <f>+D18*E18</f>
        <v>0</v>
      </c>
      <c r="G18" s="16"/>
      <c r="I18" s="374"/>
      <c r="M18" s="2">
        <v>76945</v>
      </c>
    </row>
    <row r="19" spans="1:13">
      <c r="A19" s="935"/>
      <c r="B19" s="936"/>
      <c r="C19" s="323"/>
      <c r="D19" s="366"/>
      <c r="E19" s="342"/>
      <c r="F19" s="22">
        <f>+D19*E19</f>
        <v>0</v>
      </c>
      <c r="G19" s="343"/>
      <c r="I19" s="374"/>
      <c r="K19" s="432"/>
      <c r="M19" s="525">
        <v>119900</v>
      </c>
    </row>
    <row r="20" spans="1:13">
      <c r="A20" s="933"/>
      <c r="B20" s="934"/>
      <c r="C20" s="338"/>
      <c r="D20" s="367"/>
      <c r="E20" s="342"/>
      <c r="F20" s="22">
        <f>+D20*E20</f>
        <v>0</v>
      </c>
      <c r="G20" s="343"/>
      <c r="I20" s="374"/>
      <c r="M20" s="2">
        <f>AVERAGE(M17:M19)</f>
        <v>93281.666666666672</v>
      </c>
    </row>
    <row r="21" spans="1:13">
      <c r="A21" s="933"/>
      <c r="B21" s="934"/>
      <c r="C21" s="338"/>
      <c r="D21" s="367"/>
      <c r="E21" s="342"/>
      <c r="F21" s="22">
        <f>+D21*E21</f>
        <v>0</v>
      </c>
      <c r="G21" s="343"/>
      <c r="J21" s="941"/>
      <c r="K21" s="941"/>
    </row>
    <row r="22" spans="1:13">
      <c r="A22" s="946"/>
      <c r="B22" s="973"/>
      <c r="C22" s="325"/>
      <c r="D22" s="344"/>
      <c r="E22" s="345"/>
      <c r="F22" s="326">
        <f>+D22*E22</f>
        <v>0</v>
      </c>
      <c r="G22" s="346"/>
      <c r="J22" s="377"/>
      <c r="K22" s="377"/>
    </row>
    <row r="23" spans="1:13">
      <c r="A23" s="941"/>
      <c r="B23" s="941"/>
      <c r="F23" s="4" t="s">
        <v>400</v>
      </c>
      <c r="G23" s="25">
        <f>SUM(F22,F21,F20,F19,F18,F17)</f>
        <v>0</v>
      </c>
      <c r="J23" s="377"/>
      <c r="K23" s="377"/>
    </row>
    <row r="24" spans="1:13">
      <c r="A24" s="930" t="s">
        <v>405</v>
      </c>
      <c r="B24" s="930"/>
      <c r="J24" s="377"/>
      <c r="K24" s="539"/>
    </row>
    <row r="25" spans="1:13">
      <c r="A25" s="931" t="s">
        <v>395</v>
      </c>
      <c r="B25" s="932"/>
      <c r="C25" s="13" t="s">
        <v>402</v>
      </c>
      <c r="D25" s="13" t="s">
        <v>403</v>
      </c>
      <c r="E25" s="13" t="s">
        <v>404</v>
      </c>
      <c r="F25" s="13" t="s">
        <v>399</v>
      </c>
      <c r="G25" s="18"/>
      <c r="I25" s="374"/>
    </row>
    <row r="26" spans="1:13">
      <c r="A26" s="1029" t="s">
        <v>495</v>
      </c>
      <c r="B26" s="1029"/>
      <c r="C26" s="522">
        <v>1</v>
      </c>
      <c r="D26" s="492">
        <v>93282</v>
      </c>
      <c r="E26" s="504">
        <v>1</v>
      </c>
      <c r="F26" s="22">
        <f t="shared" ref="F26:F32" si="0">+D26*E26</f>
        <v>93282</v>
      </c>
      <c r="G26" s="16"/>
      <c r="J26" s="941"/>
      <c r="K26" s="941"/>
    </row>
    <row r="27" spans="1:13">
      <c r="A27" s="916" t="s">
        <v>450</v>
      </c>
      <c r="B27" s="917"/>
      <c r="C27" s="338" t="s">
        <v>440</v>
      </c>
      <c r="D27" s="366">
        <f>+'APU 1,1'!D30</f>
        <v>5553.333333333333</v>
      </c>
      <c r="E27" s="371">
        <v>0.2</v>
      </c>
      <c r="F27" s="22">
        <f>+E27*D27</f>
        <v>1110.6666666666667</v>
      </c>
      <c r="G27" s="16"/>
      <c r="J27" s="377"/>
      <c r="K27" s="377"/>
    </row>
    <row r="28" spans="1:13">
      <c r="A28" s="933"/>
      <c r="B28" s="944"/>
      <c r="C28" s="323"/>
      <c r="D28" s="537"/>
      <c r="E28" s="450"/>
      <c r="F28" s="22">
        <f t="shared" si="0"/>
        <v>0</v>
      </c>
      <c r="G28" s="16"/>
      <c r="J28" s="377"/>
      <c r="K28" s="377"/>
    </row>
    <row r="29" spans="1:13">
      <c r="A29" s="933"/>
      <c r="B29" s="934"/>
      <c r="C29" s="323"/>
      <c r="D29" s="348"/>
      <c r="E29" s="347"/>
      <c r="F29" s="22">
        <f t="shared" si="0"/>
        <v>0</v>
      </c>
      <c r="G29" s="16"/>
      <c r="J29" s="377"/>
      <c r="K29" s="539"/>
    </row>
    <row r="30" spans="1:13">
      <c r="A30" s="945"/>
      <c r="B30" s="944"/>
      <c r="C30" s="323"/>
      <c r="D30" s="324"/>
      <c r="E30" s="347"/>
      <c r="F30" s="22">
        <f t="shared" si="0"/>
        <v>0</v>
      </c>
      <c r="G30" s="16"/>
      <c r="I30" s="374"/>
    </row>
    <row r="31" spans="1:13">
      <c r="A31" s="945"/>
      <c r="B31" s="944"/>
      <c r="C31" s="323"/>
      <c r="D31" s="324"/>
      <c r="E31" s="347"/>
      <c r="F31" s="22">
        <f t="shared" si="0"/>
        <v>0</v>
      </c>
      <c r="G31" s="16"/>
    </row>
    <row r="32" spans="1:13">
      <c r="A32" s="946"/>
      <c r="B32" s="947"/>
      <c r="C32" s="325"/>
      <c r="D32" s="349"/>
      <c r="E32" s="350"/>
      <c r="F32" s="326">
        <f t="shared" si="0"/>
        <v>0</v>
      </c>
      <c r="G32" s="17"/>
      <c r="J32" s="941"/>
      <c r="K32" s="941"/>
    </row>
    <row r="33" spans="1:11">
      <c r="F33" s="4" t="s">
        <v>400</v>
      </c>
      <c r="G33" s="11">
        <f>SUM(F26:F32)</f>
        <v>94392.666666666672</v>
      </c>
      <c r="J33" s="377"/>
      <c r="K33" s="377"/>
    </row>
    <row r="34" spans="1:11">
      <c r="A34" s="923" t="s">
        <v>410</v>
      </c>
      <c r="B34" s="923"/>
      <c r="J34" s="377"/>
      <c r="K34" s="377"/>
    </row>
    <row r="35" spans="1:11">
      <c r="A35" s="12" t="s">
        <v>411</v>
      </c>
      <c r="B35" s="13" t="s">
        <v>412</v>
      </c>
      <c r="C35" s="13" t="s">
        <v>413</v>
      </c>
      <c r="D35" s="13" t="s">
        <v>414</v>
      </c>
      <c r="E35" s="13" t="s">
        <v>415</v>
      </c>
      <c r="F35" s="13" t="s">
        <v>399</v>
      </c>
      <c r="G35" s="18"/>
      <c r="J35" s="377"/>
      <c r="K35" s="539"/>
    </row>
    <row r="36" spans="1:11">
      <c r="A36" s="351"/>
      <c r="B36" s="32"/>
      <c r="C36" s="352"/>
      <c r="D36" s="352"/>
      <c r="E36" s="81"/>
      <c r="F36" s="22"/>
      <c r="G36" s="19"/>
      <c r="I36" s="374"/>
    </row>
    <row r="37" spans="1:11">
      <c r="A37" s="353" t="s">
        <v>416</v>
      </c>
      <c r="B37" s="354" t="s">
        <v>417</v>
      </c>
      <c r="C37" s="354" t="s">
        <v>193</v>
      </c>
      <c r="D37" s="354" t="s">
        <v>418</v>
      </c>
      <c r="E37" s="354" t="s">
        <v>398</v>
      </c>
      <c r="F37" s="354" t="s">
        <v>399</v>
      </c>
      <c r="G37" s="19"/>
      <c r="K37" s="432"/>
    </row>
    <row r="38" spans="1:11">
      <c r="A38" s="29"/>
      <c r="B38" s="24"/>
      <c r="C38" s="24"/>
      <c r="D38" s="24"/>
      <c r="E38" s="33"/>
      <c r="F38" s="33"/>
      <c r="G38" s="17"/>
    </row>
    <row r="39" spans="1:11">
      <c r="F39" s="4" t="s">
        <v>400</v>
      </c>
      <c r="G39" s="11">
        <f>SUM(F36:F38)</f>
        <v>0</v>
      </c>
    </row>
    <row r="40" spans="1:11">
      <c r="A40" s="923" t="s">
        <v>419</v>
      </c>
      <c r="B40" s="923"/>
    </row>
    <row r="41" spans="1:11">
      <c r="A41" s="12" t="s">
        <v>416</v>
      </c>
      <c r="B41" s="13" t="s">
        <v>417</v>
      </c>
      <c r="C41" s="13" t="s">
        <v>193</v>
      </c>
      <c r="D41" s="13" t="s">
        <v>418</v>
      </c>
      <c r="E41" s="13" t="s">
        <v>398</v>
      </c>
      <c r="F41" s="13" t="s">
        <v>399</v>
      </c>
      <c r="G41" s="18"/>
    </row>
    <row r="42" spans="1:11">
      <c r="A42" s="356" t="str">
        <f>+Insumos!B30</f>
        <v>Cuadrilla (Electrico + Ayudante)</v>
      </c>
      <c r="B42" s="356">
        <f>+Insumos!C40</f>
        <v>26152.364711232374</v>
      </c>
      <c r="C42" s="356">
        <f>+Insumos!D40</f>
        <v>14323.728638017281</v>
      </c>
      <c r="D42" s="326">
        <f>+C42+B42</f>
        <v>40476.093349249655</v>
      </c>
      <c r="E42" s="434">
        <v>2</v>
      </c>
      <c r="F42" s="326">
        <f>+D42*E42</f>
        <v>80952.18669849931</v>
      </c>
      <c r="G42" s="357"/>
    </row>
    <row r="43" spans="1:11">
      <c r="F43" s="4" t="s">
        <v>400</v>
      </c>
      <c r="G43" s="11">
        <f>SUM(F42:F42)</f>
        <v>80952.18669849931</v>
      </c>
    </row>
    <row r="45" spans="1:11">
      <c r="F45" s="4" t="s">
        <v>420</v>
      </c>
      <c r="G45" s="71">
        <f>SUM(G43,G39,G33,G23,G13)</f>
        <v>179392.46270009095</v>
      </c>
    </row>
    <row r="71" spans="10:10">
      <c r="J71" s="151"/>
    </row>
  </sheetData>
  <mergeCells count="36">
    <mergeCell ref="A40:B40"/>
    <mergeCell ref="A25:B25"/>
    <mergeCell ref="A26:B26"/>
    <mergeCell ref="J26:K26"/>
    <mergeCell ref="A27:B27"/>
    <mergeCell ref="A28:B28"/>
    <mergeCell ref="A29:B29"/>
    <mergeCell ref="A30:B30"/>
    <mergeCell ref="A31:B31"/>
    <mergeCell ref="A32:B32"/>
    <mergeCell ref="J32:K32"/>
    <mergeCell ref="A34:B34"/>
    <mergeCell ref="A24:B24"/>
    <mergeCell ref="J14:K14"/>
    <mergeCell ref="A15:B15"/>
    <mergeCell ref="A16:B16"/>
    <mergeCell ref="A17:B17"/>
    <mergeCell ref="A18:B18"/>
    <mergeCell ref="A19:B19"/>
    <mergeCell ref="A20:B20"/>
    <mergeCell ref="A21:B21"/>
    <mergeCell ref="J21:K21"/>
    <mergeCell ref="A22:B22"/>
    <mergeCell ref="A23:B23"/>
    <mergeCell ref="A12:B12"/>
    <mergeCell ref="A1:C1"/>
    <mergeCell ref="D1:G1"/>
    <mergeCell ref="A3:G3"/>
    <mergeCell ref="J3:K3"/>
    <mergeCell ref="A4:G4"/>
    <mergeCell ref="B6:G6"/>
    <mergeCell ref="A8:B8"/>
    <mergeCell ref="J8:K8"/>
    <mergeCell ref="A9:B9"/>
    <mergeCell ref="A10:B10"/>
    <mergeCell ref="A11:B11"/>
  </mergeCells>
  <pageMargins left="0.7" right="0.7" top="0.75" bottom="0.75" header="0.3" footer="0.3"/>
  <pageSetup orientation="portrait" horizontalDpi="4294967295" verticalDpi="4294967295"/>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8335880B64F9F4F9460028C9AA469A9" ma:contentTypeVersion="18" ma:contentTypeDescription="Create a new document." ma:contentTypeScope="" ma:versionID="6d70d35164ac390e35714acb9dd2488e">
  <xsd:schema xmlns:xsd="http://www.w3.org/2001/XMLSchema" xmlns:xs="http://www.w3.org/2001/XMLSchema" xmlns:p="http://schemas.microsoft.com/office/2006/metadata/properties" xmlns:ns3="7ca450c7-9122-4551-bd28-c254e975f5d3" xmlns:ns4="db5c8295-e9fb-4030-a3ee-0432756a196f" targetNamespace="http://schemas.microsoft.com/office/2006/metadata/properties" ma:root="true" ma:fieldsID="a5f37102a0ed3f0a33e82ae28935b1fc" ns3:_="" ns4:_="">
    <xsd:import namespace="7ca450c7-9122-4551-bd28-c254e975f5d3"/>
    <xsd:import namespace="db5c8295-e9fb-4030-a3ee-0432756a196f"/>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ystemTags"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a450c7-9122-4551-bd28-c254e975f5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Location" ma:index="24" nillable="true" ma:displayName="Location" ma:descrip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b5c8295-e9fb-4030-a3ee-0432756a196f"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7ca450c7-9122-4551-bd28-c254e975f5d3" xsi:nil="true"/>
  </documentManagement>
</p:properties>
</file>

<file path=customXml/itemProps1.xml><?xml version="1.0" encoding="utf-8"?>
<ds:datastoreItem xmlns:ds="http://schemas.openxmlformats.org/officeDocument/2006/customXml" ds:itemID="{E4528DA1-39E9-4FEA-A573-ACAEE8F0B15E}">
  <ds:schemaRefs>
    <ds:schemaRef ds:uri="http://schemas.microsoft.com/sharepoint/v3/contenttype/forms"/>
  </ds:schemaRefs>
</ds:datastoreItem>
</file>

<file path=customXml/itemProps2.xml><?xml version="1.0" encoding="utf-8"?>
<ds:datastoreItem xmlns:ds="http://schemas.openxmlformats.org/officeDocument/2006/customXml" ds:itemID="{92D4FF06-93D6-4E64-BB86-D7D2C7B6B1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a450c7-9122-4551-bd28-c254e975f5d3"/>
    <ds:schemaRef ds:uri="db5c8295-e9fb-4030-a3ee-0432756a19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3D368FB-028C-41C6-A050-0E02F887C382}">
  <ds:schemaRefs>
    <ds:schemaRef ds:uri="7ca450c7-9122-4551-bd28-c254e975f5d3"/>
    <ds:schemaRef ds:uri="db5c8295-e9fb-4030-a3ee-0432756a196f"/>
    <ds:schemaRef ds:uri="http://purl.org/dc/dcmitype/"/>
    <ds:schemaRef ds:uri="http://schemas.openxmlformats.org/package/2006/metadata/core-properties"/>
    <ds:schemaRef ds:uri="http://purl.org/dc/terms/"/>
    <ds:schemaRef ds:uri="http://www.w3.org/XML/1998/namespace"/>
    <ds:schemaRef ds:uri="http://schemas.microsoft.com/office/2006/documentManagement/types"/>
    <ds:schemaRef ds:uri="http://schemas.microsoft.com/office/infopath/2007/PartnerControl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43</vt:i4>
      </vt:variant>
      <vt:variant>
        <vt:lpstr>Rangos con nombre</vt:lpstr>
      </vt:variant>
      <vt:variant>
        <vt:i4>4</vt:i4>
      </vt:variant>
    </vt:vector>
  </HeadingPairs>
  <TitlesOfParts>
    <vt:vector size="47" baseType="lpstr">
      <vt:lpstr>AU  Consul P2</vt:lpstr>
      <vt:lpstr>Pólizas</vt:lpstr>
      <vt:lpstr>COSTO PERSONAL</vt:lpstr>
      <vt:lpstr>Insumos</vt:lpstr>
      <vt:lpstr>PRESUPUESTO OFICIAL 2026</vt:lpstr>
      <vt:lpstr>PRESUPUESTO OFICIAL 2026 TH</vt:lpstr>
      <vt:lpstr>PRESUPUESTO OFICIAL 2026 SALUD</vt:lpstr>
      <vt:lpstr>andamios</vt:lpstr>
      <vt:lpstr>APU 1,1</vt:lpstr>
      <vt:lpstr>APU 1,2</vt:lpstr>
      <vt:lpstr>APU 1,3</vt:lpstr>
      <vt:lpstr>APU 1,4</vt:lpstr>
      <vt:lpstr>APU 1,5</vt:lpstr>
      <vt:lpstr>APU 1,6</vt:lpstr>
      <vt:lpstr>APU 1,7</vt:lpstr>
      <vt:lpstr>APU 1,8</vt:lpstr>
      <vt:lpstr>APU 1,9</vt:lpstr>
      <vt:lpstr>APU 1.10</vt:lpstr>
      <vt:lpstr>APU 1,11</vt:lpstr>
      <vt:lpstr>APU 1,12.1</vt:lpstr>
      <vt:lpstr>APU 1,13</vt:lpstr>
      <vt:lpstr>APU 2,1</vt:lpstr>
      <vt:lpstr>APU 2,2</vt:lpstr>
      <vt:lpstr>APU 3,1</vt:lpstr>
      <vt:lpstr>APU 3,2</vt:lpstr>
      <vt:lpstr>APU 3,3</vt:lpstr>
      <vt:lpstr>APU 3,4</vt:lpstr>
      <vt:lpstr>APU 3,5</vt:lpstr>
      <vt:lpstr>APU 3,6</vt:lpstr>
      <vt:lpstr>APU 4.1</vt:lpstr>
      <vt:lpstr>APU 4.2</vt:lpstr>
      <vt:lpstr>APU 4.1.</vt:lpstr>
      <vt:lpstr>APU 4.2.</vt:lpstr>
      <vt:lpstr>APU 4.5</vt:lpstr>
      <vt:lpstr>APU 4.3.</vt:lpstr>
      <vt:lpstr>APU 4.4.</vt:lpstr>
      <vt:lpstr>APU 4.5. </vt:lpstr>
      <vt:lpstr>APU 4.6.</vt:lpstr>
      <vt:lpstr>APU 4.7.</vt:lpstr>
      <vt:lpstr>ESTRUCTURA APU</vt:lpstr>
      <vt:lpstr>Hoja1</vt:lpstr>
      <vt:lpstr>APU 4.8.</vt:lpstr>
      <vt:lpstr>APU 4.9.</vt:lpstr>
      <vt:lpstr>'AU  Consul P2'!Área_de_impresión</vt:lpstr>
      <vt:lpstr>'PRESUPUESTO OFICIAL 2026 SALUD'!Área_de_impresión</vt:lpstr>
      <vt:lpstr>'PRESUPUESTO OFICIAL 2026 TH'!Área_de_impresión</vt:lpstr>
      <vt:lpstr>'ESTRUCTURA APU'!Print_Area</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CAMILO ORJUELA GIRALDO</dc:creator>
  <cp:keywords/>
  <dc:description/>
  <cp:lastModifiedBy>WILSON DUQUE RIOS</cp:lastModifiedBy>
  <cp:revision/>
  <cp:lastPrinted>2026-04-14T14:12:44Z</cp:lastPrinted>
  <dcterms:created xsi:type="dcterms:W3CDTF">2020-01-30T16:13:52Z</dcterms:created>
  <dcterms:modified xsi:type="dcterms:W3CDTF">2026-04-20T16:55:32Z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0x01010008335880B64F9F4F9460028C9AA469A9</vt:lpwstr>
  </property>
</Properties>
</file>